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Informes de Junta/2022/Consolidados/"/>
    </mc:Choice>
  </mc:AlternateContent>
  <xr:revisionPtr revIDLastSave="2" documentId="8_{BCB98DE6-D5D2-42AD-A3E0-393A90219EFF}" xr6:coauthVersionLast="47" xr6:coauthVersionMax="47" xr10:uidLastSave="{DD2A22D7-961E-45E7-A3E2-90BE579A4923}"/>
  <bookViews>
    <workbookView xWindow="-28920" yWindow="-120" windowWidth="29040" windowHeight="15840" activeTab="1" xr2:uid="{3EA7DB3A-AE91-4EBD-9F7F-BDD5B8CC0E92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externalReferences>
    <externalReference r:id="rId12"/>
  </externalReferences>
  <definedNames>
    <definedName name="__BIA_0237574" localSheetId="10" hidden="1">[1]!Consulta(11,"Presupuesto por Cuenta","Zoom","Cuenta","IN",ctas!$A$187:$A$222,"Periodo","=",201605)</definedName>
    <definedName name="__BIA_4422336" localSheetId="10" hidden="1">"-"</definedName>
    <definedName name="__BIA_4423615" localSheetId="10" hidden="1">"-"</definedName>
    <definedName name="__BIA_8159523" localSheetId="10" hidden="1">[1]!Consulta(4,"Presupuesto por flujo de efectivo","Zoom","Periodo","=",201909,"Cpto Flujo de Efectivo","IN",ctas!$A$544:$A$552)</definedName>
    <definedName name="b2w">'COLOMB$ '!$H$2</definedName>
  </definedNames>
  <calcPr calcId="191029"/>
  <pivotCaches>
    <pivotCache cacheId="12" r:id="rId13"/>
    <pivotCache cacheId="13" r:id="rId14"/>
    <pivotCache cacheId="14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9" i="12" l="1"/>
  <c r="AK25" i="11"/>
  <c r="AK17" i="11"/>
  <c r="AE17" i="11"/>
  <c r="V7" i="11"/>
  <c r="P7" i="11"/>
  <c r="N7" i="11"/>
  <c r="L7" i="11"/>
  <c r="AB6" i="11"/>
  <c r="Y6" i="11"/>
  <c r="X6" i="11"/>
  <c r="AA6" i="11" s="1"/>
  <c r="W6" i="11"/>
  <c r="Z6" i="11" s="1"/>
  <c r="Z5" i="11"/>
  <c r="W5" i="11"/>
  <c r="V3" i="11"/>
  <c r="R46" i="10"/>
  <c r="J46" i="10"/>
  <c r="I46" i="10"/>
  <c r="G46" i="10"/>
  <c r="R44" i="10"/>
  <c r="I44" i="10"/>
  <c r="G44" i="10"/>
  <c r="R42" i="10"/>
  <c r="P42" i="10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R30" i="10"/>
  <c r="J30" i="10"/>
  <c r="I30" i="10"/>
  <c r="C30" i="10"/>
  <c r="R29" i="10"/>
  <c r="I29" i="10"/>
  <c r="G29" i="10"/>
  <c r="P28" i="10"/>
  <c r="R28" i="10" s="1"/>
  <c r="I28" i="10"/>
  <c r="H28" i="10"/>
  <c r="J28" i="10" s="1"/>
  <c r="E28" i="10"/>
  <c r="AC27" i="10"/>
  <c r="Y27" i="10"/>
  <c r="X27" i="10"/>
  <c r="AA27" i="10" s="1"/>
  <c r="R27" i="10"/>
  <c r="K27" i="10"/>
  <c r="K31" i="10" s="1"/>
  <c r="J27" i="10"/>
  <c r="I27" i="10"/>
  <c r="C27" i="10"/>
  <c r="G27" i="10" s="1"/>
  <c r="R26" i="10"/>
  <c r="J26" i="10"/>
  <c r="I26" i="10"/>
  <c r="C26" i="10"/>
  <c r="G26" i="10" s="1"/>
  <c r="AC25" i="10"/>
  <c r="Y25" i="10"/>
  <c r="X25" i="10"/>
  <c r="Z25" i="10" s="1"/>
  <c r="R25" i="10"/>
  <c r="I25" i="10"/>
  <c r="G25" i="10"/>
  <c r="AC23" i="10"/>
  <c r="AA23" i="10"/>
  <c r="Y23" i="10"/>
  <c r="X23" i="10"/>
  <c r="Z23" i="10" s="1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K15" i="10"/>
  <c r="O15" i="10" s="1"/>
  <c r="J15" i="10"/>
  <c r="I15" i="10"/>
  <c r="G15" i="10"/>
  <c r="AC14" i="10"/>
  <c r="AA14" i="10"/>
  <c r="Z14" i="10"/>
  <c r="R14" i="10"/>
  <c r="K14" i="10"/>
  <c r="O14" i="10" s="1"/>
  <c r="J14" i="10"/>
  <c r="I14" i="10"/>
  <c r="G14" i="10"/>
  <c r="AC13" i="10"/>
  <c r="AA13" i="10"/>
  <c r="Z13" i="10"/>
  <c r="R13" i="10"/>
  <c r="K13" i="10"/>
  <c r="O13" i="10" s="1"/>
  <c r="J13" i="10"/>
  <c r="I13" i="10"/>
  <c r="G13" i="10"/>
  <c r="R12" i="10"/>
  <c r="K12" i="10"/>
  <c r="O12" i="10" s="1"/>
  <c r="J12" i="10"/>
  <c r="I12" i="10"/>
  <c r="G12" i="10"/>
  <c r="R11" i="10"/>
  <c r="K11" i="10"/>
  <c r="O11" i="10" s="1"/>
  <c r="J11" i="10"/>
  <c r="I11" i="10"/>
  <c r="G11" i="10"/>
  <c r="J10" i="10"/>
  <c r="H7" i="10"/>
  <c r="P7" i="10" s="1"/>
  <c r="E7" i="10"/>
  <c r="M7" i="10" s="1"/>
  <c r="V7" i="10" s="1"/>
  <c r="Y7" i="10" s="1"/>
  <c r="C7" i="10"/>
  <c r="U7" i="10" s="1"/>
  <c r="A7" i="10"/>
  <c r="B6" i="10"/>
  <c r="T6" i="10" s="1"/>
  <c r="A6" i="10"/>
  <c r="A5" i="10"/>
  <c r="A4" i="10"/>
  <c r="AU47" i="9"/>
  <c r="AV47" i="9" s="1"/>
  <c r="AY47" i="9" s="1"/>
  <c r="AN47" i="9"/>
  <c r="AQ47" i="9" s="1"/>
  <c r="AM47" i="9"/>
  <c r="P47" i="9"/>
  <c r="AV46" i="9"/>
  <c r="AY46" i="9" s="1"/>
  <c r="AN46" i="9"/>
  <c r="AQ46" i="9" s="1"/>
  <c r="P46" i="9"/>
  <c r="M46" i="9"/>
  <c r="R46" i="9" s="1"/>
  <c r="K46" i="9"/>
  <c r="O46" i="9" s="1"/>
  <c r="H46" i="9"/>
  <c r="E46" i="9"/>
  <c r="J46" i="9" s="1"/>
  <c r="D46" i="9"/>
  <c r="C46" i="9"/>
  <c r="G46" i="9" s="1"/>
  <c r="P45" i="9"/>
  <c r="H45" i="9"/>
  <c r="D45" i="9"/>
  <c r="P44" i="9"/>
  <c r="M44" i="9"/>
  <c r="H44" i="9"/>
  <c r="E44" i="9"/>
  <c r="K43" i="9"/>
  <c r="O43" i="9" s="1"/>
  <c r="G43" i="9"/>
  <c r="D43" i="9"/>
  <c r="C43" i="9"/>
  <c r="P42" i="9"/>
  <c r="M42" i="9"/>
  <c r="H42" i="9"/>
  <c r="E42" i="9"/>
  <c r="D42" i="9"/>
  <c r="O41" i="9"/>
  <c r="K41" i="9"/>
  <c r="D41" i="9"/>
  <c r="C41" i="9"/>
  <c r="G41" i="9" s="1"/>
  <c r="P40" i="9"/>
  <c r="M40" i="9"/>
  <c r="H40" i="9"/>
  <c r="E40" i="9"/>
  <c r="P39" i="9"/>
  <c r="H39" i="9"/>
  <c r="D39" i="9"/>
  <c r="P38" i="9"/>
  <c r="M38" i="9"/>
  <c r="R38" i="9" s="1"/>
  <c r="K38" i="9"/>
  <c r="O38" i="9" s="1"/>
  <c r="H38" i="9"/>
  <c r="E38" i="9"/>
  <c r="J38" i="9" s="1"/>
  <c r="D38" i="9"/>
  <c r="C38" i="9"/>
  <c r="G38" i="9" s="1"/>
  <c r="P37" i="9"/>
  <c r="M37" i="9"/>
  <c r="H37" i="9"/>
  <c r="E37" i="9"/>
  <c r="O36" i="9"/>
  <c r="K36" i="9"/>
  <c r="D36" i="9"/>
  <c r="C36" i="9"/>
  <c r="G36" i="9" s="1"/>
  <c r="P35" i="9"/>
  <c r="M35" i="9"/>
  <c r="H35" i="9"/>
  <c r="E35" i="9"/>
  <c r="M34" i="9"/>
  <c r="K34" i="9"/>
  <c r="O34" i="9" s="1"/>
  <c r="D34" i="9"/>
  <c r="C34" i="9"/>
  <c r="G34" i="9" s="1"/>
  <c r="P33" i="9"/>
  <c r="M33" i="9"/>
  <c r="H33" i="9"/>
  <c r="E33" i="9"/>
  <c r="D32" i="9"/>
  <c r="P31" i="9"/>
  <c r="O31" i="9"/>
  <c r="M31" i="9"/>
  <c r="K31" i="9"/>
  <c r="H31" i="9"/>
  <c r="E31" i="9"/>
  <c r="D31" i="9"/>
  <c r="C31" i="9"/>
  <c r="G31" i="9" s="1"/>
  <c r="P30" i="9"/>
  <c r="M30" i="9"/>
  <c r="K30" i="9"/>
  <c r="O30" i="9" s="1"/>
  <c r="H30" i="9"/>
  <c r="E30" i="9"/>
  <c r="D30" i="9"/>
  <c r="C30" i="9"/>
  <c r="G30" i="9" s="1"/>
  <c r="U29" i="9"/>
  <c r="P29" i="9"/>
  <c r="M29" i="9"/>
  <c r="H29" i="9"/>
  <c r="E29" i="9"/>
  <c r="AB28" i="9"/>
  <c r="AC28" i="9" s="1"/>
  <c r="AA28" i="9"/>
  <c r="U28" i="9"/>
  <c r="K28" i="9"/>
  <c r="O28" i="9" s="1"/>
  <c r="D28" i="9"/>
  <c r="C28" i="9"/>
  <c r="G28" i="9" s="1"/>
  <c r="AB27" i="9"/>
  <c r="AC27" i="9" s="1"/>
  <c r="U27" i="9"/>
  <c r="P27" i="9"/>
  <c r="M27" i="9"/>
  <c r="R27" i="9" s="1"/>
  <c r="H27" i="9"/>
  <c r="J27" i="9" s="1"/>
  <c r="E27" i="9"/>
  <c r="D27" i="9"/>
  <c r="U26" i="9"/>
  <c r="P26" i="9"/>
  <c r="M26" i="9"/>
  <c r="R26" i="9" s="1"/>
  <c r="K26" i="9"/>
  <c r="O26" i="9" s="1"/>
  <c r="H26" i="9"/>
  <c r="E26" i="9"/>
  <c r="J26" i="9" s="1"/>
  <c r="D26" i="9"/>
  <c r="C26" i="9"/>
  <c r="G26" i="9" s="1"/>
  <c r="AB25" i="9"/>
  <c r="W25" i="9"/>
  <c r="U25" i="9"/>
  <c r="P25" i="9"/>
  <c r="M25" i="9"/>
  <c r="H25" i="9"/>
  <c r="E25" i="9"/>
  <c r="U24" i="9"/>
  <c r="D24" i="9"/>
  <c r="C24" i="9"/>
  <c r="G24" i="9" s="1"/>
  <c r="AC23" i="9"/>
  <c r="AA23" i="9"/>
  <c r="Z23" i="9"/>
  <c r="U23" i="9"/>
  <c r="P23" i="9"/>
  <c r="M23" i="9"/>
  <c r="H23" i="9"/>
  <c r="E23" i="9"/>
  <c r="U22" i="9"/>
  <c r="P22" i="9"/>
  <c r="O22" i="9"/>
  <c r="M22" i="9"/>
  <c r="R22" i="9" s="1"/>
  <c r="K22" i="9"/>
  <c r="H22" i="9"/>
  <c r="E22" i="9"/>
  <c r="J22" i="9" s="1"/>
  <c r="D22" i="9"/>
  <c r="C22" i="9"/>
  <c r="G22" i="9" s="1"/>
  <c r="AB21" i="9"/>
  <c r="AB30" i="9" s="1"/>
  <c r="P21" i="9"/>
  <c r="O21" i="9"/>
  <c r="M21" i="9"/>
  <c r="R21" i="9" s="1"/>
  <c r="H21" i="9"/>
  <c r="G21" i="9"/>
  <c r="E21" i="9"/>
  <c r="AC20" i="9"/>
  <c r="U20" i="9"/>
  <c r="D20" i="9"/>
  <c r="P19" i="9"/>
  <c r="M19" i="9"/>
  <c r="R19" i="9" s="1"/>
  <c r="K19" i="9"/>
  <c r="O19" i="9" s="1"/>
  <c r="H19" i="9"/>
  <c r="E19" i="9"/>
  <c r="D19" i="9"/>
  <c r="C19" i="9"/>
  <c r="G19" i="9" s="1"/>
  <c r="U18" i="9"/>
  <c r="P18" i="9"/>
  <c r="M18" i="9"/>
  <c r="R18" i="9" s="1"/>
  <c r="K18" i="9"/>
  <c r="O18" i="9" s="1"/>
  <c r="H18" i="9"/>
  <c r="E18" i="9"/>
  <c r="D18" i="9"/>
  <c r="C18" i="9"/>
  <c r="G18" i="9" s="1"/>
  <c r="AB17" i="9"/>
  <c r="W17" i="9"/>
  <c r="U17" i="9"/>
  <c r="P17" i="9"/>
  <c r="M17" i="9"/>
  <c r="R17" i="9" s="1"/>
  <c r="K17" i="9"/>
  <c r="O17" i="9" s="1"/>
  <c r="H17" i="9"/>
  <c r="E17" i="9"/>
  <c r="D17" i="9"/>
  <c r="C17" i="9"/>
  <c r="G17" i="9" s="1"/>
  <c r="AB16" i="9"/>
  <c r="W16" i="9"/>
  <c r="V16" i="9"/>
  <c r="U16" i="9"/>
  <c r="P16" i="9"/>
  <c r="M16" i="9"/>
  <c r="R16" i="9" s="1"/>
  <c r="K16" i="9"/>
  <c r="O16" i="9" s="1"/>
  <c r="H16" i="9"/>
  <c r="E16" i="9"/>
  <c r="D16" i="9"/>
  <c r="C16" i="9"/>
  <c r="G16" i="9" s="1"/>
  <c r="AB15" i="9"/>
  <c r="W15" i="9"/>
  <c r="V15" i="9"/>
  <c r="U15" i="9"/>
  <c r="P15" i="9"/>
  <c r="M15" i="9"/>
  <c r="R15" i="9" s="1"/>
  <c r="K15" i="9"/>
  <c r="O15" i="9" s="1"/>
  <c r="J15" i="9"/>
  <c r="H15" i="9"/>
  <c r="E15" i="9"/>
  <c r="D15" i="9"/>
  <c r="C15" i="9"/>
  <c r="G15" i="9" s="1"/>
  <c r="AB14" i="9"/>
  <c r="AC14" i="9" s="1"/>
  <c r="W14" i="9"/>
  <c r="V14" i="9"/>
  <c r="U14" i="9"/>
  <c r="P14" i="9"/>
  <c r="O14" i="9"/>
  <c r="M14" i="9"/>
  <c r="K14" i="9"/>
  <c r="H14" i="9"/>
  <c r="E14" i="9"/>
  <c r="D14" i="9"/>
  <c r="C14" i="9"/>
  <c r="G14" i="9" s="1"/>
  <c r="AB13" i="9"/>
  <c r="AC13" i="9" s="1"/>
  <c r="X13" i="9"/>
  <c r="AA13" i="9" s="1"/>
  <c r="W13" i="9"/>
  <c r="V13" i="9"/>
  <c r="U13" i="9"/>
  <c r="P13" i="9"/>
  <c r="R13" i="9" s="1"/>
  <c r="M13" i="9"/>
  <c r="K13" i="9"/>
  <c r="O13" i="9" s="1"/>
  <c r="H13" i="9"/>
  <c r="J13" i="9" s="1"/>
  <c r="E13" i="9"/>
  <c r="D13" i="9"/>
  <c r="C13" i="9"/>
  <c r="G13" i="9" s="1"/>
  <c r="U12" i="9"/>
  <c r="P12" i="9"/>
  <c r="O12" i="9"/>
  <c r="M12" i="9"/>
  <c r="R12" i="9" s="1"/>
  <c r="K12" i="9"/>
  <c r="H12" i="9"/>
  <c r="E12" i="9"/>
  <c r="D12" i="9"/>
  <c r="C12" i="9"/>
  <c r="G12" i="9" s="1"/>
  <c r="AB11" i="9"/>
  <c r="X11" i="9"/>
  <c r="AA11" i="9" s="1"/>
  <c r="W11" i="9"/>
  <c r="V11" i="9"/>
  <c r="U11" i="9"/>
  <c r="R11" i="9"/>
  <c r="P11" i="9"/>
  <c r="M11" i="9"/>
  <c r="K11" i="9"/>
  <c r="O11" i="9" s="1"/>
  <c r="H11" i="9"/>
  <c r="G11" i="9"/>
  <c r="E11" i="9"/>
  <c r="J11" i="9" s="1"/>
  <c r="D11" i="9"/>
  <c r="C11" i="9"/>
  <c r="AB10" i="9"/>
  <c r="AA10" i="9"/>
  <c r="Y10" i="9"/>
  <c r="X10" i="9"/>
  <c r="W10" i="9"/>
  <c r="AC10" i="9" s="1"/>
  <c r="V10" i="9"/>
  <c r="U10" i="9"/>
  <c r="P10" i="9"/>
  <c r="M10" i="9"/>
  <c r="K10" i="9"/>
  <c r="O10" i="9" s="1"/>
  <c r="H10" i="9"/>
  <c r="E10" i="9"/>
  <c r="D10" i="9"/>
  <c r="C10" i="9"/>
  <c r="G10" i="9" s="1"/>
  <c r="AH9" i="9"/>
  <c r="AI8" i="9"/>
  <c r="AI7" i="9"/>
  <c r="O7" i="9"/>
  <c r="H7" i="9"/>
  <c r="W7" i="9" s="1"/>
  <c r="AB7" i="9" s="1"/>
  <c r="G7" i="9"/>
  <c r="E7" i="9"/>
  <c r="M7" i="9" s="1"/>
  <c r="V7" i="9" s="1"/>
  <c r="Y7" i="9" s="1"/>
  <c r="R46" i="8"/>
  <c r="O46" i="8"/>
  <c r="R42" i="8"/>
  <c r="O42" i="8"/>
  <c r="K42" i="8"/>
  <c r="J42" i="8"/>
  <c r="G42" i="8"/>
  <c r="O39" i="8"/>
  <c r="M39" i="8"/>
  <c r="R39" i="8" s="1"/>
  <c r="G39" i="8"/>
  <c r="E39" i="8"/>
  <c r="R38" i="8"/>
  <c r="K38" i="8"/>
  <c r="O38" i="8" s="1"/>
  <c r="J38" i="8"/>
  <c r="G38" i="8"/>
  <c r="P32" i="8"/>
  <c r="O32" i="8"/>
  <c r="M32" i="8"/>
  <c r="K32" i="8"/>
  <c r="K39" i="9" s="1"/>
  <c r="O39" i="9" s="1"/>
  <c r="H32" i="8"/>
  <c r="H32" i="9" s="1"/>
  <c r="E32" i="8"/>
  <c r="C32" i="8"/>
  <c r="R31" i="8"/>
  <c r="O31" i="8"/>
  <c r="J31" i="8"/>
  <c r="G31" i="8"/>
  <c r="F31" i="8"/>
  <c r="R30" i="8"/>
  <c r="O30" i="8"/>
  <c r="J30" i="8"/>
  <c r="G30" i="8"/>
  <c r="AC28" i="8"/>
  <c r="AA28" i="8"/>
  <c r="Y28" i="8"/>
  <c r="P28" i="8"/>
  <c r="M28" i="8"/>
  <c r="M34" i="8" s="1"/>
  <c r="K28" i="8"/>
  <c r="O28" i="8" s="1"/>
  <c r="H28" i="8"/>
  <c r="E28" i="8"/>
  <c r="C28" i="8"/>
  <c r="G28" i="8" s="1"/>
  <c r="AC27" i="8"/>
  <c r="Y27" i="8"/>
  <c r="Y27" i="9" s="1"/>
  <c r="X27" i="8"/>
  <c r="R27" i="8"/>
  <c r="O27" i="8"/>
  <c r="J27" i="8"/>
  <c r="G27" i="8"/>
  <c r="R26" i="8"/>
  <c r="O26" i="8"/>
  <c r="J26" i="8"/>
  <c r="G26" i="8"/>
  <c r="Y25" i="8"/>
  <c r="Y25" i="9" s="1"/>
  <c r="X25" i="8"/>
  <c r="AC23" i="8"/>
  <c r="AA23" i="8"/>
  <c r="Z23" i="8"/>
  <c r="R22" i="8"/>
  <c r="N22" i="8"/>
  <c r="K22" i="8"/>
  <c r="J22" i="8"/>
  <c r="G22" i="8"/>
  <c r="F22" i="8"/>
  <c r="AC20" i="8"/>
  <c r="P20" i="8"/>
  <c r="O20" i="8"/>
  <c r="M20" i="8"/>
  <c r="N31" i="8" s="1"/>
  <c r="L20" i="8"/>
  <c r="K20" i="8"/>
  <c r="L24" i="8" s="1"/>
  <c r="H20" i="8"/>
  <c r="E20" i="8"/>
  <c r="F30" i="8" s="1"/>
  <c r="C20" i="8"/>
  <c r="AB19" i="8"/>
  <c r="AB21" i="8" s="1"/>
  <c r="W19" i="8"/>
  <c r="W21" i="8" s="1"/>
  <c r="W30" i="8" s="1"/>
  <c r="U19" i="8"/>
  <c r="B19" i="8"/>
  <c r="V17" i="8"/>
  <c r="U17" i="8"/>
  <c r="B17" i="8"/>
  <c r="AA16" i="8"/>
  <c r="Y16" i="8"/>
  <c r="AC16" i="8" s="1"/>
  <c r="X16" i="8"/>
  <c r="Z16" i="8" s="1"/>
  <c r="B16" i="8"/>
  <c r="Y15" i="8"/>
  <c r="AC15" i="8" s="1"/>
  <c r="X15" i="8"/>
  <c r="R15" i="8"/>
  <c r="N15" i="8"/>
  <c r="L15" i="8"/>
  <c r="J15" i="8"/>
  <c r="G15" i="8"/>
  <c r="F15" i="8"/>
  <c r="B15" i="8"/>
  <c r="AC14" i="8"/>
  <c r="AA14" i="8"/>
  <c r="Z14" i="8"/>
  <c r="Y14" i="8"/>
  <c r="Y14" i="9" s="1"/>
  <c r="Z14" i="9" s="1"/>
  <c r="X14" i="8"/>
  <c r="X14" i="9" s="1"/>
  <c r="AA14" i="9" s="1"/>
  <c r="R14" i="8"/>
  <c r="Q14" i="8"/>
  <c r="O14" i="8"/>
  <c r="J14" i="8"/>
  <c r="I14" i="8"/>
  <c r="G14" i="8"/>
  <c r="F14" i="8"/>
  <c r="B14" i="8"/>
  <c r="AC13" i="8"/>
  <c r="AA13" i="8"/>
  <c r="Z13" i="8"/>
  <c r="Y13" i="8"/>
  <c r="Y13" i="9" s="1"/>
  <c r="X13" i="8"/>
  <c r="R13" i="8"/>
  <c r="Q13" i="8"/>
  <c r="O13" i="8"/>
  <c r="L13" i="8"/>
  <c r="J13" i="8"/>
  <c r="I13" i="8"/>
  <c r="G13" i="8"/>
  <c r="F13" i="8"/>
  <c r="B13" i="8"/>
  <c r="R12" i="8"/>
  <c r="Q12" i="8"/>
  <c r="O12" i="8"/>
  <c r="N12" i="8"/>
  <c r="J12" i="8"/>
  <c r="I12" i="8"/>
  <c r="G12" i="8"/>
  <c r="B12" i="8"/>
  <c r="Y11" i="8"/>
  <c r="X11" i="8"/>
  <c r="R11" i="8"/>
  <c r="Q11" i="8"/>
  <c r="O11" i="8"/>
  <c r="L11" i="8"/>
  <c r="J11" i="8"/>
  <c r="I11" i="8"/>
  <c r="G11" i="8"/>
  <c r="F11" i="8"/>
  <c r="D11" i="8"/>
  <c r="B11" i="8"/>
  <c r="AC10" i="8"/>
  <c r="AA10" i="8"/>
  <c r="Z10" i="8"/>
  <c r="R10" i="8"/>
  <c r="O10" i="8"/>
  <c r="N10" i="8"/>
  <c r="L10" i="8"/>
  <c r="J10" i="8"/>
  <c r="I10" i="8"/>
  <c r="G10" i="8"/>
  <c r="F10" i="8"/>
  <c r="B10" i="8"/>
  <c r="W7" i="8"/>
  <c r="AB7" i="8" s="1"/>
  <c r="P7" i="8"/>
  <c r="M7" i="8"/>
  <c r="V7" i="8" s="1"/>
  <c r="Y7" i="8" s="1"/>
  <c r="B6" i="8"/>
  <c r="C64" i="7"/>
  <c r="R58" i="7"/>
  <c r="N58" i="7"/>
  <c r="C58" i="7"/>
  <c r="W39" i="7"/>
  <c r="V39" i="7"/>
  <c r="Z28" i="7"/>
  <c r="AD28" i="7" s="1"/>
  <c r="Y28" i="7"/>
  <c r="AB28" i="7" s="1"/>
  <c r="AD27" i="7"/>
  <c r="Z27" i="7"/>
  <c r="AA27" i="7" s="1"/>
  <c r="Y27" i="7"/>
  <c r="AB27" i="7" s="1"/>
  <c r="Z25" i="7"/>
  <c r="Y25" i="7"/>
  <c r="AD23" i="7"/>
  <c r="Z23" i="7"/>
  <c r="AA23" i="7" s="1"/>
  <c r="Y23" i="7"/>
  <c r="AB23" i="7" s="1"/>
  <c r="X19" i="7"/>
  <c r="X21" i="7" s="1"/>
  <c r="X30" i="7" s="1"/>
  <c r="B19" i="7"/>
  <c r="AC17" i="7"/>
  <c r="AC19" i="7" s="1"/>
  <c r="X17" i="7"/>
  <c r="W17" i="7"/>
  <c r="W19" i="7" s="1"/>
  <c r="W21" i="7" s="1"/>
  <c r="W30" i="7" s="1"/>
  <c r="W38" i="7" s="1"/>
  <c r="V17" i="7"/>
  <c r="V19" i="7" s="1"/>
  <c r="V21" i="7" s="1"/>
  <c r="V30" i="7" s="1"/>
  <c r="R17" i="7"/>
  <c r="K17" i="7"/>
  <c r="O17" i="7" s="1"/>
  <c r="J17" i="7"/>
  <c r="G17" i="7"/>
  <c r="B17" i="7"/>
  <c r="Z16" i="7"/>
  <c r="AD16" i="7" s="1"/>
  <c r="Y16" i="7"/>
  <c r="AB16" i="7" s="1"/>
  <c r="R16" i="7"/>
  <c r="K16" i="7"/>
  <c r="B16" i="7"/>
  <c r="Z15" i="7"/>
  <c r="AD15" i="7" s="1"/>
  <c r="Y15" i="7"/>
  <c r="B15" i="7"/>
  <c r="AD14" i="7"/>
  <c r="Z14" i="7"/>
  <c r="AA14" i="7" s="1"/>
  <c r="Y14" i="7"/>
  <c r="AB14" i="7" s="1"/>
  <c r="R14" i="7"/>
  <c r="B14" i="7"/>
  <c r="Z13" i="7"/>
  <c r="Y13" i="7"/>
  <c r="B13" i="7"/>
  <c r="B12" i="7"/>
  <c r="Z11" i="7"/>
  <c r="AD11" i="7" s="1"/>
  <c r="Y11" i="7"/>
  <c r="B11" i="7"/>
  <c r="AD10" i="7"/>
  <c r="AB10" i="7"/>
  <c r="AA10" i="7"/>
  <c r="B10" i="7"/>
  <c r="H7" i="7"/>
  <c r="P7" i="7" s="1"/>
  <c r="E7" i="7"/>
  <c r="M7" i="7" s="1"/>
  <c r="W7" i="7" s="1"/>
  <c r="Z7" i="7" s="1"/>
  <c r="C7" i="7"/>
  <c r="K7" i="7" s="1"/>
  <c r="U3" i="7"/>
  <c r="AE20" i="6"/>
  <c r="B19" i="6"/>
  <c r="B17" i="6"/>
  <c r="B16" i="6"/>
  <c r="B15" i="6"/>
  <c r="B14" i="6"/>
  <c r="B13" i="6"/>
  <c r="B12" i="6"/>
  <c r="B11" i="6"/>
  <c r="AD10" i="6"/>
  <c r="AA10" i="6"/>
  <c r="AB10" i="6" s="1"/>
  <c r="Z10" i="6"/>
  <c r="Y10" i="6"/>
  <c r="X10" i="6"/>
  <c r="B10" i="6"/>
  <c r="W7" i="6"/>
  <c r="Z7" i="6" s="1"/>
  <c r="H7" i="6"/>
  <c r="Y7" i="6" s="1"/>
  <c r="AD7" i="6" s="1"/>
  <c r="E7" i="6"/>
  <c r="M7" i="6" s="1"/>
  <c r="X7" i="6" s="1"/>
  <c r="AA7" i="6" s="1"/>
  <c r="C7" i="6"/>
  <c r="K7" i="6" s="1"/>
  <c r="B6" i="6"/>
  <c r="V6" i="6" s="1"/>
  <c r="AI5" i="6"/>
  <c r="AJ5" i="6" s="1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K32" i="5"/>
  <c r="C32" i="5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R14" i="5" s="1"/>
  <c r="O14" i="5"/>
  <c r="J14" i="5"/>
  <c r="G14" i="5"/>
  <c r="B14" i="5"/>
  <c r="B13" i="5"/>
  <c r="P12" i="5"/>
  <c r="R12" i="5" s="1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A8" i="5"/>
  <c r="H7" i="5"/>
  <c r="P7" i="5" s="1"/>
  <c r="E7" i="5"/>
  <c r="M7" i="5" s="1"/>
  <c r="C7" i="5"/>
  <c r="K7" i="5" s="1"/>
  <c r="A7" i="5"/>
  <c r="B6" i="5"/>
  <c r="A6" i="5"/>
  <c r="A5" i="5"/>
  <c r="AC20" i="4"/>
  <c r="AC10" i="4"/>
  <c r="AA10" i="4"/>
  <c r="Z10" i="4"/>
  <c r="W7" i="4"/>
  <c r="AB7" i="4" s="1"/>
  <c r="V7" i="4"/>
  <c r="Y7" i="4" s="1"/>
  <c r="U7" i="4"/>
  <c r="X7" i="4" s="1"/>
  <c r="P7" i="4"/>
  <c r="N7" i="4"/>
  <c r="L7" i="4"/>
  <c r="T6" i="4"/>
  <c r="Y3" i="4"/>
  <c r="T3" i="4"/>
  <c r="AC20" i="3"/>
  <c r="B19" i="3"/>
  <c r="B18" i="3"/>
  <c r="B18" i="7" s="1"/>
  <c r="B17" i="3"/>
  <c r="B16" i="3"/>
  <c r="B15" i="3"/>
  <c r="B14" i="3"/>
  <c r="B13" i="3"/>
  <c r="B12" i="3"/>
  <c r="B11" i="3"/>
  <c r="AB10" i="3"/>
  <c r="Y10" i="3"/>
  <c r="X10" i="3"/>
  <c r="W10" i="3"/>
  <c r="V10" i="3"/>
  <c r="U10" i="3"/>
  <c r="W10" i="6" s="1"/>
  <c r="B10" i="3"/>
  <c r="H7" i="3"/>
  <c r="W7" i="3" s="1"/>
  <c r="AB7" i="3" s="1"/>
  <c r="E7" i="3"/>
  <c r="M7" i="3" s="1"/>
  <c r="V7" i="3" s="1"/>
  <c r="Y7" i="3" s="1"/>
  <c r="C7" i="3"/>
  <c r="C7" i="8" s="1"/>
  <c r="B6" i="3"/>
  <c r="B6" i="11" s="1"/>
  <c r="T3" i="3"/>
  <c r="B9" i="2"/>
  <c r="B5" i="2"/>
  <c r="AA14" i="6" l="1"/>
  <c r="Y14" i="3"/>
  <c r="H16" i="3"/>
  <c r="H15" i="3"/>
  <c r="H15" i="6" s="1"/>
  <c r="P12" i="3"/>
  <c r="Z16" i="6"/>
  <c r="X16" i="3"/>
  <c r="P19" i="3"/>
  <c r="Z23" i="6"/>
  <c r="X23" i="3"/>
  <c r="X27" i="6"/>
  <c r="V27" i="3"/>
  <c r="P13" i="3"/>
  <c r="P16" i="3"/>
  <c r="P15" i="3"/>
  <c r="P15" i="6" s="1"/>
  <c r="AB13" i="3"/>
  <c r="AD13" i="6"/>
  <c r="K11" i="3"/>
  <c r="H13" i="3"/>
  <c r="X15" i="3"/>
  <c r="Z15" i="6"/>
  <c r="H12" i="3"/>
  <c r="C11" i="3"/>
  <c r="U11" i="3"/>
  <c r="W11" i="6"/>
  <c r="Y25" i="6"/>
  <c r="W25" i="3"/>
  <c r="C30" i="3"/>
  <c r="H10" i="3"/>
  <c r="H10" i="6" s="1"/>
  <c r="P10" i="3"/>
  <c r="P10" i="6" s="1"/>
  <c r="E11" i="3"/>
  <c r="M11" i="3"/>
  <c r="Y11" i="6"/>
  <c r="W11" i="3"/>
  <c r="V13" i="3"/>
  <c r="X13" i="6"/>
  <c r="C14" i="3"/>
  <c r="K14" i="3"/>
  <c r="W14" i="6"/>
  <c r="W11" i="11" s="1"/>
  <c r="U14" i="3"/>
  <c r="AB15" i="3"/>
  <c r="AD15" i="6"/>
  <c r="AB16" i="3"/>
  <c r="AD16" i="6"/>
  <c r="H18" i="3"/>
  <c r="P18" i="3"/>
  <c r="H19" i="3"/>
  <c r="H19" i="6" s="1"/>
  <c r="H19" i="11" s="1"/>
  <c r="H22" i="3"/>
  <c r="P22" i="3"/>
  <c r="P22" i="6" s="1"/>
  <c r="Y25" i="3"/>
  <c r="AA25" i="6"/>
  <c r="Z27" i="6"/>
  <c r="X27" i="3"/>
  <c r="Y28" i="6"/>
  <c r="W28" i="3"/>
  <c r="C31" i="3"/>
  <c r="C32" i="6" s="1"/>
  <c r="K31" i="3"/>
  <c r="K32" i="6" s="1"/>
  <c r="C38" i="3"/>
  <c r="K38" i="3"/>
  <c r="K38" i="6" s="1"/>
  <c r="C39" i="3"/>
  <c r="C39" i="6" s="1"/>
  <c r="K39" i="3"/>
  <c r="K39" i="6" s="1"/>
  <c r="C42" i="3"/>
  <c r="C42" i="6" s="1"/>
  <c r="K42" i="3"/>
  <c r="K42" i="6" s="1"/>
  <c r="C46" i="3"/>
  <c r="K46" i="3"/>
  <c r="K46" i="6" s="1"/>
  <c r="C12" i="3"/>
  <c r="W13" i="6"/>
  <c r="W10" i="11" s="1"/>
  <c r="U13" i="3"/>
  <c r="H17" i="3"/>
  <c r="Z25" i="6"/>
  <c r="X25" i="3"/>
  <c r="AA25" i="3" s="1"/>
  <c r="E27" i="3"/>
  <c r="E27" i="6" s="1"/>
  <c r="V28" i="3"/>
  <c r="X28" i="6"/>
  <c r="Z11" i="6"/>
  <c r="X11" i="3"/>
  <c r="E12" i="3"/>
  <c r="E12" i="6" s="1"/>
  <c r="M12" i="3"/>
  <c r="M12" i="6" s="1"/>
  <c r="M12" i="11" s="1"/>
  <c r="E13" i="3"/>
  <c r="E13" i="6" s="1"/>
  <c r="E13" i="11" s="1"/>
  <c r="M13" i="3"/>
  <c r="M13" i="6" s="1"/>
  <c r="M13" i="11" s="1"/>
  <c r="W13" i="3"/>
  <c r="Y13" i="6"/>
  <c r="X14" i="6"/>
  <c r="V14" i="3"/>
  <c r="C15" i="3"/>
  <c r="C15" i="6" s="1"/>
  <c r="K15" i="3"/>
  <c r="K15" i="6" s="1"/>
  <c r="W15" i="6"/>
  <c r="W12" i="11" s="1"/>
  <c r="U15" i="3"/>
  <c r="K16" i="3"/>
  <c r="K16" i="6" s="1"/>
  <c r="K16" i="11" s="1"/>
  <c r="O16" i="11" s="1"/>
  <c r="U16" i="3"/>
  <c r="W16" i="6"/>
  <c r="AA27" i="6"/>
  <c r="Y27" i="3"/>
  <c r="Z27" i="3" s="1"/>
  <c r="Z28" i="6"/>
  <c r="X28" i="3"/>
  <c r="E30" i="3"/>
  <c r="M30" i="3"/>
  <c r="M30" i="6" s="1"/>
  <c r="M30" i="11" s="1"/>
  <c r="X11" i="6"/>
  <c r="V11" i="3"/>
  <c r="K12" i="3"/>
  <c r="K13" i="3"/>
  <c r="K13" i="6" s="1"/>
  <c r="P17" i="3"/>
  <c r="Y23" i="3"/>
  <c r="Z23" i="3" s="1"/>
  <c r="AA23" i="6"/>
  <c r="E26" i="3"/>
  <c r="M27" i="3"/>
  <c r="M27" i="6" s="1"/>
  <c r="M27" i="11" s="1"/>
  <c r="AA11" i="6"/>
  <c r="Y11" i="3"/>
  <c r="Z11" i="3" s="1"/>
  <c r="X13" i="3"/>
  <c r="Z13" i="6"/>
  <c r="E14" i="3"/>
  <c r="E14" i="6" s="1"/>
  <c r="E14" i="11" s="1"/>
  <c r="M14" i="3"/>
  <c r="M14" i="6" s="1"/>
  <c r="M14" i="11" s="1"/>
  <c r="W14" i="3"/>
  <c r="Y14" i="6"/>
  <c r="X15" i="6"/>
  <c r="V15" i="3"/>
  <c r="C16" i="3"/>
  <c r="C16" i="6" s="1"/>
  <c r="X16" i="6"/>
  <c r="V16" i="3"/>
  <c r="C17" i="3"/>
  <c r="C17" i="6" s="1"/>
  <c r="K17" i="3"/>
  <c r="K17" i="6" s="1"/>
  <c r="K19" i="3"/>
  <c r="AB23" i="3"/>
  <c r="AD23" i="6"/>
  <c r="AA19" i="11" s="1"/>
  <c r="H26" i="3"/>
  <c r="H26" i="6" s="1"/>
  <c r="P26" i="3"/>
  <c r="P26" i="6" s="1"/>
  <c r="H27" i="3"/>
  <c r="H27" i="6" s="1"/>
  <c r="P27" i="3"/>
  <c r="P27" i="6" s="1"/>
  <c r="Y28" i="3"/>
  <c r="Z28" i="3" s="1"/>
  <c r="AA28" i="6"/>
  <c r="E31" i="3"/>
  <c r="E32" i="6" s="1"/>
  <c r="T22" i="6" s="1"/>
  <c r="M31" i="3"/>
  <c r="M32" i="6" s="1"/>
  <c r="E38" i="3"/>
  <c r="E38" i="6" s="1"/>
  <c r="E38" i="11" s="1"/>
  <c r="M38" i="3"/>
  <c r="M38" i="6" s="1"/>
  <c r="M38" i="11" s="1"/>
  <c r="E39" i="3"/>
  <c r="E39" i="6" s="1"/>
  <c r="M39" i="3"/>
  <c r="M39" i="6" s="1"/>
  <c r="E42" i="3"/>
  <c r="E42" i="6" s="1"/>
  <c r="E42" i="11" s="1"/>
  <c r="M42" i="3"/>
  <c r="M42" i="6" s="1"/>
  <c r="M42" i="11" s="1"/>
  <c r="E46" i="3"/>
  <c r="E46" i="6" s="1"/>
  <c r="M46" i="3"/>
  <c r="M46" i="6" s="1"/>
  <c r="M46" i="11" s="1"/>
  <c r="C13" i="3"/>
  <c r="C13" i="6" s="1"/>
  <c r="AD14" i="6"/>
  <c r="AB14" i="3"/>
  <c r="M26" i="3"/>
  <c r="Y27" i="6"/>
  <c r="W27" i="3"/>
  <c r="C10" i="3"/>
  <c r="C10" i="6" s="1"/>
  <c r="K10" i="3"/>
  <c r="K10" i="6" s="1"/>
  <c r="H11" i="3"/>
  <c r="H11" i="6" s="1"/>
  <c r="P11" i="3"/>
  <c r="P11" i="6" s="1"/>
  <c r="Y13" i="3"/>
  <c r="AA13" i="6"/>
  <c r="X14" i="3"/>
  <c r="Z14" i="6"/>
  <c r="E15" i="3"/>
  <c r="M15" i="3"/>
  <c r="Y15" i="6"/>
  <c r="W15" i="3"/>
  <c r="E16" i="3"/>
  <c r="E16" i="6" s="1"/>
  <c r="M16" i="3"/>
  <c r="M16" i="6" s="1"/>
  <c r="Y16" i="6"/>
  <c r="W16" i="3"/>
  <c r="C18" i="3"/>
  <c r="K18" i="3"/>
  <c r="C19" i="3"/>
  <c r="C22" i="3"/>
  <c r="K22" i="3"/>
  <c r="W23" i="6"/>
  <c r="W19" i="11" s="1"/>
  <c r="U23" i="3"/>
  <c r="AB25" i="3"/>
  <c r="AC25" i="3" s="1"/>
  <c r="AD25" i="6"/>
  <c r="P30" i="3"/>
  <c r="E17" i="3"/>
  <c r="E17" i="6" s="1"/>
  <c r="E17" i="11" s="1"/>
  <c r="M17" i="3"/>
  <c r="M17" i="6" s="1"/>
  <c r="M17" i="11" s="1"/>
  <c r="M19" i="3"/>
  <c r="X23" i="6"/>
  <c r="V23" i="3"/>
  <c r="W25" i="6"/>
  <c r="U25" i="3"/>
  <c r="AD27" i="6"/>
  <c r="AB27" i="3"/>
  <c r="AC27" i="3" s="1"/>
  <c r="H30" i="3"/>
  <c r="E10" i="3"/>
  <c r="M10" i="3"/>
  <c r="M10" i="6" s="1"/>
  <c r="AD11" i="6"/>
  <c r="AB11" i="3"/>
  <c r="H14" i="3"/>
  <c r="P14" i="3"/>
  <c r="Y15" i="3"/>
  <c r="AA15" i="6"/>
  <c r="Y16" i="3"/>
  <c r="AA16" i="6"/>
  <c r="E18" i="3"/>
  <c r="E18" i="6" s="1"/>
  <c r="E18" i="11" s="1"/>
  <c r="M18" i="3"/>
  <c r="M18" i="6" s="1"/>
  <c r="M18" i="11" s="1"/>
  <c r="E19" i="3"/>
  <c r="E22" i="3"/>
  <c r="E22" i="6" s="1"/>
  <c r="E22" i="11" s="1"/>
  <c r="M22" i="3"/>
  <c r="M22" i="6" s="1"/>
  <c r="M22" i="11" s="1"/>
  <c r="Y23" i="6"/>
  <c r="W23" i="3"/>
  <c r="X25" i="6"/>
  <c r="V25" i="3"/>
  <c r="C26" i="3"/>
  <c r="K26" i="3"/>
  <c r="C27" i="3"/>
  <c r="C27" i="6" s="1"/>
  <c r="K27" i="3"/>
  <c r="K27" i="6" s="1"/>
  <c r="W27" i="6"/>
  <c r="W21" i="11" s="1"/>
  <c r="U27" i="3"/>
  <c r="AB28" i="3"/>
  <c r="AC28" i="3" s="1"/>
  <c r="AD28" i="6"/>
  <c r="H31" i="3"/>
  <c r="H32" i="6" s="1"/>
  <c r="J32" i="6" s="1"/>
  <c r="P31" i="3"/>
  <c r="P32" i="6" s="1"/>
  <c r="R32" i="6" s="1"/>
  <c r="H38" i="3"/>
  <c r="P38" i="3"/>
  <c r="P38" i="6" s="1"/>
  <c r="H39" i="3"/>
  <c r="H39" i="6" s="1"/>
  <c r="P39" i="3"/>
  <c r="P39" i="6" s="1"/>
  <c r="H42" i="3"/>
  <c r="H42" i="6" s="1"/>
  <c r="P42" i="3"/>
  <c r="P42" i="6" s="1"/>
  <c r="H46" i="3"/>
  <c r="H46" i="6" s="1"/>
  <c r="P46" i="3"/>
  <c r="P46" i="6" s="1"/>
  <c r="U28" i="3"/>
  <c r="W28" i="6"/>
  <c r="K30" i="3"/>
  <c r="E31" i="11"/>
  <c r="M31" i="11"/>
  <c r="H31" i="11"/>
  <c r="J31" i="11" s="1"/>
  <c r="P31" i="11"/>
  <c r="R31" i="11" s="1"/>
  <c r="K31" i="11"/>
  <c r="O31" i="11" s="1"/>
  <c r="C438" i="12"/>
  <c r="U7" i="8"/>
  <c r="X7" i="8" s="1"/>
  <c r="C7" i="9"/>
  <c r="U7" i="9" s="1"/>
  <c r="X7" i="9" s="1"/>
  <c r="B8" i="2"/>
  <c r="P7" i="3"/>
  <c r="Z27" i="8"/>
  <c r="X27" i="9"/>
  <c r="AA27" i="9" s="1"/>
  <c r="R28" i="8"/>
  <c r="P28" i="9"/>
  <c r="J32" i="8"/>
  <c r="T6" i="8"/>
  <c r="B6" i="9"/>
  <c r="AA8" i="11"/>
  <c r="AJ8" i="11"/>
  <c r="Z15" i="8"/>
  <c r="X15" i="9"/>
  <c r="AA15" i="8"/>
  <c r="D45" i="8"/>
  <c r="D10" i="8"/>
  <c r="D17" i="8"/>
  <c r="C20" i="9"/>
  <c r="G20" i="9" s="1"/>
  <c r="D24" i="8"/>
  <c r="Z27" i="9"/>
  <c r="Z28" i="8"/>
  <c r="Y28" i="9"/>
  <c r="Z28" i="9" s="1"/>
  <c r="J39" i="8"/>
  <c r="E39" i="9"/>
  <c r="J39" i="9" s="1"/>
  <c r="AC10" i="6"/>
  <c r="AB8" i="11"/>
  <c r="AK8" i="11"/>
  <c r="O22" i="8"/>
  <c r="K24" i="9"/>
  <c r="O24" i="9" s="1"/>
  <c r="V7" i="7"/>
  <c r="Y7" i="7" s="1"/>
  <c r="V19" i="8"/>
  <c r="V21" i="8" s="1"/>
  <c r="V30" i="8" s="1"/>
  <c r="V17" i="9"/>
  <c r="V19" i="9" s="1"/>
  <c r="V21" i="9" s="1"/>
  <c r="V30" i="9" s="1"/>
  <c r="D20" i="8"/>
  <c r="Q30" i="8"/>
  <c r="P20" i="9"/>
  <c r="R20" i="8"/>
  <c r="Q10" i="8"/>
  <c r="Q22" i="8"/>
  <c r="Q20" i="8"/>
  <c r="Q15" i="8"/>
  <c r="AC10" i="3"/>
  <c r="Y11" i="9"/>
  <c r="Y17" i="8"/>
  <c r="T6" i="3"/>
  <c r="Y8" i="11"/>
  <c r="AH8" i="11"/>
  <c r="AD25" i="7"/>
  <c r="AA25" i="7"/>
  <c r="D16" i="8"/>
  <c r="G20" i="8"/>
  <c r="E34" i="8"/>
  <c r="E28" i="9"/>
  <c r="P32" i="9"/>
  <c r="R32" i="8"/>
  <c r="AE10" i="6"/>
  <c r="X8" i="11"/>
  <c r="AE8" i="11" s="1"/>
  <c r="AG8" i="11"/>
  <c r="B18" i="6"/>
  <c r="Z17" i="7"/>
  <c r="AB15" i="7"/>
  <c r="D12" i="8"/>
  <c r="D14" i="8"/>
  <c r="L19" i="8"/>
  <c r="I38" i="8"/>
  <c r="I45" i="8"/>
  <c r="J20" i="8"/>
  <c r="I15" i="8"/>
  <c r="H20" i="9"/>
  <c r="I39" i="8"/>
  <c r="I20" i="8"/>
  <c r="J28" i="8"/>
  <c r="H28" i="9"/>
  <c r="G32" i="8"/>
  <c r="C39" i="9"/>
  <c r="G39" i="9" s="1"/>
  <c r="D42" i="8"/>
  <c r="E19" i="11"/>
  <c r="B6" i="7"/>
  <c r="U6" i="7" s="1"/>
  <c r="D13" i="8"/>
  <c r="U21" i="8"/>
  <c r="U19" i="9"/>
  <c r="L43" i="8"/>
  <c r="L18" i="8"/>
  <c r="L14" i="8"/>
  <c r="K20" i="9"/>
  <c r="L12" i="8"/>
  <c r="AA25" i="8"/>
  <c r="X25" i="9"/>
  <c r="AA25" i="9" s="1"/>
  <c r="AB11" i="7"/>
  <c r="N11" i="8"/>
  <c r="F12" i="8"/>
  <c r="N13" i="8"/>
  <c r="N14" i="8"/>
  <c r="F20" i="8"/>
  <c r="N20" i="8"/>
  <c r="N32" i="8"/>
  <c r="I11" i="9"/>
  <c r="J12" i="9"/>
  <c r="Z13" i="9"/>
  <c r="O27" i="10"/>
  <c r="R10" i="9"/>
  <c r="I15" i="9"/>
  <c r="F16" i="9"/>
  <c r="AK26" i="11"/>
  <c r="X16" i="9"/>
  <c r="Q18" i="9"/>
  <c r="E20" i="9"/>
  <c r="Z25" i="8"/>
  <c r="F32" i="8"/>
  <c r="Y16" i="9"/>
  <c r="Q19" i="9"/>
  <c r="W21" i="9"/>
  <c r="W30" i="9" s="1"/>
  <c r="AC25" i="9"/>
  <c r="K32" i="9"/>
  <c r="O32" i="9" s="1"/>
  <c r="F42" i="9"/>
  <c r="Z27" i="10"/>
  <c r="Y17" i="7"/>
  <c r="AB17" i="7" s="1"/>
  <c r="Z11" i="8"/>
  <c r="X17" i="8"/>
  <c r="F26" i="8"/>
  <c r="N34" i="8"/>
  <c r="F14" i="9"/>
  <c r="AC16" i="9"/>
  <c r="Q17" i="9"/>
  <c r="M28" i="9"/>
  <c r="R28" i="9" s="1"/>
  <c r="J30" i="9"/>
  <c r="F31" i="9"/>
  <c r="M32" i="9"/>
  <c r="K7" i="10"/>
  <c r="X7" i="10" s="1"/>
  <c r="AA25" i="10"/>
  <c r="M19" i="11"/>
  <c r="J10" i="9"/>
  <c r="Q11" i="9"/>
  <c r="AC11" i="9"/>
  <c r="Y15" i="9"/>
  <c r="F18" i="9"/>
  <c r="W19" i="9"/>
  <c r="C32" i="9"/>
  <c r="G32" i="9" s="1"/>
  <c r="P19" i="11"/>
  <c r="AK24" i="11"/>
  <c r="AC15" i="9"/>
  <c r="Q16" i="9"/>
  <c r="F19" i="9"/>
  <c r="M20" i="9"/>
  <c r="N14" i="9" s="1"/>
  <c r="C28" i="10"/>
  <c r="N38" i="8"/>
  <c r="P7" i="9"/>
  <c r="Q15" i="9"/>
  <c r="F17" i="9"/>
  <c r="AB19" i="9"/>
  <c r="R30" i="9"/>
  <c r="E32" i="9"/>
  <c r="F32" i="9" s="1"/>
  <c r="M39" i="9"/>
  <c r="R39" i="9" s="1"/>
  <c r="AC10" i="10"/>
  <c r="X10" i="10"/>
  <c r="Z10" i="10" s="1"/>
  <c r="V19" i="10"/>
  <c r="U11" i="10"/>
  <c r="C19" i="10"/>
  <c r="C19" i="11" s="1"/>
  <c r="I19" i="10"/>
  <c r="E24" i="10"/>
  <c r="AC28" i="10"/>
  <c r="X28" i="10"/>
  <c r="AA28" i="10" s="1"/>
  <c r="K19" i="10"/>
  <c r="K24" i="10" s="1"/>
  <c r="M24" i="10"/>
  <c r="R39" i="10"/>
  <c r="P24" i="10"/>
  <c r="R19" i="10"/>
  <c r="R10" i="10"/>
  <c r="P20" i="10"/>
  <c r="Q39" i="10" s="1"/>
  <c r="AC11" i="10"/>
  <c r="X11" i="10"/>
  <c r="Z11" i="10" s="1"/>
  <c r="Y19" i="10"/>
  <c r="Y21" i="10" s="1"/>
  <c r="J39" i="10"/>
  <c r="U16" i="10"/>
  <c r="U17" i="10" s="1"/>
  <c r="V17" i="10"/>
  <c r="H24" i="10"/>
  <c r="P32" i="10"/>
  <c r="R31" i="10"/>
  <c r="E32" i="10"/>
  <c r="C31" i="10"/>
  <c r="G31" i="10" s="1"/>
  <c r="I31" i="10"/>
  <c r="M32" i="10"/>
  <c r="M34" i="10" s="1"/>
  <c r="C39" i="10"/>
  <c r="G39" i="10" s="1"/>
  <c r="I39" i="10"/>
  <c r="E20" i="10"/>
  <c r="C10" i="10"/>
  <c r="I10" i="10"/>
  <c r="J38" i="10"/>
  <c r="X16" i="10"/>
  <c r="Y17" i="10"/>
  <c r="AC16" i="10"/>
  <c r="K10" i="10"/>
  <c r="M20" i="10"/>
  <c r="J31" i="10"/>
  <c r="H32" i="10"/>
  <c r="J32" i="10" s="1"/>
  <c r="R38" i="10"/>
  <c r="V21" i="10"/>
  <c r="V30" i="10" s="1"/>
  <c r="W40" i="7" s="1"/>
  <c r="U10" i="10"/>
  <c r="U28" i="10"/>
  <c r="O31" i="10"/>
  <c r="K36" i="10"/>
  <c r="N59" i="7" s="1"/>
  <c r="C32" i="10"/>
  <c r="G32" i="10" s="1"/>
  <c r="W7" i="10"/>
  <c r="AB7" i="10" s="1"/>
  <c r="G28" i="10"/>
  <c r="G30" i="10"/>
  <c r="K7" i="9"/>
  <c r="F10" i="9"/>
  <c r="N10" i="9"/>
  <c r="L12" i="9"/>
  <c r="J14" i="9"/>
  <c r="R14" i="9"/>
  <c r="AA15" i="9"/>
  <c r="AA16" i="9"/>
  <c r="L21" i="9"/>
  <c r="L22" i="9"/>
  <c r="F26" i="9"/>
  <c r="N26" i="9"/>
  <c r="F28" i="9"/>
  <c r="N28" i="9"/>
  <c r="J31" i="9"/>
  <c r="R31" i="9"/>
  <c r="J32" i="9"/>
  <c r="R32" i="9"/>
  <c r="N34" i="9"/>
  <c r="F38" i="9"/>
  <c r="N38" i="9"/>
  <c r="F39" i="9"/>
  <c r="N39" i="9"/>
  <c r="J42" i="9"/>
  <c r="R42" i="9"/>
  <c r="F46" i="9"/>
  <c r="N46" i="9"/>
  <c r="F11" i="9"/>
  <c r="N11" i="9"/>
  <c r="L13" i="9"/>
  <c r="L24" i="9"/>
  <c r="F27" i="9"/>
  <c r="N27" i="9"/>
  <c r="L30" i="9"/>
  <c r="Z10" i="9"/>
  <c r="F12" i="9"/>
  <c r="N12" i="9"/>
  <c r="L14" i="9"/>
  <c r="J16" i="9"/>
  <c r="J17" i="9"/>
  <c r="J18" i="9"/>
  <c r="J19" i="9"/>
  <c r="J20" i="9"/>
  <c r="R20" i="9"/>
  <c r="F22" i="9"/>
  <c r="N22" i="9"/>
  <c r="L31" i="9"/>
  <c r="L32" i="9"/>
  <c r="L36" i="9"/>
  <c r="L41" i="9"/>
  <c r="L42" i="9"/>
  <c r="L43" i="9"/>
  <c r="F30" i="9"/>
  <c r="N30" i="9"/>
  <c r="L16" i="9"/>
  <c r="L17" i="9"/>
  <c r="L18" i="9"/>
  <c r="L19" i="9"/>
  <c r="L20" i="9"/>
  <c r="Q21" i="9"/>
  <c r="I27" i="9"/>
  <c r="Q27" i="9"/>
  <c r="L10" i="9"/>
  <c r="I13" i="9"/>
  <c r="Q13" i="9"/>
  <c r="L26" i="9"/>
  <c r="L28" i="9"/>
  <c r="L34" i="9"/>
  <c r="L38" i="9"/>
  <c r="L39" i="9"/>
  <c r="L45" i="9"/>
  <c r="L46" i="9"/>
  <c r="L11" i="9"/>
  <c r="O20" i="9"/>
  <c r="AB30" i="8"/>
  <c r="AA11" i="8"/>
  <c r="AC25" i="8"/>
  <c r="L27" i="8"/>
  <c r="AA27" i="8"/>
  <c r="I28" i="8"/>
  <c r="Q28" i="8"/>
  <c r="H34" i="8"/>
  <c r="H34" i="9" s="1"/>
  <c r="P34" i="8"/>
  <c r="P34" i="9" s="1"/>
  <c r="R34" i="9" s="1"/>
  <c r="F39" i="8"/>
  <c r="Q39" i="8"/>
  <c r="L42" i="8"/>
  <c r="AC11" i="8"/>
  <c r="D19" i="8"/>
  <c r="I22" i="8"/>
  <c r="H24" i="8"/>
  <c r="H24" i="9" s="1"/>
  <c r="I24" i="9" s="1"/>
  <c r="P24" i="8"/>
  <c r="P24" i="9" s="1"/>
  <c r="Q24" i="9" s="1"/>
  <c r="D26" i="8"/>
  <c r="Q26" i="8"/>
  <c r="N27" i="8"/>
  <c r="I30" i="8"/>
  <c r="D31" i="8"/>
  <c r="Q31" i="8"/>
  <c r="I32" i="8"/>
  <c r="Q32" i="8"/>
  <c r="L38" i="8"/>
  <c r="N42" i="8"/>
  <c r="Q45" i="8"/>
  <c r="K7" i="8"/>
  <c r="Z17" i="8"/>
  <c r="D27" i="8"/>
  <c r="Q27" i="8"/>
  <c r="D28" i="8"/>
  <c r="L28" i="8"/>
  <c r="L30" i="8"/>
  <c r="C34" i="8"/>
  <c r="K34" i="8"/>
  <c r="D38" i="8"/>
  <c r="D41" i="8"/>
  <c r="L41" i="8"/>
  <c r="F42" i="8"/>
  <c r="Q42" i="8"/>
  <c r="F46" i="8"/>
  <c r="L22" i="8"/>
  <c r="C24" i="8"/>
  <c r="C27" i="9" s="1"/>
  <c r="G27" i="9" s="1"/>
  <c r="K24" i="8"/>
  <c r="K27" i="9" s="1"/>
  <c r="O27" i="9" s="1"/>
  <c r="I26" i="8"/>
  <c r="F27" i="8"/>
  <c r="N30" i="8"/>
  <c r="I31" i="8"/>
  <c r="D32" i="8"/>
  <c r="L32" i="8"/>
  <c r="D34" i="8"/>
  <c r="L34" i="8"/>
  <c r="D36" i="8"/>
  <c r="L36" i="8"/>
  <c r="F38" i="8"/>
  <c r="Q38" i="8"/>
  <c r="L39" i="8"/>
  <c r="I46" i="8"/>
  <c r="F28" i="8"/>
  <c r="N28" i="8"/>
  <c r="I42" i="8"/>
  <c r="L45" i="8"/>
  <c r="N46" i="8"/>
  <c r="D15" i="8"/>
  <c r="L16" i="8"/>
  <c r="L17" i="8"/>
  <c r="D18" i="8"/>
  <c r="X19" i="8"/>
  <c r="D22" i="8"/>
  <c r="E24" i="8"/>
  <c r="E24" i="9" s="1"/>
  <c r="F24" i="9" s="1"/>
  <c r="M24" i="8"/>
  <c r="M24" i="9" s="1"/>
  <c r="N24" i="9" s="1"/>
  <c r="L26" i="8"/>
  <c r="I27" i="8"/>
  <c r="D30" i="8"/>
  <c r="L31" i="8"/>
  <c r="D39" i="8"/>
  <c r="N39" i="8"/>
  <c r="D43" i="8"/>
  <c r="N26" i="8"/>
  <c r="J11" i="7"/>
  <c r="R11" i="7"/>
  <c r="O13" i="7"/>
  <c r="J15" i="7"/>
  <c r="H28" i="7"/>
  <c r="J26" i="7"/>
  <c r="P28" i="7"/>
  <c r="R26" i="7"/>
  <c r="J27" i="7"/>
  <c r="R27" i="7"/>
  <c r="E20" i="7"/>
  <c r="F31" i="7" s="1"/>
  <c r="F10" i="7"/>
  <c r="M20" i="7"/>
  <c r="N26" i="7" s="1"/>
  <c r="G12" i="7"/>
  <c r="O12" i="7"/>
  <c r="G22" i="7"/>
  <c r="O22" i="7"/>
  <c r="G39" i="7"/>
  <c r="O39" i="7"/>
  <c r="F42" i="7"/>
  <c r="G13" i="7"/>
  <c r="O15" i="7"/>
  <c r="J30" i="7"/>
  <c r="H32" i="7"/>
  <c r="R30" i="7"/>
  <c r="P32" i="7"/>
  <c r="G46" i="7"/>
  <c r="O46" i="7"/>
  <c r="G11" i="7"/>
  <c r="O11" i="7"/>
  <c r="F12" i="7"/>
  <c r="F22" i="7"/>
  <c r="G26" i="7"/>
  <c r="C28" i="7"/>
  <c r="O26" i="7"/>
  <c r="K28" i="7"/>
  <c r="G27" i="7"/>
  <c r="O27" i="7"/>
  <c r="J31" i="7"/>
  <c r="R31" i="7"/>
  <c r="J38" i="7"/>
  <c r="R38" i="7"/>
  <c r="F39" i="7"/>
  <c r="J10" i="7"/>
  <c r="H20" i="7"/>
  <c r="I10" i="7" s="1"/>
  <c r="R10" i="7"/>
  <c r="P20" i="7"/>
  <c r="Q38" i="7" s="1"/>
  <c r="G15" i="7"/>
  <c r="J42" i="7"/>
  <c r="I42" i="7"/>
  <c r="R42" i="7"/>
  <c r="F46" i="7"/>
  <c r="F11" i="7"/>
  <c r="R13" i="7"/>
  <c r="R15" i="7"/>
  <c r="F26" i="7"/>
  <c r="E28" i="7"/>
  <c r="M28" i="7"/>
  <c r="F27" i="7"/>
  <c r="C32" i="7"/>
  <c r="G30" i="7"/>
  <c r="K32" i="7"/>
  <c r="O30" i="7"/>
  <c r="I12" i="7"/>
  <c r="J12" i="7"/>
  <c r="Q12" i="7"/>
  <c r="R12" i="7"/>
  <c r="J13" i="7"/>
  <c r="J22" i="7"/>
  <c r="Q22" i="7"/>
  <c r="R22" i="7"/>
  <c r="G31" i="7"/>
  <c r="O31" i="7"/>
  <c r="G38" i="7"/>
  <c r="O38" i="7"/>
  <c r="J39" i="7"/>
  <c r="Q39" i="7"/>
  <c r="R39" i="7"/>
  <c r="G10" i="7"/>
  <c r="C20" i="7"/>
  <c r="D39" i="7" s="1"/>
  <c r="O10" i="7"/>
  <c r="K20" i="7"/>
  <c r="L31" i="7" s="1"/>
  <c r="E32" i="7"/>
  <c r="F32" i="7" s="1"/>
  <c r="F30" i="7"/>
  <c r="M32" i="7"/>
  <c r="G42" i="7"/>
  <c r="O42" i="7"/>
  <c r="L42" i="7"/>
  <c r="J46" i="7"/>
  <c r="R46" i="7"/>
  <c r="Q46" i="7"/>
  <c r="W41" i="7"/>
  <c r="W42" i="7" s="1"/>
  <c r="X38" i="7"/>
  <c r="V38" i="7"/>
  <c r="AB30" i="7"/>
  <c r="AC21" i="7"/>
  <c r="AA13" i="7"/>
  <c r="AA15" i="7"/>
  <c r="AA16" i="7"/>
  <c r="AB25" i="7"/>
  <c r="X7" i="7"/>
  <c r="AC7" i="7" s="1"/>
  <c r="AB13" i="7"/>
  <c r="AD17" i="7"/>
  <c r="Y19" i="7"/>
  <c r="AA28" i="7"/>
  <c r="AD13" i="7"/>
  <c r="Z19" i="7"/>
  <c r="AD19" i="7" s="1"/>
  <c r="AA11" i="7"/>
  <c r="P7" i="6"/>
  <c r="AB11" i="6"/>
  <c r="AI9" i="11" s="1"/>
  <c r="AC11" i="6"/>
  <c r="AB15" i="6"/>
  <c r="AI12" i="11" s="1"/>
  <c r="O16" i="6"/>
  <c r="AE23" i="6"/>
  <c r="AB25" i="6"/>
  <c r="M33" i="6"/>
  <c r="T29" i="6"/>
  <c r="O10" i="6"/>
  <c r="H32" i="5"/>
  <c r="J30" i="5"/>
  <c r="J13" i="5"/>
  <c r="H20" i="5"/>
  <c r="I26" i="5" s="1"/>
  <c r="R13" i="5"/>
  <c r="G26" i="5"/>
  <c r="C28" i="5"/>
  <c r="O26" i="5"/>
  <c r="K28" i="5"/>
  <c r="G27" i="5"/>
  <c r="O27" i="5"/>
  <c r="R31" i="5"/>
  <c r="J39" i="5"/>
  <c r="O46" i="5"/>
  <c r="M32" i="5"/>
  <c r="O42" i="5"/>
  <c r="L42" i="5"/>
  <c r="J22" i="5"/>
  <c r="I22" i="5"/>
  <c r="I20" i="5"/>
  <c r="R22" i="5"/>
  <c r="E28" i="5"/>
  <c r="M28" i="5"/>
  <c r="M34" i="5" s="1"/>
  <c r="J31" i="5"/>
  <c r="R38" i="5"/>
  <c r="G46" i="5"/>
  <c r="G13" i="5"/>
  <c r="K20" i="5"/>
  <c r="L27" i="5" s="1"/>
  <c r="O13" i="5"/>
  <c r="E32" i="5"/>
  <c r="J38" i="5"/>
  <c r="G42" i="5"/>
  <c r="Q31" i="5"/>
  <c r="R39" i="5"/>
  <c r="M20" i="5"/>
  <c r="D18" i="5"/>
  <c r="R30" i="5"/>
  <c r="P32" i="5"/>
  <c r="G10" i="5"/>
  <c r="C20" i="5"/>
  <c r="D22" i="5" s="1"/>
  <c r="D10" i="5"/>
  <c r="E20" i="5"/>
  <c r="G22" i="5"/>
  <c r="O22" i="5"/>
  <c r="L22" i="5"/>
  <c r="H28" i="5"/>
  <c r="J26" i="5"/>
  <c r="P28" i="5"/>
  <c r="R26" i="5"/>
  <c r="I27" i="5"/>
  <c r="J27" i="5"/>
  <c r="R27" i="5"/>
  <c r="D32" i="5"/>
  <c r="L32" i="5"/>
  <c r="G32" i="5"/>
  <c r="O32" i="5"/>
  <c r="P20" i="5"/>
  <c r="Q39" i="5" s="1"/>
  <c r="J16" i="4"/>
  <c r="J15" i="4"/>
  <c r="R12" i="4"/>
  <c r="AA16" i="4"/>
  <c r="Z16" i="4"/>
  <c r="AA23" i="4"/>
  <c r="R13" i="4"/>
  <c r="R16" i="4"/>
  <c r="R15" i="4"/>
  <c r="AC13" i="4"/>
  <c r="AB17" i="4"/>
  <c r="O11" i="4"/>
  <c r="J13" i="4"/>
  <c r="AA15" i="4"/>
  <c r="Z15" i="4"/>
  <c r="J12" i="4"/>
  <c r="G11" i="4"/>
  <c r="G30" i="4"/>
  <c r="C32" i="4"/>
  <c r="J10" i="4"/>
  <c r="I10" i="4"/>
  <c r="H20" i="4"/>
  <c r="I11" i="4" s="1"/>
  <c r="R10" i="4"/>
  <c r="P20" i="4"/>
  <c r="Q15" i="4" s="1"/>
  <c r="V17" i="4"/>
  <c r="X17" i="6" s="1"/>
  <c r="AH14" i="11" s="1"/>
  <c r="G14" i="4"/>
  <c r="O14" i="4"/>
  <c r="AC15" i="4"/>
  <c r="AC16" i="4"/>
  <c r="J18" i="4"/>
  <c r="I18" i="4"/>
  <c r="R18" i="4"/>
  <c r="J19" i="4"/>
  <c r="I20" i="4"/>
  <c r="J22" i="4"/>
  <c r="R22" i="4"/>
  <c r="Z25" i="4"/>
  <c r="AA27" i="4"/>
  <c r="G31" i="4"/>
  <c r="O31" i="4"/>
  <c r="G38" i="4"/>
  <c r="O38" i="4"/>
  <c r="G39" i="4"/>
  <c r="O39" i="4"/>
  <c r="G42" i="4"/>
  <c r="O42" i="4"/>
  <c r="G46" i="4"/>
  <c r="O46" i="4"/>
  <c r="G12" i="4"/>
  <c r="U17" i="4"/>
  <c r="J17" i="4"/>
  <c r="AA25" i="4"/>
  <c r="AA11" i="4"/>
  <c r="W17" i="4"/>
  <c r="G15" i="4"/>
  <c r="O15" i="4"/>
  <c r="O16" i="4"/>
  <c r="Z27" i="4"/>
  <c r="AA28" i="4"/>
  <c r="E32" i="4"/>
  <c r="M32" i="4"/>
  <c r="V19" i="4"/>
  <c r="V21" i="4" s="1"/>
  <c r="V30" i="4" s="1"/>
  <c r="O12" i="4"/>
  <c r="O13" i="4"/>
  <c r="L13" i="4"/>
  <c r="R17" i="4"/>
  <c r="Z23" i="4"/>
  <c r="E28" i="4"/>
  <c r="Z11" i="4"/>
  <c r="X17" i="4"/>
  <c r="Z17" i="6" s="1"/>
  <c r="AA13" i="4"/>
  <c r="Z13" i="4"/>
  <c r="G16" i="4"/>
  <c r="G17" i="4"/>
  <c r="O17" i="4"/>
  <c r="L19" i="4"/>
  <c r="AC23" i="4"/>
  <c r="J26" i="4"/>
  <c r="H28" i="4"/>
  <c r="I26" i="4"/>
  <c r="R26" i="4"/>
  <c r="P28" i="4"/>
  <c r="J27" i="4"/>
  <c r="I27" i="4"/>
  <c r="R27" i="4"/>
  <c r="Z28" i="4"/>
  <c r="F31" i="4"/>
  <c r="G13" i="4"/>
  <c r="AC14" i="4"/>
  <c r="M28" i="4"/>
  <c r="G10" i="4"/>
  <c r="C20" i="4"/>
  <c r="D30" i="4" s="1"/>
  <c r="K20" i="4"/>
  <c r="L15" i="4" s="1"/>
  <c r="O10" i="4"/>
  <c r="L10" i="4"/>
  <c r="J11" i="4"/>
  <c r="R11" i="4"/>
  <c r="Q11" i="4"/>
  <c r="Y17" i="4"/>
  <c r="Z14" i="4"/>
  <c r="AA14" i="4"/>
  <c r="D18" i="4"/>
  <c r="G18" i="4"/>
  <c r="L18" i="4"/>
  <c r="O18" i="4"/>
  <c r="D19" i="4"/>
  <c r="G19" i="4"/>
  <c r="G22" i="4"/>
  <c r="L22" i="4"/>
  <c r="O22" i="4"/>
  <c r="AC25" i="4"/>
  <c r="R30" i="4"/>
  <c r="P32" i="4"/>
  <c r="AC27" i="4"/>
  <c r="J30" i="4"/>
  <c r="H32" i="4"/>
  <c r="I30" i="4"/>
  <c r="E20" i="4"/>
  <c r="F30" i="4" s="1"/>
  <c r="F10" i="4"/>
  <c r="M20" i="4"/>
  <c r="N16" i="4" s="1"/>
  <c r="AC11" i="4"/>
  <c r="J14" i="4"/>
  <c r="I14" i="4"/>
  <c r="R14" i="4"/>
  <c r="F18" i="4"/>
  <c r="N18" i="4"/>
  <c r="F19" i="4"/>
  <c r="F22" i="4"/>
  <c r="N22" i="4"/>
  <c r="G26" i="4"/>
  <c r="C28" i="4"/>
  <c r="O26" i="4"/>
  <c r="K28" i="4"/>
  <c r="G27" i="4"/>
  <c r="O27" i="4"/>
  <c r="AC28" i="4"/>
  <c r="J31" i="4"/>
  <c r="I31" i="4"/>
  <c r="R31" i="4"/>
  <c r="J38" i="4"/>
  <c r="I38" i="4"/>
  <c r="R38" i="4"/>
  <c r="J39" i="4"/>
  <c r="I39" i="4"/>
  <c r="R39" i="4"/>
  <c r="J42" i="4"/>
  <c r="I42" i="4"/>
  <c r="R42" i="4"/>
  <c r="J46" i="4"/>
  <c r="I46" i="4"/>
  <c r="R46" i="4"/>
  <c r="O30" i="4"/>
  <c r="K32" i="4"/>
  <c r="K7" i="3"/>
  <c r="U7" i="3"/>
  <c r="X7" i="3" s="1"/>
  <c r="G16" i="3"/>
  <c r="J19" i="3"/>
  <c r="R22" i="3"/>
  <c r="R31" i="3"/>
  <c r="O38" i="3"/>
  <c r="R39" i="3"/>
  <c r="R42" i="3"/>
  <c r="J10" i="3"/>
  <c r="O10" i="3"/>
  <c r="K20" i="3"/>
  <c r="L10" i="3" s="1"/>
  <c r="M20" i="3"/>
  <c r="N31" i="3" s="1"/>
  <c r="L13" i="3"/>
  <c r="AA14" i="3"/>
  <c r="Z14" i="3"/>
  <c r="R19" i="3"/>
  <c r="I20" i="3"/>
  <c r="G31" i="3"/>
  <c r="G39" i="3"/>
  <c r="G42" i="3"/>
  <c r="J46" i="3"/>
  <c r="G15" i="3"/>
  <c r="O19" i="3"/>
  <c r="L19" i="3"/>
  <c r="P28" i="3"/>
  <c r="R26" i="3"/>
  <c r="R38" i="3"/>
  <c r="N10" i="3"/>
  <c r="L11" i="3"/>
  <c r="O16" i="3"/>
  <c r="X17" i="3"/>
  <c r="M32" i="3"/>
  <c r="O46" i="3"/>
  <c r="R27" i="3"/>
  <c r="R10" i="3"/>
  <c r="AC14" i="3"/>
  <c r="N16" i="3"/>
  <c r="J31" i="3"/>
  <c r="J39" i="3"/>
  <c r="J42" i="3"/>
  <c r="AA10" i="3"/>
  <c r="Z10" i="3"/>
  <c r="G10" i="3"/>
  <c r="C20" i="3"/>
  <c r="D16" i="3" s="1"/>
  <c r="D10" i="3"/>
  <c r="O15" i="3"/>
  <c r="G19" i="3"/>
  <c r="D19" i="3"/>
  <c r="H28" i="3"/>
  <c r="H28" i="6" s="1"/>
  <c r="J26" i="3"/>
  <c r="J27" i="3"/>
  <c r="O31" i="3"/>
  <c r="L31" i="3"/>
  <c r="O39" i="3"/>
  <c r="O42" i="3"/>
  <c r="R46" i="3"/>
  <c r="G13" i="3"/>
  <c r="O13" i="3"/>
  <c r="G17" i="3"/>
  <c r="O17" i="3"/>
  <c r="G26" i="3"/>
  <c r="O26" i="3"/>
  <c r="G27" i="3"/>
  <c r="O27" i="3"/>
  <c r="D38" i="3"/>
  <c r="L38" i="3"/>
  <c r="D39" i="3"/>
  <c r="L39" i="3"/>
  <c r="L42" i="3"/>
  <c r="D46" i="3"/>
  <c r="L46" i="3"/>
  <c r="L22" i="3"/>
  <c r="H32" i="3"/>
  <c r="P32" i="3"/>
  <c r="Z15" i="3"/>
  <c r="H20" i="3"/>
  <c r="H20" i="6" s="1"/>
  <c r="I26" i="6" s="1"/>
  <c r="P20" i="3"/>
  <c r="Q16" i="3" s="1"/>
  <c r="D26" i="3"/>
  <c r="L26" i="3"/>
  <c r="I39" i="3"/>
  <c r="Q39" i="3"/>
  <c r="I42" i="3"/>
  <c r="Q42" i="3"/>
  <c r="I46" i="3"/>
  <c r="G19" i="11" l="1"/>
  <c r="I31" i="3"/>
  <c r="I10" i="3"/>
  <c r="I27" i="3"/>
  <c r="L27" i="3"/>
  <c r="F17" i="4"/>
  <c r="F38" i="4"/>
  <c r="F14" i="4"/>
  <c r="F27" i="4"/>
  <c r="Q26" i="5"/>
  <c r="L13" i="5"/>
  <c r="L46" i="5"/>
  <c r="L26" i="5"/>
  <c r="O34" i="8"/>
  <c r="K42" i="9"/>
  <c r="O42" i="9" s="1"/>
  <c r="Z16" i="9"/>
  <c r="N42" i="9"/>
  <c r="Z8" i="11"/>
  <c r="J42" i="6"/>
  <c r="H42" i="11"/>
  <c r="I42" i="6"/>
  <c r="AB13" i="11"/>
  <c r="AK13" i="11"/>
  <c r="M20" i="6"/>
  <c r="M10" i="11"/>
  <c r="AH19" i="11"/>
  <c r="Y19" i="11"/>
  <c r="N16" i="6"/>
  <c r="M16" i="11"/>
  <c r="AC13" i="6"/>
  <c r="AB10" i="11"/>
  <c r="AK10" i="11"/>
  <c r="M26" i="6"/>
  <c r="M28" i="3"/>
  <c r="M39" i="11"/>
  <c r="P27" i="11"/>
  <c r="R27" i="6"/>
  <c r="G17" i="6"/>
  <c r="C17" i="11"/>
  <c r="AB23" i="6"/>
  <c r="AI19" i="11" s="1"/>
  <c r="AB19" i="11"/>
  <c r="AK19" i="11"/>
  <c r="E30" i="6"/>
  <c r="E32" i="3"/>
  <c r="F32" i="3" s="1"/>
  <c r="E27" i="11"/>
  <c r="T19" i="6"/>
  <c r="G46" i="3"/>
  <c r="C46" i="6"/>
  <c r="G32" i="6"/>
  <c r="H22" i="6"/>
  <c r="J22" i="3"/>
  <c r="R11" i="3"/>
  <c r="M11" i="6"/>
  <c r="AC13" i="3"/>
  <c r="Z17" i="4"/>
  <c r="AA17" i="6"/>
  <c r="G34" i="8"/>
  <c r="C42" i="9"/>
  <c r="G42" i="9" s="1"/>
  <c r="Q19" i="10"/>
  <c r="I30" i="9"/>
  <c r="I45" i="9"/>
  <c r="I31" i="9"/>
  <c r="I18" i="9"/>
  <c r="I14" i="9"/>
  <c r="I10" i="9"/>
  <c r="I42" i="9"/>
  <c r="I36" i="9"/>
  <c r="I39" i="9"/>
  <c r="I38" i="9"/>
  <c r="I20" i="9"/>
  <c r="I22" i="9"/>
  <c r="I16" i="9"/>
  <c r="I12" i="9"/>
  <c r="I32" i="9"/>
  <c r="I28" i="9"/>
  <c r="I17" i="9"/>
  <c r="I46" i="9"/>
  <c r="I34" i="9"/>
  <c r="I26" i="9"/>
  <c r="I19" i="9"/>
  <c r="R39" i="6"/>
  <c r="P39" i="11"/>
  <c r="E20" i="3"/>
  <c r="E10" i="6"/>
  <c r="O22" i="3"/>
  <c r="K22" i="6"/>
  <c r="E16" i="11"/>
  <c r="Y17" i="3"/>
  <c r="Z17" i="3" s="1"/>
  <c r="T27" i="6"/>
  <c r="E39" i="11"/>
  <c r="H27" i="11"/>
  <c r="J27" i="6"/>
  <c r="AA28" i="3"/>
  <c r="O42" i="6"/>
  <c r="J19" i="11"/>
  <c r="J11" i="3"/>
  <c r="E11" i="6"/>
  <c r="G11" i="3"/>
  <c r="C11" i="6"/>
  <c r="P15" i="11"/>
  <c r="AA16" i="3"/>
  <c r="Z16" i="3"/>
  <c r="I28" i="6"/>
  <c r="I16" i="3"/>
  <c r="L17" i="3"/>
  <c r="D13" i="5"/>
  <c r="D30" i="7"/>
  <c r="K19" i="11"/>
  <c r="N31" i="9"/>
  <c r="AA17" i="7"/>
  <c r="J28" i="9"/>
  <c r="W8" i="11"/>
  <c r="K30" i="6"/>
  <c r="K32" i="3"/>
  <c r="L32" i="3" s="1"/>
  <c r="O30" i="3"/>
  <c r="J39" i="6"/>
  <c r="H39" i="11"/>
  <c r="I39" i="6"/>
  <c r="X19" i="11"/>
  <c r="AG19" i="11"/>
  <c r="AB12" i="11"/>
  <c r="AK12" i="11"/>
  <c r="J30" i="3"/>
  <c r="H30" i="6"/>
  <c r="G22" i="3"/>
  <c r="C22" i="6"/>
  <c r="R11" i="6"/>
  <c r="P11" i="11"/>
  <c r="AA11" i="11"/>
  <c r="AE14" i="6"/>
  <c r="P28" i="6"/>
  <c r="P26" i="11"/>
  <c r="Y13" i="11"/>
  <c r="AH13" i="11"/>
  <c r="AB13" i="6"/>
  <c r="AI10" i="11" s="1"/>
  <c r="R17" i="3"/>
  <c r="P17" i="6"/>
  <c r="Z22" i="11"/>
  <c r="AC28" i="6"/>
  <c r="K15" i="11"/>
  <c r="AC25" i="6"/>
  <c r="G42" i="6"/>
  <c r="C42" i="11"/>
  <c r="AG22" i="11"/>
  <c r="X22" i="11"/>
  <c r="R18" i="3"/>
  <c r="P18" i="6"/>
  <c r="K14" i="6"/>
  <c r="O14" i="3"/>
  <c r="P10" i="11"/>
  <c r="R10" i="6"/>
  <c r="J12" i="3"/>
  <c r="H12" i="6"/>
  <c r="R16" i="3"/>
  <c r="P16" i="6"/>
  <c r="AC16" i="6"/>
  <c r="Z13" i="11"/>
  <c r="AB16" i="6"/>
  <c r="I13" i="3"/>
  <c r="AC17" i="6"/>
  <c r="U19" i="4"/>
  <c r="U21" i="4" s="1"/>
  <c r="U30" i="4" s="1"/>
  <c r="AA30" i="4" s="1"/>
  <c r="W17" i="6"/>
  <c r="AC17" i="4"/>
  <c r="AB17" i="3"/>
  <c r="AD17" i="6"/>
  <c r="D42" i="5"/>
  <c r="D26" i="5"/>
  <c r="F34" i="8"/>
  <c r="E34" i="9"/>
  <c r="AC17" i="8"/>
  <c r="Y17" i="9"/>
  <c r="AC17" i="9" s="1"/>
  <c r="Z15" i="9"/>
  <c r="Z14" i="11" s="1"/>
  <c r="W22" i="11"/>
  <c r="R38" i="6"/>
  <c r="P38" i="11"/>
  <c r="K27" i="11"/>
  <c r="O27" i="6"/>
  <c r="G17" i="11"/>
  <c r="AG12" i="11"/>
  <c r="X12" i="11"/>
  <c r="J11" i="6"/>
  <c r="H11" i="11"/>
  <c r="G13" i="6"/>
  <c r="C13" i="11"/>
  <c r="H26" i="11"/>
  <c r="C16" i="11"/>
  <c r="G16" i="11" s="1"/>
  <c r="G16" i="6"/>
  <c r="Z13" i="3"/>
  <c r="AA13" i="3"/>
  <c r="O13" i="6"/>
  <c r="K13" i="11"/>
  <c r="C15" i="11"/>
  <c r="E12" i="11"/>
  <c r="J17" i="3"/>
  <c r="H17" i="6"/>
  <c r="O39" i="6"/>
  <c r="AA27" i="3"/>
  <c r="J18" i="3"/>
  <c r="H18" i="6"/>
  <c r="C14" i="6"/>
  <c r="G14" i="3"/>
  <c r="I10" i="6"/>
  <c r="H10" i="11"/>
  <c r="J10" i="6"/>
  <c r="AC15" i="6"/>
  <c r="Z12" i="11"/>
  <c r="AC12" i="11" s="1"/>
  <c r="R13" i="3"/>
  <c r="P13" i="6"/>
  <c r="P12" i="6"/>
  <c r="R12" i="3"/>
  <c r="I32" i="6"/>
  <c r="I20" i="6"/>
  <c r="I22" i="3"/>
  <c r="Q27" i="5"/>
  <c r="Q38" i="5"/>
  <c r="I27" i="6"/>
  <c r="D12" i="7"/>
  <c r="U19" i="10"/>
  <c r="U21" i="10" s="1"/>
  <c r="U30" i="10" s="1"/>
  <c r="U30" i="8"/>
  <c r="U21" i="9"/>
  <c r="Y19" i="9"/>
  <c r="Z11" i="9"/>
  <c r="Z10" i="11" s="1"/>
  <c r="J38" i="3"/>
  <c r="H38" i="6"/>
  <c r="C27" i="11"/>
  <c r="G27" i="6"/>
  <c r="P14" i="6"/>
  <c r="R14" i="3"/>
  <c r="AA21" i="11"/>
  <c r="AE27" i="6"/>
  <c r="R30" i="3"/>
  <c r="P30" i="6"/>
  <c r="O18" i="3"/>
  <c r="K18" i="6"/>
  <c r="R15" i="3"/>
  <c r="M15" i="6"/>
  <c r="K10" i="11"/>
  <c r="AE19" i="11"/>
  <c r="O12" i="3"/>
  <c r="K12" i="6"/>
  <c r="AB21" i="11"/>
  <c r="AC21" i="11" s="1"/>
  <c r="AK21" i="11"/>
  <c r="AA11" i="3"/>
  <c r="U17" i="3"/>
  <c r="U19" i="3" s="1"/>
  <c r="U21" i="3" s="1"/>
  <c r="G39" i="6"/>
  <c r="C39" i="11"/>
  <c r="AB27" i="6"/>
  <c r="AI21" i="11" s="1"/>
  <c r="Z21" i="11"/>
  <c r="AC27" i="6"/>
  <c r="AA13" i="11"/>
  <c r="AE13" i="11" s="1"/>
  <c r="AE16" i="6"/>
  <c r="AH10" i="11"/>
  <c r="Y10" i="11"/>
  <c r="Y14" i="11" s="1"/>
  <c r="G30" i="3"/>
  <c r="C30" i="6"/>
  <c r="C32" i="3"/>
  <c r="AA15" i="3"/>
  <c r="H15" i="11"/>
  <c r="I15" i="6"/>
  <c r="I19" i="3"/>
  <c r="F16" i="4"/>
  <c r="F46" i="4"/>
  <c r="Y19" i="4"/>
  <c r="Z19" i="4" s="1"/>
  <c r="W19" i="4"/>
  <c r="W21" i="4" s="1"/>
  <c r="Y17" i="6"/>
  <c r="AG14" i="11" s="1"/>
  <c r="F11" i="4"/>
  <c r="Q13" i="5"/>
  <c r="D46" i="7"/>
  <c r="R24" i="9"/>
  <c r="M36" i="10"/>
  <c r="R59" i="7" s="1"/>
  <c r="F20" i="9"/>
  <c r="F13" i="9"/>
  <c r="Y19" i="8"/>
  <c r="Q30" i="9"/>
  <c r="Q32" i="9"/>
  <c r="Q28" i="9"/>
  <c r="Q46" i="9"/>
  <c r="Q34" i="9"/>
  <c r="Q31" i="9"/>
  <c r="Q26" i="9"/>
  <c r="Q14" i="9"/>
  <c r="Q45" i="9"/>
  <c r="Q42" i="9"/>
  <c r="Q10" i="9"/>
  <c r="Q39" i="9"/>
  <c r="Q38" i="9"/>
  <c r="Q22" i="9"/>
  <c r="Q20" i="9"/>
  <c r="Q12" i="9"/>
  <c r="C31" i="11"/>
  <c r="R46" i="6"/>
  <c r="P46" i="11"/>
  <c r="K28" i="3"/>
  <c r="K26" i="6"/>
  <c r="J14" i="3"/>
  <c r="H14" i="6"/>
  <c r="AE25" i="6"/>
  <c r="C18" i="6"/>
  <c r="G18" i="3"/>
  <c r="J15" i="3"/>
  <c r="E15" i="6"/>
  <c r="C10" i="11"/>
  <c r="E46" i="11"/>
  <c r="AC23" i="3"/>
  <c r="Y12" i="11"/>
  <c r="AH12" i="11"/>
  <c r="AA19" i="6"/>
  <c r="AB9" i="11"/>
  <c r="AK9" i="11"/>
  <c r="V19" i="3"/>
  <c r="V21" i="3" s="1"/>
  <c r="V30" i="3" s="1"/>
  <c r="W13" i="11"/>
  <c r="W14" i="11" s="1"/>
  <c r="AH11" i="11"/>
  <c r="Y11" i="11"/>
  <c r="Z9" i="11"/>
  <c r="Z19" i="6"/>
  <c r="AC19" i="6" s="1"/>
  <c r="O38" i="6"/>
  <c r="AK20" i="11"/>
  <c r="AB20" i="11"/>
  <c r="AC16" i="3"/>
  <c r="V17" i="3"/>
  <c r="J13" i="3"/>
  <c r="H13" i="6"/>
  <c r="Y21" i="11"/>
  <c r="AH21" i="11"/>
  <c r="J16" i="3"/>
  <c r="H16" i="6"/>
  <c r="I15" i="3"/>
  <c r="F15" i="4"/>
  <c r="F42" i="4"/>
  <c r="F32" i="4"/>
  <c r="F12" i="4"/>
  <c r="I11" i="6"/>
  <c r="D42" i="7"/>
  <c r="D10" i="7"/>
  <c r="J24" i="9"/>
  <c r="N20" i="9"/>
  <c r="N15" i="9"/>
  <c r="N13" i="9"/>
  <c r="N32" i="9"/>
  <c r="AC8" i="11"/>
  <c r="J46" i="6"/>
  <c r="H46" i="11"/>
  <c r="I46" i="6"/>
  <c r="C28" i="3"/>
  <c r="C26" i="6"/>
  <c r="AB19" i="3"/>
  <c r="AC11" i="3"/>
  <c r="W20" i="11"/>
  <c r="AC14" i="6"/>
  <c r="Z11" i="11"/>
  <c r="AB14" i="6"/>
  <c r="AI11" i="11" s="1"/>
  <c r="AB28" i="6"/>
  <c r="AB22" i="11"/>
  <c r="AK22" i="11"/>
  <c r="AG11" i="11"/>
  <c r="X11" i="11"/>
  <c r="X19" i="6"/>
  <c r="Y9" i="11"/>
  <c r="AH9" i="11"/>
  <c r="AG10" i="11"/>
  <c r="X10" i="11"/>
  <c r="X14" i="11" s="1"/>
  <c r="AH22" i="11"/>
  <c r="Y22" i="11"/>
  <c r="G12" i="3"/>
  <c r="C12" i="6"/>
  <c r="C20" i="6" s="1"/>
  <c r="G38" i="3"/>
  <c r="C38" i="6"/>
  <c r="Z25" i="3"/>
  <c r="AA12" i="11"/>
  <c r="AE12" i="11" s="1"/>
  <c r="AE15" i="6"/>
  <c r="O11" i="3"/>
  <c r="K11" i="6"/>
  <c r="K20" i="6" s="1"/>
  <c r="AA23" i="3"/>
  <c r="I38" i="3"/>
  <c r="Q10" i="3"/>
  <c r="N10" i="4"/>
  <c r="N19" i="4"/>
  <c r="F39" i="4"/>
  <c r="Q31" i="7"/>
  <c r="Z19" i="8"/>
  <c r="X19" i="9"/>
  <c r="AA19" i="9" s="1"/>
  <c r="AA17" i="8"/>
  <c r="X17" i="9"/>
  <c r="L27" i="9"/>
  <c r="L15" i="9"/>
  <c r="AI8" i="11"/>
  <c r="F15" i="9"/>
  <c r="Z25" i="9"/>
  <c r="AF3" i="9"/>
  <c r="T6" i="9"/>
  <c r="R42" i="6"/>
  <c r="P42" i="11"/>
  <c r="AA22" i="11"/>
  <c r="AE22" i="11" s="1"/>
  <c r="AE28" i="6"/>
  <c r="AE11" i="6"/>
  <c r="AA9" i="11"/>
  <c r="X13" i="11"/>
  <c r="AG13" i="11"/>
  <c r="X21" i="11"/>
  <c r="AG21" i="11"/>
  <c r="K17" i="11"/>
  <c r="O17" i="11" s="1"/>
  <c r="O17" i="6"/>
  <c r="E26" i="6"/>
  <c r="J26" i="6" s="1"/>
  <c r="E28" i="3"/>
  <c r="M32" i="11"/>
  <c r="W17" i="3"/>
  <c r="W19" i="3" s="1"/>
  <c r="O46" i="6"/>
  <c r="O32" i="6"/>
  <c r="R22" i="6"/>
  <c r="P22" i="11"/>
  <c r="AC15" i="3"/>
  <c r="Y19" i="6"/>
  <c r="AG15" i="11" s="1"/>
  <c r="X9" i="11"/>
  <c r="X15" i="11" s="1"/>
  <c r="AG9" i="11"/>
  <c r="W9" i="11"/>
  <c r="W19" i="6"/>
  <c r="AE13" i="6"/>
  <c r="AA10" i="11"/>
  <c r="AE10" i="11" s="1"/>
  <c r="Z19" i="11"/>
  <c r="AD19" i="11" s="1"/>
  <c r="AC23" i="6"/>
  <c r="AB11" i="11"/>
  <c r="AC11" i="11" s="1"/>
  <c r="AK11" i="11"/>
  <c r="Y30" i="10"/>
  <c r="AC21" i="10"/>
  <c r="H34" i="10"/>
  <c r="J34" i="10" s="1"/>
  <c r="C34" i="10"/>
  <c r="G34" i="10" s="1"/>
  <c r="N17" i="10"/>
  <c r="N14" i="10"/>
  <c r="N39" i="10"/>
  <c r="N38" i="10"/>
  <c r="N32" i="10"/>
  <c r="N31" i="10"/>
  <c r="N27" i="10"/>
  <c r="N20" i="10"/>
  <c r="N12" i="10"/>
  <c r="N30" i="10"/>
  <c r="N43" i="10"/>
  <c r="N42" i="10"/>
  <c r="N24" i="10"/>
  <c r="N22" i="10"/>
  <c r="N21" i="10"/>
  <c r="N18" i="10"/>
  <c r="N15" i="10"/>
  <c r="N46" i="10"/>
  <c r="N36" i="10"/>
  <c r="N11" i="10"/>
  <c r="N23" i="10"/>
  <c r="N26" i="10"/>
  <c r="N45" i="10"/>
  <c r="N41" i="10"/>
  <c r="N34" i="10"/>
  <c r="N28" i="10"/>
  <c r="N19" i="10"/>
  <c r="N16" i="10"/>
  <c r="N13" i="10"/>
  <c r="N10" i="10"/>
  <c r="F42" i="10"/>
  <c r="F22" i="10"/>
  <c r="F20" i="10"/>
  <c r="F15" i="10"/>
  <c r="F46" i="10"/>
  <c r="F39" i="10"/>
  <c r="F38" i="10"/>
  <c r="F32" i="10"/>
  <c r="F31" i="10"/>
  <c r="F11" i="10"/>
  <c r="F43" i="10"/>
  <c r="F24" i="10"/>
  <c r="F16" i="10"/>
  <c r="F36" i="10"/>
  <c r="F26" i="10"/>
  <c r="F45" i="10"/>
  <c r="F17" i="10"/>
  <c r="F13" i="10"/>
  <c r="F30" i="10"/>
  <c r="F28" i="10"/>
  <c r="F19" i="10"/>
  <c r="F12" i="10"/>
  <c r="F41" i="10"/>
  <c r="F34" i="10"/>
  <c r="I20" i="10"/>
  <c r="F18" i="10"/>
  <c r="F14" i="10"/>
  <c r="F10" i="10"/>
  <c r="F27" i="10"/>
  <c r="K20" i="10"/>
  <c r="O10" i="10"/>
  <c r="P34" i="10"/>
  <c r="R32" i="10"/>
  <c r="Q32" i="10"/>
  <c r="G19" i="10"/>
  <c r="C24" i="10"/>
  <c r="H36" i="10"/>
  <c r="J24" i="10"/>
  <c r="Q22" i="10"/>
  <c r="Q15" i="10"/>
  <c r="Q42" i="10"/>
  <c r="Q46" i="10"/>
  <c r="Q11" i="10"/>
  <c r="Q27" i="10"/>
  <c r="Q12" i="10"/>
  <c r="Q26" i="10"/>
  <c r="Q13" i="10"/>
  <c r="Q30" i="10"/>
  <c r="R20" i="10"/>
  <c r="Q20" i="10"/>
  <c r="Q14" i="10"/>
  <c r="AC30" i="10"/>
  <c r="AC17" i="10"/>
  <c r="Q10" i="10"/>
  <c r="K28" i="10"/>
  <c r="O24" i="10"/>
  <c r="Q28" i="10"/>
  <c r="Q38" i="10"/>
  <c r="Z16" i="10"/>
  <c r="AA16" i="10"/>
  <c r="X17" i="10"/>
  <c r="AA17" i="10" s="1"/>
  <c r="Z28" i="10"/>
  <c r="K41" i="10"/>
  <c r="O36" i="10"/>
  <c r="E34" i="10"/>
  <c r="I34" i="10" s="1"/>
  <c r="I32" i="10"/>
  <c r="AC19" i="10"/>
  <c r="Z19" i="10"/>
  <c r="AA10" i="10"/>
  <c r="C20" i="10"/>
  <c r="G10" i="10"/>
  <c r="Q31" i="10"/>
  <c r="X19" i="10"/>
  <c r="AA19" i="10" s="1"/>
  <c r="AA11" i="10"/>
  <c r="P36" i="10"/>
  <c r="Q24" i="10"/>
  <c r="R24" i="10"/>
  <c r="E36" i="10"/>
  <c r="E59" i="7" s="1"/>
  <c r="I24" i="10"/>
  <c r="N24" i="8"/>
  <c r="M36" i="8"/>
  <c r="M36" i="9" s="1"/>
  <c r="F24" i="8"/>
  <c r="E36" i="8"/>
  <c r="E36" i="9" s="1"/>
  <c r="R24" i="8"/>
  <c r="Q24" i="8"/>
  <c r="P36" i="8"/>
  <c r="P36" i="9" s="1"/>
  <c r="Q36" i="9" s="1"/>
  <c r="Q34" i="8"/>
  <c r="R34" i="8"/>
  <c r="I24" i="8"/>
  <c r="J24" i="8"/>
  <c r="H36" i="8"/>
  <c r="H36" i="9" s="1"/>
  <c r="I34" i="8"/>
  <c r="J34" i="8"/>
  <c r="AA19" i="8"/>
  <c r="X21" i="8"/>
  <c r="X21" i="9" s="1"/>
  <c r="K36" i="8"/>
  <c r="K45" i="9" s="1"/>
  <c r="O45" i="9" s="1"/>
  <c r="O24" i="8"/>
  <c r="C36" i="8"/>
  <c r="C45" i="9" s="1"/>
  <c r="G45" i="9" s="1"/>
  <c r="G24" i="8"/>
  <c r="J28" i="7"/>
  <c r="I28" i="7"/>
  <c r="H34" i="7"/>
  <c r="Z21" i="7"/>
  <c r="AA19" i="7"/>
  <c r="C24" i="7"/>
  <c r="G20" i="7"/>
  <c r="D20" i="7"/>
  <c r="L38" i="7"/>
  <c r="N28" i="7"/>
  <c r="M34" i="7"/>
  <c r="N34" i="7" s="1"/>
  <c r="N46" i="7"/>
  <c r="Q10" i="7"/>
  <c r="L27" i="7"/>
  <c r="D26" i="7"/>
  <c r="D11" i="7"/>
  <c r="N42" i="7"/>
  <c r="D22" i="7"/>
  <c r="I27" i="7"/>
  <c r="N30" i="7"/>
  <c r="L30" i="7"/>
  <c r="R20" i="7"/>
  <c r="Q20" i="7"/>
  <c r="P24" i="7"/>
  <c r="I30" i="7"/>
  <c r="F20" i="7"/>
  <c r="E24" i="7"/>
  <c r="L13" i="7"/>
  <c r="N20" i="7"/>
  <c r="M24" i="7"/>
  <c r="N32" i="7"/>
  <c r="D38" i="7"/>
  <c r="I22" i="7"/>
  <c r="L32" i="7"/>
  <c r="O32" i="7"/>
  <c r="F28" i="7"/>
  <c r="E34" i="7"/>
  <c r="F34" i="7" s="1"/>
  <c r="Q42" i="7"/>
  <c r="I38" i="7"/>
  <c r="D27" i="7"/>
  <c r="N22" i="7"/>
  <c r="L46" i="7"/>
  <c r="J32" i="7"/>
  <c r="I32" i="7"/>
  <c r="L39" i="7"/>
  <c r="L12" i="7"/>
  <c r="N38" i="7"/>
  <c r="Q26" i="7"/>
  <c r="AB19" i="7"/>
  <c r="Y21" i="7"/>
  <c r="I46" i="7"/>
  <c r="F38" i="7"/>
  <c r="Q11" i="7"/>
  <c r="AC30" i="7"/>
  <c r="AD21" i="7"/>
  <c r="J20" i="7"/>
  <c r="I20" i="7"/>
  <c r="H24" i="7"/>
  <c r="K34" i="7"/>
  <c r="O28" i="7"/>
  <c r="L28" i="7"/>
  <c r="N12" i="7"/>
  <c r="N31" i="7"/>
  <c r="R28" i="7"/>
  <c r="Q28" i="7"/>
  <c r="P34" i="7"/>
  <c r="C34" i="7"/>
  <c r="G28" i="7"/>
  <c r="D28" i="7"/>
  <c r="R32" i="7"/>
  <c r="Q32" i="7"/>
  <c r="K24" i="7"/>
  <c r="O20" i="7"/>
  <c r="L20" i="7"/>
  <c r="D32" i="7"/>
  <c r="G32" i="7"/>
  <c r="L26" i="7"/>
  <c r="N13" i="7"/>
  <c r="I26" i="7"/>
  <c r="I11" i="7"/>
  <c r="L10" i="7"/>
  <c r="I39" i="7"/>
  <c r="D31" i="7"/>
  <c r="N27" i="7"/>
  <c r="N11" i="7"/>
  <c r="D15" i="7"/>
  <c r="N39" i="7"/>
  <c r="I31" i="7"/>
  <c r="L11" i="7"/>
  <c r="Q30" i="7"/>
  <c r="D13" i="7"/>
  <c r="L22" i="7"/>
  <c r="N10" i="7"/>
  <c r="Q27" i="7"/>
  <c r="Q28" i="5"/>
  <c r="P34" i="5"/>
  <c r="R28" i="5"/>
  <c r="N12" i="5"/>
  <c r="N10" i="5"/>
  <c r="N42" i="5"/>
  <c r="N39" i="5"/>
  <c r="N16" i="5"/>
  <c r="N28" i="5"/>
  <c r="N27" i="5"/>
  <c r="N26" i="5"/>
  <c r="N18" i="5"/>
  <c r="N14" i="5"/>
  <c r="N46" i="5"/>
  <c r="N30" i="5"/>
  <c r="N13" i="5"/>
  <c r="N19" i="5"/>
  <c r="N11" i="5"/>
  <c r="N38" i="5"/>
  <c r="M24" i="5"/>
  <c r="M36" i="5" s="1"/>
  <c r="N22" i="5"/>
  <c r="N15" i="5"/>
  <c r="N20" i="5"/>
  <c r="N17" i="5"/>
  <c r="N34" i="5"/>
  <c r="N32" i="5"/>
  <c r="N31" i="5"/>
  <c r="J32" i="5"/>
  <c r="I32" i="5"/>
  <c r="H34" i="5"/>
  <c r="D16" i="5"/>
  <c r="D20" i="5"/>
  <c r="D14" i="5"/>
  <c r="C24" i="5"/>
  <c r="D30" i="5"/>
  <c r="D11" i="5"/>
  <c r="D17" i="5"/>
  <c r="D15" i="5"/>
  <c r="D12" i="5"/>
  <c r="D38" i="5"/>
  <c r="G20" i="5"/>
  <c r="L17" i="5"/>
  <c r="L31" i="5"/>
  <c r="L20" i="5"/>
  <c r="K24" i="5"/>
  <c r="L15" i="5"/>
  <c r="L12" i="5"/>
  <c r="L10" i="5"/>
  <c r="L39" i="5"/>
  <c r="L16" i="5"/>
  <c r="L14" i="5"/>
  <c r="L38" i="5"/>
  <c r="L30" i="5"/>
  <c r="L19" i="5"/>
  <c r="O20" i="5"/>
  <c r="L11" i="5"/>
  <c r="D27" i="5"/>
  <c r="L18" i="5"/>
  <c r="R32" i="5"/>
  <c r="Q32" i="5"/>
  <c r="I28" i="5"/>
  <c r="J28" i="5"/>
  <c r="E34" i="5"/>
  <c r="O28" i="5"/>
  <c r="K34" i="5"/>
  <c r="L28" i="5"/>
  <c r="Q14" i="5"/>
  <c r="Q46" i="5"/>
  <c r="P24" i="5"/>
  <c r="Q11" i="5"/>
  <c r="R20" i="5"/>
  <c r="Q15" i="5"/>
  <c r="Q20" i="5"/>
  <c r="Q17" i="5"/>
  <c r="Q12" i="5"/>
  <c r="Q16" i="5"/>
  <c r="Q10" i="5"/>
  <c r="Q42" i="5"/>
  <c r="I11" i="5"/>
  <c r="I15" i="5"/>
  <c r="H24" i="5"/>
  <c r="J20" i="5"/>
  <c r="I12" i="5"/>
  <c r="I10" i="5"/>
  <c r="I16" i="5"/>
  <c r="I14" i="5"/>
  <c r="I46" i="5"/>
  <c r="Q30" i="5"/>
  <c r="I38" i="5"/>
  <c r="D46" i="5"/>
  <c r="I13" i="5"/>
  <c r="F45" i="5"/>
  <c r="F42" i="5"/>
  <c r="F14" i="5"/>
  <c r="F46" i="5"/>
  <c r="F30" i="5"/>
  <c r="F43" i="5"/>
  <c r="F28" i="5"/>
  <c r="F27" i="5"/>
  <c r="F26" i="5"/>
  <c r="F11" i="5"/>
  <c r="F34" i="5"/>
  <c r="F18" i="5"/>
  <c r="F17" i="5"/>
  <c r="F15" i="5"/>
  <c r="F32" i="5"/>
  <c r="F20" i="5"/>
  <c r="F38" i="5"/>
  <c r="F24" i="5"/>
  <c r="F19" i="5"/>
  <c r="F16" i="5"/>
  <c r="F13" i="5"/>
  <c r="F36" i="5"/>
  <c r="F31" i="5"/>
  <c r="E24" i="5"/>
  <c r="E36" i="5" s="1"/>
  <c r="F22" i="5"/>
  <c r="F12" i="5"/>
  <c r="F10" i="5"/>
  <c r="F41" i="5"/>
  <c r="F39" i="5"/>
  <c r="G28" i="5"/>
  <c r="C34" i="5"/>
  <c r="D28" i="5"/>
  <c r="D12" i="4"/>
  <c r="D38" i="4"/>
  <c r="Q46" i="4"/>
  <c r="O20" i="4"/>
  <c r="K24" i="4"/>
  <c r="L20" i="4"/>
  <c r="Q17" i="4"/>
  <c r="L26" i="4"/>
  <c r="AB19" i="4"/>
  <c r="D10" i="4"/>
  <c r="N46" i="4"/>
  <c r="N31" i="4"/>
  <c r="P34" i="4"/>
  <c r="R28" i="4"/>
  <c r="Q28" i="4"/>
  <c r="L17" i="4"/>
  <c r="AA17" i="4"/>
  <c r="D15" i="4"/>
  <c r="X19" i="4"/>
  <c r="L46" i="4"/>
  <c r="L39" i="4"/>
  <c r="L31" i="4"/>
  <c r="I22" i="4"/>
  <c r="N11" i="4"/>
  <c r="G20" i="4"/>
  <c r="C24" i="4"/>
  <c r="D20" i="4"/>
  <c r="G32" i="4"/>
  <c r="D32" i="4"/>
  <c r="N17" i="4"/>
  <c r="D46" i="4"/>
  <c r="D31" i="4"/>
  <c r="O28" i="4"/>
  <c r="L28" i="4"/>
  <c r="K34" i="4"/>
  <c r="N20" i="4"/>
  <c r="M24" i="4"/>
  <c r="N42" i="4"/>
  <c r="P24" i="4"/>
  <c r="Q20" i="4"/>
  <c r="R20" i="4"/>
  <c r="Q38" i="4"/>
  <c r="Q14" i="4"/>
  <c r="N27" i="4"/>
  <c r="L12" i="4"/>
  <c r="N13" i="4"/>
  <c r="I17" i="4"/>
  <c r="L14" i="4"/>
  <c r="Q10" i="4"/>
  <c r="I13" i="4"/>
  <c r="Q16" i="4"/>
  <c r="Q12" i="4"/>
  <c r="D17" i="4"/>
  <c r="D39" i="4"/>
  <c r="Q42" i="4"/>
  <c r="D26" i="4"/>
  <c r="D22" i="4"/>
  <c r="N26" i="4"/>
  <c r="Q27" i="4"/>
  <c r="H34" i="4"/>
  <c r="J28" i="4"/>
  <c r="I28" i="4"/>
  <c r="L30" i="4"/>
  <c r="L27" i="4"/>
  <c r="D28" i="4"/>
  <c r="G28" i="4"/>
  <c r="C34" i="4"/>
  <c r="F20" i="4"/>
  <c r="E24" i="4"/>
  <c r="Q30" i="4"/>
  <c r="N15" i="4"/>
  <c r="M34" i="4"/>
  <c r="N34" i="4" s="1"/>
  <c r="N28" i="4"/>
  <c r="N39" i="4"/>
  <c r="N14" i="4"/>
  <c r="F26" i="4"/>
  <c r="L16" i="4"/>
  <c r="F13" i="4"/>
  <c r="L42" i="4"/>
  <c r="L38" i="4"/>
  <c r="Q18" i="4"/>
  <c r="L11" i="4"/>
  <c r="O32" i="4"/>
  <c r="L32" i="4"/>
  <c r="R32" i="4"/>
  <c r="Q32" i="4"/>
  <c r="E34" i="4"/>
  <c r="F34" i="4" s="1"/>
  <c r="F28" i="4"/>
  <c r="N12" i="4"/>
  <c r="D14" i="4"/>
  <c r="H24" i="4"/>
  <c r="J20" i="4"/>
  <c r="D11" i="4"/>
  <c r="Q13" i="4"/>
  <c r="I15" i="4"/>
  <c r="D27" i="4"/>
  <c r="J32" i="4"/>
  <c r="I32" i="4"/>
  <c r="N38" i="4"/>
  <c r="N30" i="4"/>
  <c r="D42" i="4"/>
  <c r="Q22" i="4"/>
  <c r="D13" i="4"/>
  <c r="Q39" i="4"/>
  <c r="Q31" i="4"/>
  <c r="Q26" i="4"/>
  <c r="N32" i="4"/>
  <c r="I12" i="4"/>
  <c r="Q19" i="4"/>
  <c r="I16" i="4"/>
  <c r="H34" i="3"/>
  <c r="J28" i="3"/>
  <c r="I28" i="3"/>
  <c r="Q27" i="3"/>
  <c r="N19" i="3"/>
  <c r="Q31" i="3"/>
  <c r="N22" i="3"/>
  <c r="G20" i="3"/>
  <c r="D12" i="3"/>
  <c r="C24" i="3"/>
  <c r="D30" i="3"/>
  <c r="D18" i="3"/>
  <c r="D11" i="3"/>
  <c r="D14" i="3"/>
  <c r="D15" i="3"/>
  <c r="D20" i="3"/>
  <c r="D17" i="3"/>
  <c r="D27" i="3"/>
  <c r="N42" i="3"/>
  <c r="N32" i="3"/>
  <c r="M34" i="3"/>
  <c r="N34" i="3" s="1"/>
  <c r="N38" i="3"/>
  <c r="Q15" i="3"/>
  <c r="R32" i="3"/>
  <c r="Q32" i="3"/>
  <c r="M24" i="3"/>
  <c r="N11" i="3"/>
  <c r="N20" i="3"/>
  <c r="N30" i="3"/>
  <c r="N13" i="3"/>
  <c r="N26" i="3"/>
  <c r="N14" i="3"/>
  <c r="N27" i="3"/>
  <c r="N18" i="3"/>
  <c r="N17" i="3"/>
  <c r="N39" i="3"/>
  <c r="Q20" i="3"/>
  <c r="Q30" i="3"/>
  <c r="Q18" i="3"/>
  <c r="Q14" i="3"/>
  <c r="P24" i="3"/>
  <c r="R20" i="3"/>
  <c r="Q12" i="3"/>
  <c r="Q13" i="3"/>
  <c r="Q11" i="3"/>
  <c r="J32" i="3"/>
  <c r="I32" i="3"/>
  <c r="N15" i="3"/>
  <c r="N28" i="3"/>
  <c r="X19" i="3"/>
  <c r="AA17" i="3"/>
  <c r="O32" i="3"/>
  <c r="I30" i="3"/>
  <c r="I18" i="3"/>
  <c r="I14" i="3"/>
  <c r="H24" i="3"/>
  <c r="H24" i="6" s="1"/>
  <c r="I24" i="6" s="1"/>
  <c r="I17" i="3"/>
  <c r="I12" i="3"/>
  <c r="I11" i="3"/>
  <c r="J20" i="3"/>
  <c r="D42" i="3"/>
  <c r="P34" i="3"/>
  <c r="R28" i="3"/>
  <c r="Q28" i="3"/>
  <c r="D31" i="3"/>
  <c r="Q17" i="3"/>
  <c r="O20" i="3"/>
  <c r="L12" i="3"/>
  <c r="K24" i="3"/>
  <c r="L15" i="3"/>
  <c r="L30" i="3"/>
  <c r="L14" i="3"/>
  <c r="L20" i="3"/>
  <c r="L18" i="3"/>
  <c r="N12" i="3"/>
  <c r="L28" i="3"/>
  <c r="Q46" i="3"/>
  <c r="Q38" i="3"/>
  <c r="Q19" i="3"/>
  <c r="D22" i="3"/>
  <c r="I26" i="3"/>
  <c r="D13" i="3"/>
  <c r="N46" i="3"/>
  <c r="L16" i="3"/>
  <c r="Q26" i="3"/>
  <c r="Q22" i="3"/>
  <c r="AA30" i="10" l="1"/>
  <c r="V40" i="7"/>
  <c r="V41" i="7" s="1"/>
  <c r="V42" i="7" s="1"/>
  <c r="X42" i="7" s="1"/>
  <c r="Z30" i="10"/>
  <c r="AC10" i="11"/>
  <c r="AD10" i="11"/>
  <c r="D20" i="6"/>
  <c r="D27" i="6"/>
  <c r="D13" i="6"/>
  <c r="D39" i="6"/>
  <c r="C24" i="6"/>
  <c r="D32" i="6"/>
  <c r="D42" i="6"/>
  <c r="D10" i="6"/>
  <c r="D15" i="6"/>
  <c r="O20" i="6"/>
  <c r="K24" i="6"/>
  <c r="L10" i="6"/>
  <c r="L38" i="6"/>
  <c r="L46" i="6"/>
  <c r="L15" i="6"/>
  <c r="L32" i="6"/>
  <c r="L27" i="6"/>
  <c r="L13" i="6"/>
  <c r="L39" i="6"/>
  <c r="L17" i="6"/>
  <c r="L16" i="6"/>
  <c r="L42" i="6"/>
  <c r="L20" i="6"/>
  <c r="U30" i="3"/>
  <c r="AA30" i="3" s="1"/>
  <c r="W21" i="6"/>
  <c r="W30" i="6" s="1"/>
  <c r="AD14" i="11"/>
  <c r="M45" i="10"/>
  <c r="Z17" i="9"/>
  <c r="AA17" i="9"/>
  <c r="J14" i="6"/>
  <c r="H14" i="11"/>
  <c r="I14" i="6"/>
  <c r="G39" i="11"/>
  <c r="J18" i="6"/>
  <c r="H18" i="11"/>
  <c r="I18" i="6"/>
  <c r="AD13" i="11"/>
  <c r="AC13" i="11"/>
  <c r="AD12" i="11"/>
  <c r="K33" i="6"/>
  <c r="O30" i="6"/>
  <c r="L30" i="6"/>
  <c r="G11" i="6"/>
  <c r="C11" i="11"/>
  <c r="C20" i="11" s="1"/>
  <c r="D11" i="6"/>
  <c r="O22" i="6"/>
  <c r="K22" i="11"/>
  <c r="L22" i="6"/>
  <c r="AB17" i="6"/>
  <c r="AB14" i="11"/>
  <c r="AC14" i="11" s="1"/>
  <c r="AK14" i="11"/>
  <c r="AC19" i="11"/>
  <c r="M28" i="6"/>
  <c r="R28" i="6" s="1"/>
  <c r="M26" i="11"/>
  <c r="R26" i="6"/>
  <c r="N26" i="6"/>
  <c r="AB15" i="11"/>
  <c r="AC9" i="11"/>
  <c r="O10" i="11"/>
  <c r="H28" i="11"/>
  <c r="O14" i="6"/>
  <c r="K14" i="11"/>
  <c r="L14" i="6"/>
  <c r="G46" i="6"/>
  <c r="C46" i="11"/>
  <c r="D46" i="6"/>
  <c r="N27" i="6"/>
  <c r="N42" i="6"/>
  <c r="N17" i="6"/>
  <c r="N20" i="6"/>
  <c r="N39" i="6"/>
  <c r="N30" i="6"/>
  <c r="N14" i="6"/>
  <c r="N38" i="6"/>
  <c r="N22" i="6"/>
  <c r="N12" i="6"/>
  <c r="M24" i="6"/>
  <c r="N18" i="6"/>
  <c r="N10" i="6"/>
  <c r="N13" i="6"/>
  <c r="N46" i="6"/>
  <c r="N32" i="6"/>
  <c r="N33" i="6"/>
  <c r="D26" i="6"/>
  <c r="C26" i="11"/>
  <c r="G26" i="6"/>
  <c r="C28" i="6"/>
  <c r="J13" i="6"/>
  <c r="H13" i="11"/>
  <c r="I13" i="6"/>
  <c r="AB19" i="6"/>
  <c r="AI15" i="11" s="1"/>
  <c r="AK15" i="11"/>
  <c r="E15" i="11"/>
  <c r="G15" i="11" s="1"/>
  <c r="O26" i="6"/>
  <c r="K28" i="6"/>
  <c r="L26" i="6"/>
  <c r="AC19" i="8"/>
  <c r="Y21" i="8"/>
  <c r="AE21" i="11"/>
  <c r="Z19" i="9"/>
  <c r="AC19" i="9"/>
  <c r="Y21" i="9"/>
  <c r="AA21" i="9" s="1"/>
  <c r="AA20" i="11" s="1"/>
  <c r="AE20" i="11" s="1"/>
  <c r="G15" i="6"/>
  <c r="J34" i="9"/>
  <c r="F34" i="9"/>
  <c r="R16" i="6"/>
  <c r="P16" i="11"/>
  <c r="R18" i="6"/>
  <c r="P18" i="11"/>
  <c r="G22" i="6"/>
  <c r="C22" i="11"/>
  <c r="D22" i="6"/>
  <c r="T11" i="6"/>
  <c r="E11" i="11"/>
  <c r="G11" i="11" s="1"/>
  <c r="J27" i="11"/>
  <c r="E20" i="6"/>
  <c r="F15" i="6" s="1"/>
  <c r="E10" i="11"/>
  <c r="G10" i="11" s="1"/>
  <c r="G10" i="6"/>
  <c r="AD8" i="11"/>
  <c r="Y21" i="4"/>
  <c r="E34" i="3"/>
  <c r="F34" i="3" s="1"/>
  <c r="F28" i="3"/>
  <c r="AE9" i="11"/>
  <c r="T26" i="6"/>
  <c r="C38" i="11"/>
  <c r="D38" i="6"/>
  <c r="G38" i="6"/>
  <c r="AI22" i="11"/>
  <c r="G28" i="3"/>
  <c r="C34" i="3"/>
  <c r="C36" i="3" s="1"/>
  <c r="D28" i="3"/>
  <c r="Z15" i="11"/>
  <c r="AD15" i="11" s="1"/>
  <c r="AD9" i="11"/>
  <c r="K34" i="3"/>
  <c r="O28" i="3"/>
  <c r="J15" i="11"/>
  <c r="M15" i="11"/>
  <c r="O15" i="11" s="1"/>
  <c r="N15" i="6"/>
  <c r="O13" i="11"/>
  <c r="G13" i="11"/>
  <c r="O27" i="11"/>
  <c r="O15" i="6"/>
  <c r="F18" i="3"/>
  <c r="F10" i="3"/>
  <c r="F17" i="3"/>
  <c r="E24" i="3"/>
  <c r="F14" i="3"/>
  <c r="F13" i="3"/>
  <c r="F11" i="3"/>
  <c r="F12" i="3"/>
  <c r="F31" i="3"/>
  <c r="F20" i="3"/>
  <c r="F22" i="3"/>
  <c r="F16" i="3"/>
  <c r="F15" i="3"/>
  <c r="F46" i="3"/>
  <c r="F39" i="3"/>
  <c r="F26" i="3"/>
  <c r="F38" i="3"/>
  <c r="F27" i="3"/>
  <c r="F19" i="3"/>
  <c r="F42" i="3"/>
  <c r="F30" i="3"/>
  <c r="F36" i="9"/>
  <c r="E58" i="7"/>
  <c r="J36" i="9"/>
  <c r="R22" i="11"/>
  <c r="E28" i="6"/>
  <c r="E26" i="11"/>
  <c r="T13" i="6"/>
  <c r="F26" i="6"/>
  <c r="O11" i="6"/>
  <c r="K11" i="11"/>
  <c r="L11" i="6"/>
  <c r="Y15" i="11"/>
  <c r="Y18" i="11" s="1"/>
  <c r="R46" i="11"/>
  <c r="W30" i="4"/>
  <c r="Y21" i="6"/>
  <c r="W21" i="3"/>
  <c r="W30" i="3" s="1"/>
  <c r="J15" i="6"/>
  <c r="R14" i="6"/>
  <c r="P14" i="11"/>
  <c r="AA30" i="8"/>
  <c r="U30" i="9"/>
  <c r="AA30" i="9" s="1"/>
  <c r="J10" i="11"/>
  <c r="R38" i="11"/>
  <c r="J12" i="6"/>
  <c r="H12" i="11"/>
  <c r="H20" i="11" s="1"/>
  <c r="I12" i="6"/>
  <c r="R26" i="11"/>
  <c r="P28" i="11"/>
  <c r="J39" i="11"/>
  <c r="R39" i="11"/>
  <c r="M11" i="11"/>
  <c r="N11" i="6"/>
  <c r="E28" i="11"/>
  <c r="D12" i="6"/>
  <c r="C12" i="11"/>
  <c r="G12" i="6"/>
  <c r="X21" i="6"/>
  <c r="AH15" i="11"/>
  <c r="G18" i="6"/>
  <c r="C18" i="11"/>
  <c r="O18" i="6"/>
  <c r="K18" i="11"/>
  <c r="L18" i="6"/>
  <c r="H17" i="11"/>
  <c r="J17" i="6"/>
  <c r="I17" i="6"/>
  <c r="AC22" i="11"/>
  <c r="AD22" i="11"/>
  <c r="H30" i="11"/>
  <c r="H33" i="6"/>
  <c r="J30" i="6"/>
  <c r="I30" i="6"/>
  <c r="AC17" i="3"/>
  <c r="Y19" i="3"/>
  <c r="Y21" i="3" s="1"/>
  <c r="R27" i="11"/>
  <c r="AD11" i="11"/>
  <c r="X30" i="9"/>
  <c r="N36" i="9"/>
  <c r="R36" i="9"/>
  <c r="AG20" i="11"/>
  <c r="J16" i="6"/>
  <c r="H16" i="11"/>
  <c r="I16" i="6"/>
  <c r="G31" i="11"/>
  <c r="G32" i="3"/>
  <c r="D32" i="3"/>
  <c r="AD21" i="11"/>
  <c r="K12" i="11"/>
  <c r="O12" i="6"/>
  <c r="L12" i="6"/>
  <c r="G27" i="11"/>
  <c r="R12" i="6"/>
  <c r="P12" i="11"/>
  <c r="P20" i="6"/>
  <c r="G42" i="11"/>
  <c r="P17" i="11"/>
  <c r="R17" i="6"/>
  <c r="R15" i="11"/>
  <c r="E30" i="11"/>
  <c r="T21" i="6"/>
  <c r="F30" i="6"/>
  <c r="E33" i="6"/>
  <c r="J46" i="11"/>
  <c r="M41" i="10"/>
  <c r="M43" i="10" s="1"/>
  <c r="W15" i="11"/>
  <c r="W18" i="11" s="1"/>
  <c r="W23" i="11" s="1"/>
  <c r="R42" i="11"/>
  <c r="X20" i="11"/>
  <c r="T32" i="6"/>
  <c r="C30" i="11"/>
  <c r="G30" i="6"/>
  <c r="C33" i="6"/>
  <c r="D33" i="6" s="1"/>
  <c r="D30" i="6"/>
  <c r="P30" i="11"/>
  <c r="P33" i="6"/>
  <c r="R30" i="6"/>
  <c r="J38" i="6"/>
  <c r="H38" i="11"/>
  <c r="I38" i="6"/>
  <c r="R13" i="6"/>
  <c r="P13" i="11"/>
  <c r="G14" i="6"/>
  <c r="C14" i="11"/>
  <c r="D14" i="6"/>
  <c r="AE17" i="6"/>
  <c r="AA14" i="11"/>
  <c r="AE14" i="11" s="1"/>
  <c r="AD19" i="6"/>
  <c r="AE19" i="6" s="1"/>
  <c r="AI13" i="11"/>
  <c r="R10" i="11"/>
  <c r="AE11" i="11"/>
  <c r="R15" i="6"/>
  <c r="J22" i="6"/>
  <c r="H22" i="11"/>
  <c r="I22" i="6"/>
  <c r="J42" i="11"/>
  <c r="H41" i="10"/>
  <c r="H45" i="10"/>
  <c r="J36" i="10"/>
  <c r="G24" i="10"/>
  <c r="C36" i="10"/>
  <c r="C59" i="7" s="1"/>
  <c r="E45" i="10"/>
  <c r="I45" i="10" s="1"/>
  <c r="I36" i="10"/>
  <c r="E41" i="10"/>
  <c r="D41" i="10"/>
  <c r="D34" i="10"/>
  <c r="D27" i="10"/>
  <c r="D12" i="10"/>
  <c r="D10" i="10"/>
  <c r="D14" i="10"/>
  <c r="D45" i="10"/>
  <c r="D42" i="10"/>
  <c r="D22" i="10"/>
  <c r="D15" i="10"/>
  <c r="D46" i="10"/>
  <c r="D38" i="10"/>
  <c r="D20" i="10"/>
  <c r="D11" i="10"/>
  <c r="D39" i="10"/>
  <c r="D32" i="10"/>
  <c r="D31" i="10"/>
  <c r="D16" i="10"/>
  <c r="D19" i="10"/>
  <c r="D43" i="10"/>
  <c r="D26" i="10"/>
  <c r="D24" i="10"/>
  <c r="D36" i="10"/>
  <c r="D17" i="10"/>
  <c r="D13" i="10"/>
  <c r="D28" i="10"/>
  <c r="G20" i="10"/>
  <c r="D30" i="10"/>
  <c r="D18" i="10"/>
  <c r="K45" i="10"/>
  <c r="O45" i="10" s="1"/>
  <c r="O41" i="10"/>
  <c r="K32" i="10"/>
  <c r="O28" i="10"/>
  <c r="X21" i="10"/>
  <c r="Z17" i="10"/>
  <c r="R34" i="10"/>
  <c r="Q34" i="10"/>
  <c r="Q36" i="10"/>
  <c r="R36" i="10"/>
  <c r="P41" i="10"/>
  <c r="P45" i="10"/>
  <c r="L41" i="10"/>
  <c r="L34" i="10"/>
  <c r="L30" i="10"/>
  <c r="O20" i="10"/>
  <c r="L19" i="10"/>
  <c r="L10" i="10"/>
  <c r="L45" i="10"/>
  <c r="L17" i="10"/>
  <c r="L14" i="10"/>
  <c r="L27" i="10"/>
  <c r="L12" i="10"/>
  <c r="L42" i="10"/>
  <c r="L39" i="10"/>
  <c r="L38" i="10"/>
  <c r="L32" i="10"/>
  <c r="L31" i="10"/>
  <c r="L20" i="10"/>
  <c r="L18" i="10"/>
  <c r="L15" i="10"/>
  <c r="L46" i="10"/>
  <c r="L43" i="10"/>
  <c r="L24" i="10"/>
  <c r="L22" i="10"/>
  <c r="L11" i="10"/>
  <c r="K26" i="10"/>
  <c r="K26" i="11" s="1"/>
  <c r="L16" i="10"/>
  <c r="L13" i="10"/>
  <c r="L36" i="10"/>
  <c r="L26" i="10"/>
  <c r="L28" i="10"/>
  <c r="P41" i="8"/>
  <c r="P41" i="9" s="1"/>
  <c r="Q41" i="9" s="1"/>
  <c r="R36" i="8"/>
  <c r="Q36" i="8"/>
  <c r="G36" i="8"/>
  <c r="C41" i="8"/>
  <c r="H41" i="8"/>
  <c r="H41" i="9" s="1"/>
  <c r="I41" i="9" s="1"/>
  <c r="J36" i="8"/>
  <c r="I36" i="8"/>
  <c r="F36" i="8"/>
  <c r="E41" i="8"/>
  <c r="E41" i="9" s="1"/>
  <c r="O36" i="8"/>
  <c r="K41" i="8"/>
  <c r="X30" i="8"/>
  <c r="AA21" i="8"/>
  <c r="N36" i="8"/>
  <c r="M41" i="8"/>
  <c r="M41" i="9" s="1"/>
  <c r="J24" i="7"/>
  <c r="I24" i="7"/>
  <c r="H36" i="7"/>
  <c r="L24" i="7"/>
  <c r="K36" i="7"/>
  <c r="O24" i="7"/>
  <c r="R24" i="7"/>
  <c r="Q24" i="7"/>
  <c r="P36" i="7"/>
  <c r="R34" i="7"/>
  <c r="Q34" i="7"/>
  <c r="D24" i="7"/>
  <c r="C36" i="7"/>
  <c r="G24" i="7"/>
  <c r="N24" i="7"/>
  <c r="M36" i="7"/>
  <c r="AA21" i="7"/>
  <c r="Z30" i="7"/>
  <c r="AA30" i="7" s="1"/>
  <c r="AB21" i="7"/>
  <c r="Y30" i="7"/>
  <c r="D34" i="7"/>
  <c r="G34" i="7"/>
  <c r="L34" i="7"/>
  <c r="O34" i="7"/>
  <c r="F24" i="7"/>
  <c r="E36" i="7"/>
  <c r="J34" i="7"/>
  <c r="I34" i="7"/>
  <c r="J34" i="5"/>
  <c r="I34" i="5"/>
  <c r="R24" i="5"/>
  <c r="Q24" i="5"/>
  <c r="P36" i="5"/>
  <c r="K36" i="5"/>
  <c r="O24" i="5"/>
  <c r="L24" i="5"/>
  <c r="R34" i="5"/>
  <c r="Q34" i="5"/>
  <c r="M41" i="5"/>
  <c r="E41" i="5"/>
  <c r="E43" i="5" s="1"/>
  <c r="N36" i="5"/>
  <c r="D34" i="5"/>
  <c r="G34" i="5"/>
  <c r="C36" i="5"/>
  <c r="G24" i="5"/>
  <c r="D24" i="5"/>
  <c r="J24" i="5"/>
  <c r="I24" i="5"/>
  <c r="H36" i="5"/>
  <c r="L34" i="5"/>
  <c r="O34" i="5"/>
  <c r="N24" i="5"/>
  <c r="Y30" i="4"/>
  <c r="Z21" i="4"/>
  <c r="F24" i="4"/>
  <c r="E36" i="4"/>
  <c r="J34" i="4"/>
  <c r="I34" i="4"/>
  <c r="H36" i="4"/>
  <c r="J24" i="4"/>
  <c r="I24" i="4"/>
  <c r="G34" i="4"/>
  <c r="D34" i="4"/>
  <c r="M36" i="4"/>
  <c r="N24" i="4"/>
  <c r="R34" i="4"/>
  <c r="Q34" i="4"/>
  <c r="L24" i="4"/>
  <c r="K36" i="4"/>
  <c r="O24" i="4"/>
  <c r="O34" i="4"/>
  <c r="L34" i="4"/>
  <c r="X21" i="4"/>
  <c r="Z21" i="6" s="1"/>
  <c r="AA19" i="4"/>
  <c r="D24" i="4"/>
  <c r="C36" i="4"/>
  <c r="G24" i="4"/>
  <c r="P36" i="4"/>
  <c r="R24" i="4"/>
  <c r="Q24" i="4"/>
  <c r="AB21" i="4"/>
  <c r="AC19" i="4"/>
  <c r="R34" i="3"/>
  <c r="Q34" i="3"/>
  <c r="J24" i="3"/>
  <c r="H36" i="3"/>
  <c r="I24" i="3"/>
  <c r="R24" i="3"/>
  <c r="P36" i="3"/>
  <c r="Q24" i="3"/>
  <c r="D24" i="3"/>
  <c r="G24" i="3"/>
  <c r="J34" i="3"/>
  <c r="I34" i="3"/>
  <c r="L24" i="3"/>
  <c r="O24" i="3"/>
  <c r="K36" i="3"/>
  <c r="AA19" i="3"/>
  <c r="X21" i="3"/>
  <c r="N24" i="3"/>
  <c r="M36" i="3"/>
  <c r="Z19" i="3"/>
  <c r="H24" i="11" l="1"/>
  <c r="I31" i="11"/>
  <c r="I26" i="11"/>
  <c r="I15" i="11"/>
  <c r="I10" i="11"/>
  <c r="I39" i="11"/>
  <c r="I42" i="11"/>
  <c r="I11" i="11"/>
  <c r="I27" i="11"/>
  <c r="I46" i="11"/>
  <c r="D20" i="11"/>
  <c r="C24" i="11"/>
  <c r="D19" i="11"/>
  <c r="D31" i="11"/>
  <c r="D27" i="11"/>
  <c r="D39" i="11"/>
  <c r="D17" i="11"/>
  <c r="D10" i="11"/>
  <c r="D15" i="11"/>
  <c r="D42" i="11"/>
  <c r="D13" i="11"/>
  <c r="K28" i="11"/>
  <c r="O26" i="11"/>
  <c r="AD21" i="6"/>
  <c r="AB21" i="3"/>
  <c r="J38" i="11"/>
  <c r="I38" i="11"/>
  <c r="R17" i="11"/>
  <c r="Q17" i="11"/>
  <c r="J11" i="11"/>
  <c r="G18" i="11"/>
  <c r="D18" i="11"/>
  <c r="J28" i="11"/>
  <c r="I28" i="11"/>
  <c r="H34" i="11"/>
  <c r="AC15" i="11"/>
  <c r="AB18" i="11"/>
  <c r="W24" i="11"/>
  <c r="F41" i="9"/>
  <c r="J41" i="9"/>
  <c r="G33" i="6"/>
  <c r="F33" i="6"/>
  <c r="T23" i="6"/>
  <c r="O11" i="11"/>
  <c r="E36" i="3"/>
  <c r="F24" i="3"/>
  <c r="O34" i="3"/>
  <c r="L34" i="3"/>
  <c r="Z18" i="11"/>
  <c r="L28" i="6"/>
  <c r="O28" i="6"/>
  <c r="K34" i="6"/>
  <c r="J13" i="11"/>
  <c r="I13" i="11"/>
  <c r="J26" i="11"/>
  <c r="M20" i="11"/>
  <c r="AI14" i="11"/>
  <c r="G20" i="6"/>
  <c r="J45" i="10"/>
  <c r="G14" i="11"/>
  <c r="D14" i="11"/>
  <c r="Q33" i="6"/>
  <c r="R33" i="6"/>
  <c r="O12" i="11"/>
  <c r="I16" i="11"/>
  <c r="J16" i="11"/>
  <c r="I33" i="6"/>
  <c r="H34" i="6"/>
  <c r="J33" i="6"/>
  <c r="J12" i="11"/>
  <c r="I12" i="11"/>
  <c r="F28" i="6"/>
  <c r="T20" i="6"/>
  <c r="J28" i="6"/>
  <c r="E34" i="6"/>
  <c r="G38" i="11"/>
  <c r="D38" i="11"/>
  <c r="F11" i="6"/>
  <c r="AC21" i="9"/>
  <c r="AI20" i="11" s="1"/>
  <c r="Y20" i="11"/>
  <c r="Y23" i="11" s="1"/>
  <c r="AH20" i="11"/>
  <c r="Y30" i="9"/>
  <c r="Z21" i="9"/>
  <c r="Z20" i="11" s="1"/>
  <c r="G46" i="11"/>
  <c r="D46" i="11"/>
  <c r="L33" i="6"/>
  <c r="O33" i="6"/>
  <c r="J18" i="11"/>
  <c r="I18" i="11"/>
  <c r="R30" i="11"/>
  <c r="P32" i="11"/>
  <c r="X30" i="6"/>
  <c r="AH18" i="11"/>
  <c r="R14" i="11"/>
  <c r="Q14" i="11"/>
  <c r="R18" i="11"/>
  <c r="Q18" i="11"/>
  <c r="C34" i="6"/>
  <c r="G28" i="6"/>
  <c r="D28" i="6"/>
  <c r="O22" i="11"/>
  <c r="N41" i="9"/>
  <c r="R41" i="9"/>
  <c r="Q12" i="6"/>
  <c r="Q16" i="6"/>
  <c r="Q42" i="6"/>
  <c r="Q27" i="6"/>
  <c r="Q10" i="6"/>
  <c r="P24" i="6"/>
  <c r="Q14" i="6"/>
  <c r="Q39" i="6"/>
  <c r="Q17" i="6"/>
  <c r="Q26" i="6"/>
  <c r="R20" i="6"/>
  <c r="Q11" i="6"/>
  <c r="Q13" i="6"/>
  <c r="Q22" i="6"/>
  <c r="Q15" i="6"/>
  <c r="Q20" i="6"/>
  <c r="Q18" i="6"/>
  <c r="Q30" i="6"/>
  <c r="Q46" i="6"/>
  <c r="Q32" i="6"/>
  <c r="Q28" i="6"/>
  <c r="Q38" i="6"/>
  <c r="J30" i="11"/>
  <c r="I30" i="11"/>
  <c r="H32" i="11"/>
  <c r="P20" i="11"/>
  <c r="Q13" i="11" s="1"/>
  <c r="R13" i="11"/>
  <c r="E32" i="11"/>
  <c r="F32" i="11" s="1"/>
  <c r="F30" i="11"/>
  <c r="R12" i="11"/>
  <c r="I17" i="11"/>
  <c r="J17" i="11"/>
  <c r="AA15" i="11"/>
  <c r="F10" i="6"/>
  <c r="M28" i="11"/>
  <c r="N26" i="11"/>
  <c r="D24" i="6"/>
  <c r="C36" i="6"/>
  <c r="AA21" i="6"/>
  <c r="Y30" i="3"/>
  <c r="AA30" i="6" s="1"/>
  <c r="P34" i="6"/>
  <c r="D12" i="11"/>
  <c r="G12" i="11"/>
  <c r="G34" i="3"/>
  <c r="D34" i="3"/>
  <c r="R16" i="11"/>
  <c r="Q16" i="11"/>
  <c r="F15" i="11"/>
  <c r="C28" i="11"/>
  <c r="G26" i="11"/>
  <c r="D26" i="11"/>
  <c r="O14" i="11"/>
  <c r="N28" i="6"/>
  <c r="M34" i="6"/>
  <c r="N34" i="6" s="1"/>
  <c r="R11" i="11"/>
  <c r="AC21" i="6"/>
  <c r="I20" i="11"/>
  <c r="I22" i="11"/>
  <c r="J22" i="11"/>
  <c r="O18" i="11"/>
  <c r="L18" i="11"/>
  <c r="R28" i="11"/>
  <c r="Q28" i="11"/>
  <c r="P34" i="11"/>
  <c r="E20" i="11"/>
  <c r="J20" i="11" s="1"/>
  <c r="F10" i="11"/>
  <c r="Y30" i="8"/>
  <c r="AC30" i="8" s="1"/>
  <c r="AC21" i="8"/>
  <c r="Z21" i="8"/>
  <c r="N24" i="6"/>
  <c r="M36" i="6"/>
  <c r="K20" i="11"/>
  <c r="L26" i="11" s="1"/>
  <c r="D11" i="11"/>
  <c r="O24" i="6"/>
  <c r="L24" i="6"/>
  <c r="K36" i="6"/>
  <c r="G30" i="11"/>
  <c r="D30" i="11"/>
  <c r="C32" i="11"/>
  <c r="F28" i="11"/>
  <c r="Y30" i="6"/>
  <c r="AG18" i="11"/>
  <c r="X18" i="11"/>
  <c r="X23" i="11" s="1"/>
  <c r="F13" i="6"/>
  <c r="F18" i="6"/>
  <c r="F46" i="6"/>
  <c r="F32" i="6"/>
  <c r="F27" i="6"/>
  <c r="F20" i="6"/>
  <c r="F42" i="6"/>
  <c r="F17" i="6"/>
  <c r="F14" i="6"/>
  <c r="F39" i="6"/>
  <c r="F38" i="6"/>
  <c r="E24" i="6"/>
  <c r="G24" i="6" s="1"/>
  <c r="F22" i="6"/>
  <c r="F16" i="6"/>
  <c r="J20" i="6"/>
  <c r="F12" i="6"/>
  <c r="D22" i="11"/>
  <c r="G22" i="11"/>
  <c r="J14" i="11"/>
  <c r="I14" i="11"/>
  <c r="AC19" i="3"/>
  <c r="K30" i="10"/>
  <c r="K30" i="11" s="1"/>
  <c r="O26" i="10"/>
  <c r="X30" i="10"/>
  <c r="AA21" i="10"/>
  <c r="Z21" i="10"/>
  <c r="P43" i="10"/>
  <c r="R41" i="10"/>
  <c r="Q41" i="10"/>
  <c r="O32" i="10"/>
  <c r="K38" i="10"/>
  <c r="K38" i="11" s="1"/>
  <c r="E43" i="10"/>
  <c r="I41" i="10"/>
  <c r="C41" i="10"/>
  <c r="C45" i="10"/>
  <c r="G45" i="10" s="1"/>
  <c r="G36" i="10"/>
  <c r="R45" i="10"/>
  <c r="Q45" i="10"/>
  <c r="H43" i="10"/>
  <c r="J41" i="10"/>
  <c r="H43" i="8"/>
  <c r="H43" i="9" s="1"/>
  <c r="I43" i="9" s="1"/>
  <c r="J41" i="8"/>
  <c r="I41" i="8"/>
  <c r="E43" i="8"/>
  <c r="E43" i="9" s="1"/>
  <c r="F41" i="8"/>
  <c r="G41" i="8"/>
  <c r="C43" i="8"/>
  <c r="O41" i="8"/>
  <c r="K43" i="8"/>
  <c r="P43" i="8"/>
  <c r="P43" i="9" s="1"/>
  <c r="Q43" i="9" s="1"/>
  <c r="R41" i="8"/>
  <c r="Q41" i="8"/>
  <c r="M43" i="8"/>
  <c r="M43" i="9" s="1"/>
  <c r="N41" i="8"/>
  <c r="E41" i="7"/>
  <c r="E57" i="7"/>
  <c r="E60" i="7" s="1"/>
  <c r="E61" i="7" s="1"/>
  <c r="F36" i="7"/>
  <c r="D36" i="7"/>
  <c r="C41" i="7"/>
  <c r="C57" i="7"/>
  <c r="C60" i="7" s="1"/>
  <c r="C61" i="7" s="1"/>
  <c r="G36" i="7"/>
  <c r="L36" i="7"/>
  <c r="K41" i="7"/>
  <c r="N57" i="7"/>
  <c r="N60" i="7" s="1"/>
  <c r="O36" i="7"/>
  <c r="AD30" i="7"/>
  <c r="J36" i="7"/>
  <c r="I36" i="7"/>
  <c r="H41" i="7"/>
  <c r="M41" i="7"/>
  <c r="R57" i="7"/>
  <c r="R60" i="7" s="1"/>
  <c r="N36" i="7"/>
  <c r="R36" i="7"/>
  <c r="Q36" i="7"/>
  <c r="P41" i="7"/>
  <c r="N45" i="5"/>
  <c r="M43" i="5"/>
  <c r="N43" i="5" s="1"/>
  <c r="N41" i="5"/>
  <c r="C41" i="5"/>
  <c r="D36" i="5"/>
  <c r="G36" i="5"/>
  <c r="J36" i="5"/>
  <c r="I36" i="5"/>
  <c r="H41" i="5"/>
  <c r="K41" i="5"/>
  <c r="O36" i="5"/>
  <c r="L36" i="5"/>
  <c r="R36" i="5"/>
  <c r="Q36" i="5"/>
  <c r="P41" i="5"/>
  <c r="R36" i="4"/>
  <c r="Q36" i="4"/>
  <c r="P41" i="4"/>
  <c r="O36" i="4"/>
  <c r="L36" i="4"/>
  <c r="K41" i="4"/>
  <c r="G36" i="4"/>
  <c r="D36" i="4"/>
  <c r="C41" i="4"/>
  <c r="J36" i="4"/>
  <c r="I36" i="4"/>
  <c r="H41" i="4"/>
  <c r="AB30" i="4"/>
  <c r="AC30" i="4" s="1"/>
  <c r="AC21" i="4"/>
  <c r="X30" i="4"/>
  <c r="AA21" i="4"/>
  <c r="N36" i="4"/>
  <c r="M41" i="4"/>
  <c r="F36" i="4"/>
  <c r="E41" i="4"/>
  <c r="N36" i="3"/>
  <c r="M41" i="3"/>
  <c r="AA21" i="3"/>
  <c r="X30" i="3"/>
  <c r="Z30" i="3" s="1"/>
  <c r="Z21" i="3"/>
  <c r="J36" i="3"/>
  <c r="I36" i="3"/>
  <c r="H41" i="3"/>
  <c r="O36" i="3"/>
  <c r="L36" i="3"/>
  <c r="K41" i="3"/>
  <c r="G36" i="3"/>
  <c r="D36" i="3"/>
  <c r="C41" i="3"/>
  <c r="R36" i="3"/>
  <c r="Q36" i="3"/>
  <c r="P41" i="3"/>
  <c r="P45" i="3" l="1"/>
  <c r="E45" i="3"/>
  <c r="K45" i="3"/>
  <c r="M45" i="3"/>
  <c r="C45" i="3"/>
  <c r="AC23" i="11"/>
  <c r="AD23" i="11"/>
  <c r="D32" i="11"/>
  <c r="G32" i="11"/>
  <c r="N36" i="6"/>
  <c r="M41" i="6"/>
  <c r="G28" i="11"/>
  <c r="D28" i="11"/>
  <c r="C34" i="11"/>
  <c r="AB23" i="11"/>
  <c r="AC18" i="11"/>
  <c r="O28" i="11"/>
  <c r="L28" i="11"/>
  <c r="O30" i="11"/>
  <c r="K32" i="11"/>
  <c r="L30" i="11"/>
  <c r="N43" i="9"/>
  <c r="R43" i="9"/>
  <c r="M34" i="11"/>
  <c r="N34" i="11" s="1"/>
  <c r="N28" i="11"/>
  <c r="L12" i="11"/>
  <c r="Z23" i="11"/>
  <c r="AD18" i="11"/>
  <c r="G20" i="11"/>
  <c r="R34" i="6"/>
  <c r="Q34" i="6"/>
  <c r="Q24" i="6"/>
  <c r="R24" i="6"/>
  <c r="P36" i="6"/>
  <c r="O20" i="11"/>
  <c r="N17" i="11"/>
  <c r="N12" i="11"/>
  <c r="N19" i="11"/>
  <c r="N39" i="11"/>
  <c r="M24" i="11"/>
  <c r="N18" i="11"/>
  <c r="N16" i="11"/>
  <c r="N10" i="11"/>
  <c r="N13" i="11"/>
  <c r="N31" i="11"/>
  <c r="N20" i="11"/>
  <c r="N30" i="11"/>
  <c r="N22" i="11"/>
  <c r="N46" i="11"/>
  <c r="N27" i="11"/>
  <c r="N14" i="11"/>
  <c r="N42" i="11"/>
  <c r="N38" i="11"/>
  <c r="N32" i="11"/>
  <c r="I34" i="11"/>
  <c r="F43" i="9"/>
  <c r="E64" i="7"/>
  <c r="J43" i="9"/>
  <c r="AE23" i="11"/>
  <c r="L36" i="6"/>
  <c r="K41" i="6"/>
  <c r="O36" i="6"/>
  <c r="AK23" i="11"/>
  <c r="AB24" i="11"/>
  <c r="AE15" i="11"/>
  <c r="AA18" i="11"/>
  <c r="L22" i="11"/>
  <c r="D24" i="11"/>
  <c r="C36" i="11"/>
  <c r="G24" i="11"/>
  <c r="L14" i="11"/>
  <c r="AB21" i="6"/>
  <c r="AI18" i="11" s="1"/>
  <c r="AK18" i="11"/>
  <c r="AH23" i="11"/>
  <c r="Y24" i="11"/>
  <c r="AB30" i="3"/>
  <c r="AC30" i="3" s="1"/>
  <c r="AC21" i="3"/>
  <c r="X24" i="11"/>
  <c r="AG23" i="11"/>
  <c r="G36" i="6"/>
  <c r="D36" i="6"/>
  <c r="C41" i="6"/>
  <c r="P24" i="11"/>
  <c r="Q31" i="11"/>
  <c r="Q19" i="11"/>
  <c r="R20" i="11"/>
  <c r="Q20" i="11"/>
  <c r="Q26" i="11"/>
  <c r="Q11" i="11"/>
  <c r="Q15" i="11"/>
  <c r="Q22" i="11"/>
  <c r="Q38" i="11"/>
  <c r="Q27" i="11"/>
  <c r="Q10" i="11"/>
  <c r="Q39" i="11"/>
  <c r="Q42" i="11"/>
  <c r="Q46" i="11"/>
  <c r="Q30" i="11"/>
  <c r="H36" i="6"/>
  <c r="J34" i="6"/>
  <c r="I34" i="6"/>
  <c r="F36" i="3"/>
  <c r="E41" i="3"/>
  <c r="AE21" i="6"/>
  <c r="AD30" i="6"/>
  <c r="Z30" i="4"/>
  <c r="Z30" i="6"/>
  <c r="I43" i="10"/>
  <c r="E65" i="7"/>
  <c r="F11" i="11"/>
  <c r="F13" i="11"/>
  <c r="F20" i="11"/>
  <c r="F27" i="11"/>
  <c r="F19" i="11"/>
  <c r="F17" i="11"/>
  <c r="F14" i="11"/>
  <c r="F16" i="11"/>
  <c r="F12" i="11"/>
  <c r="F42" i="11"/>
  <c r="F22" i="11"/>
  <c r="F39" i="11"/>
  <c r="E24" i="11"/>
  <c r="F38" i="11"/>
  <c r="F18" i="11"/>
  <c r="F31" i="11"/>
  <c r="F46" i="11"/>
  <c r="N15" i="11"/>
  <c r="Q12" i="11"/>
  <c r="G34" i="6"/>
  <c r="D34" i="6"/>
  <c r="Q32" i="11"/>
  <c r="R32" i="11"/>
  <c r="AD20" i="11"/>
  <c r="AC20" i="11"/>
  <c r="F34" i="6"/>
  <c r="T24" i="6"/>
  <c r="O34" i="6"/>
  <c r="L34" i="6"/>
  <c r="F26" i="11"/>
  <c r="O38" i="11"/>
  <c r="L38" i="11"/>
  <c r="T12" i="6"/>
  <c r="F24" i="6"/>
  <c r="J24" i="6"/>
  <c r="E36" i="6"/>
  <c r="E34" i="11"/>
  <c r="F34" i="11" s="1"/>
  <c r="L20" i="11"/>
  <c r="L16" i="11"/>
  <c r="K24" i="11"/>
  <c r="L31" i="11"/>
  <c r="L19" i="11"/>
  <c r="L27" i="11"/>
  <c r="L10" i="11"/>
  <c r="L17" i="11"/>
  <c r="L13" i="11"/>
  <c r="L15" i="11"/>
  <c r="R34" i="11"/>
  <c r="Q34" i="11"/>
  <c r="Z30" i="8"/>
  <c r="L11" i="11"/>
  <c r="I32" i="11"/>
  <c r="J32" i="11"/>
  <c r="Z30" i="9"/>
  <c r="AC30" i="9"/>
  <c r="N11" i="11"/>
  <c r="AC30" i="6"/>
  <c r="J24" i="11"/>
  <c r="I24" i="11"/>
  <c r="H36" i="11"/>
  <c r="O38" i="10"/>
  <c r="K42" i="10"/>
  <c r="K42" i="11" s="1"/>
  <c r="J43" i="10"/>
  <c r="Q43" i="10"/>
  <c r="R43" i="10"/>
  <c r="C43" i="10"/>
  <c r="G41" i="10"/>
  <c r="K34" i="10"/>
  <c r="O30" i="10"/>
  <c r="E45" i="8"/>
  <c r="E45" i="9" s="1"/>
  <c r="F43" i="8"/>
  <c r="M45" i="8"/>
  <c r="M45" i="9" s="1"/>
  <c r="N43" i="8"/>
  <c r="R43" i="8"/>
  <c r="Q43" i="8"/>
  <c r="C45" i="8"/>
  <c r="G45" i="8" s="1"/>
  <c r="G43" i="8"/>
  <c r="K45" i="8"/>
  <c r="O45" i="8" s="1"/>
  <c r="O43" i="8"/>
  <c r="J43" i="8"/>
  <c r="I43" i="8"/>
  <c r="R45" i="7"/>
  <c r="Q45" i="7"/>
  <c r="J45" i="7"/>
  <c r="I45" i="7"/>
  <c r="G45" i="7"/>
  <c r="D45" i="7"/>
  <c r="N45" i="7"/>
  <c r="O45" i="7"/>
  <c r="L45" i="7"/>
  <c r="F45" i="7"/>
  <c r="P43" i="7"/>
  <c r="R41" i="7"/>
  <c r="Q41" i="7"/>
  <c r="L41" i="7"/>
  <c r="K43" i="7"/>
  <c r="O41" i="7"/>
  <c r="H43" i="7"/>
  <c r="J41" i="7"/>
  <c r="I41" i="7"/>
  <c r="D41" i="7"/>
  <c r="C43" i="7"/>
  <c r="G41" i="7"/>
  <c r="M43" i="7"/>
  <c r="N43" i="7" s="1"/>
  <c r="N41" i="7"/>
  <c r="E43" i="7"/>
  <c r="F41" i="7"/>
  <c r="D45" i="5"/>
  <c r="G45" i="5"/>
  <c r="L45" i="5"/>
  <c r="O45" i="5"/>
  <c r="R45" i="5"/>
  <c r="Q45" i="5"/>
  <c r="L41" i="5"/>
  <c r="K43" i="5"/>
  <c r="O41" i="5"/>
  <c r="D41" i="5"/>
  <c r="C43" i="5"/>
  <c r="G41" i="5"/>
  <c r="H43" i="5"/>
  <c r="J41" i="5"/>
  <c r="I41" i="5"/>
  <c r="I42" i="5" s="1"/>
  <c r="P43" i="5"/>
  <c r="R41" i="5"/>
  <c r="Q41" i="5"/>
  <c r="R45" i="4"/>
  <c r="Q45" i="4"/>
  <c r="F45" i="4"/>
  <c r="O45" i="4"/>
  <c r="L45" i="4"/>
  <c r="N45" i="4"/>
  <c r="G45" i="4"/>
  <c r="D45" i="4"/>
  <c r="F41" i="4"/>
  <c r="E43" i="4"/>
  <c r="F43" i="4" s="1"/>
  <c r="J41" i="4"/>
  <c r="I41" i="4"/>
  <c r="H43" i="4"/>
  <c r="O41" i="4"/>
  <c r="L41" i="4"/>
  <c r="K43" i="4"/>
  <c r="N41" i="4"/>
  <c r="M43" i="4"/>
  <c r="N43" i="4" s="1"/>
  <c r="G41" i="4"/>
  <c r="D41" i="4"/>
  <c r="C43" i="4"/>
  <c r="R41" i="4"/>
  <c r="Q41" i="4"/>
  <c r="P43" i="4"/>
  <c r="J41" i="3"/>
  <c r="I41" i="3"/>
  <c r="H43" i="3"/>
  <c r="G41" i="3"/>
  <c r="D41" i="3"/>
  <c r="C43" i="3"/>
  <c r="R41" i="3"/>
  <c r="Q41" i="3"/>
  <c r="P43" i="3"/>
  <c r="O41" i="3"/>
  <c r="L41" i="3"/>
  <c r="K43" i="3"/>
  <c r="N41" i="3"/>
  <c r="M43" i="3"/>
  <c r="N43" i="3" s="1"/>
  <c r="R45" i="9" l="1"/>
  <c r="N45" i="9"/>
  <c r="J34" i="11"/>
  <c r="L24" i="11"/>
  <c r="O24" i="11"/>
  <c r="G36" i="11"/>
  <c r="D36" i="11"/>
  <c r="C41" i="11"/>
  <c r="K43" i="6"/>
  <c r="O41" i="6"/>
  <c r="L41" i="6"/>
  <c r="J45" i="9"/>
  <c r="F45" i="9"/>
  <c r="O42" i="11"/>
  <c r="L42" i="11"/>
  <c r="G34" i="11"/>
  <c r="D34" i="11"/>
  <c r="AB30" i="6"/>
  <c r="Z24" i="11"/>
  <c r="I36" i="6"/>
  <c r="H41" i="6"/>
  <c r="J36" i="6"/>
  <c r="Q24" i="11"/>
  <c r="P36" i="11"/>
  <c r="R24" i="11"/>
  <c r="O32" i="11"/>
  <c r="L32" i="11"/>
  <c r="C45" i="6"/>
  <c r="G45" i="3"/>
  <c r="D45" i="3"/>
  <c r="E36" i="11"/>
  <c r="F24" i="11"/>
  <c r="D41" i="6"/>
  <c r="C43" i="6"/>
  <c r="AE18" i="11"/>
  <c r="AA23" i="11"/>
  <c r="M45" i="6"/>
  <c r="N45" i="3"/>
  <c r="J36" i="11"/>
  <c r="I36" i="11"/>
  <c r="H41" i="11"/>
  <c r="T25" i="6"/>
  <c r="F36" i="6"/>
  <c r="E41" i="6"/>
  <c r="AE30" i="6"/>
  <c r="AA24" i="11"/>
  <c r="R36" i="6"/>
  <c r="Q36" i="6"/>
  <c r="P41" i="6"/>
  <c r="K34" i="11"/>
  <c r="K36" i="11" s="1"/>
  <c r="M41" i="11"/>
  <c r="N41" i="6"/>
  <c r="M43" i="6"/>
  <c r="N43" i="6" s="1"/>
  <c r="K45" i="6"/>
  <c r="O45" i="3"/>
  <c r="L45" i="3"/>
  <c r="G43" i="10"/>
  <c r="C65" i="7"/>
  <c r="E45" i="6"/>
  <c r="F45" i="3"/>
  <c r="F41" i="3"/>
  <c r="E43" i="3"/>
  <c r="F43" i="3" s="1"/>
  <c r="M36" i="11"/>
  <c r="N36" i="11" s="1"/>
  <c r="N24" i="11"/>
  <c r="P45" i="6"/>
  <c r="R45" i="3"/>
  <c r="Q45" i="3"/>
  <c r="O42" i="10"/>
  <c r="K46" i="10"/>
  <c r="K39" i="10"/>
  <c r="K39" i="11" s="1"/>
  <c r="O34" i="10"/>
  <c r="N45" i="8"/>
  <c r="R45" i="8"/>
  <c r="J45" i="8"/>
  <c r="F45" i="8"/>
  <c r="E63" i="7"/>
  <c r="F43" i="7"/>
  <c r="J43" i="7"/>
  <c r="I43" i="7"/>
  <c r="R43" i="7"/>
  <c r="Q43" i="7"/>
  <c r="O43" i="7"/>
  <c r="L43" i="7"/>
  <c r="G43" i="7"/>
  <c r="C63" i="7"/>
  <c r="D43" i="7"/>
  <c r="R43" i="5"/>
  <c r="Q43" i="5"/>
  <c r="O43" i="5"/>
  <c r="L43" i="5"/>
  <c r="J43" i="5"/>
  <c r="I43" i="5"/>
  <c r="G43" i="5"/>
  <c r="D43" i="5"/>
  <c r="O43" i="4"/>
  <c r="L43" i="4"/>
  <c r="G43" i="4"/>
  <c r="D43" i="4"/>
  <c r="J43" i="4"/>
  <c r="I43" i="4"/>
  <c r="R43" i="4"/>
  <c r="Q43" i="4"/>
  <c r="J43" i="3"/>
  <c r="I43" i="3"/>
  <c r="G43" i="3"/>
  <c r="D43" i="3"/>
  <c r="O43" i="3"/>
  <c r="L43" i="3"/>
  <c r="R43" i="3"/>
  <c r="Q43" i="3"/>
  <c r="H45" i="3" l="1"/>
  <c r="O36" i="11"/>
  <c r="L36" i="11"/>
  <c r="K41" i="11"/>
  <c r="AC24" i="11"/>
  <c r="AI23" i="11"/>
  <c r="C66" i="7"/>
  <c r="C68" i="7" s="1"/>
  <c r="O46" i="10"/>
  <c r="K46" i="11"/>
  <c r="F36" i="11"/>
  <c r="E41" i="11"/>
  <c r="O45" i="6"/>
  <c r="K45" i="11"/>
  <c r="L45" i="6"/>
  <c r="M45" i="11"/>
  <c r="N45" i="11" s="1"/>
  <c r="N45" i="6"/>
  <c r="I41" i="6"/>
  <c r="H43" i="6"/>
  <c r="J41" i="6"/>
  <c r="F41" i="6"/>
  <c r="E43" i="6"/>
  <c r="T28" i="6"/>
  <c r="G41" i="6"/>
  <c r="T31" i="6"/>
  <c r="C45" i="11"/>
  <c r="D45" i="6"/>
  <c r="G45" i="6"/>
  <c r="E45" i="11"/>
  <c r="F45" i="11" s="1"/>
  <c r="F45" i="6"/>
  <c r="M43" i="11"/>
  <c r="N43" i="11" s="1"/>
  <c r="N41" i="11"/>
  <c r="O34" i="11"/>
  <c r="L34" i="11"/>
  <c r="R45" i="6"/>
  <c r="P45" i="11"/>
  <c r="Q45" i="6"/>
  <c r="P41" i="11"/>
  <c r="Q41" i="6"/>
  <c r="P43" i="6"/>
  <c r="R41" i="6"/>
  <c r="I41" i="11"/>
  <c r="H43" i="11"/>
  <c r="J41" i="11"/>
  <c r="O43" i="6"/>
  <c r="L43" i="6"/>
  <c r="G43" i="6"/>
  <c r="D43" i="6"/>
  <c r="O39" i="11"/>
  <c r="L39" i="11"/>
  <c r="R36" i="11"/>
  <c r="Q36" i="11"/>
  <c r="G41" i="11"/>
  <c r="D41" i="11"/>
  <c r="C43" i="11"/>
  <c r="O39" i="10"/>
  <c r="K43" i="10"/>
  <c r="O43" i="10" s="1"/>
  <c r="K63" i="7"/>
  <c r="E66" i="7"/>
  <c r="E68" i="7" s="1"/>
  <c r="F68" i="7" s="1"/>
  <c r="J45" i="5"/>
  <c r="I45" i="5"/>
  <c r="J45" i="4"/>
  <c r="I45" i="4"/>
  <c r="R43" i="6" l="1"/>
  <c r="Q43" i="6"/>
  <c r="D43" i="11"/>
  <c r="R41" i="11"/>
  <c r="Q41" i="11"/>
  <c r="P43" i="11"/>
  <c r="T30" i="6"/>
  <c r="F43" i="6"/>
  <c r="O45" i="11"/>
  <c r="L45" i="11"/>
  <c r="O41" i="11"/>
  <c r="L41" i="11"/>
  <c r="K43" i="11"/>
  <c r="R45" i="11"/>
  <c r="Q45" i="11"/>
  <c r="F41" i="11"/>
  <c r="E43" i="11"/>
  <c r="F43" i="11" s="1"/>
  <c r="I43" i="11"/>
  <c r="I43" i="6"/>
  <c r="J43" i="6"/>
  <c r="G45" i="11"/>
  <c r="D45" i="11"/>
  <c r="O46" i="11"/>
  <c r="L46" i="11"/>
  <c r="H45" i="6"/>
  <c r="J45" i="3"/>
  <c r="I45" i="3"/>
  <c r="R43" i="11" l="1"/>
  <c r="Q43" i="11"/>
  <c r="O43" i="11"/>
  <c r="L43" i="11"/>
  <c r="J43" i="11"/>
  <c r="J45" i="6"/>
  <c r="H45" i="11"/>
  <c r="I45" i="6"/>
  <c r="G43" i="11"/>
  <c r="J45" i="11" l="1"/>
  <c r="I45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G.</author>
  </authors>
  <commentList>
    <comment ref="H38" authorId="0" shapeId="0" xr:uid="{60ACF1C9-DF77-4824-902A-AF2E25AFD09E}">
      <text>
        <r>
          <rPr>
            <b/>
            <sz val="9"/>
            <color indexed="81"/>
            <rFont val="Tahoma"/>
            <family val="2"/>
          </rPr>
          <t>Robert G.:</t>
        </r>
        <r>
          <rPr>
            <sz val="9"/>
            <color indexed="81"/>
            <rFont val="Tahoma"/>
            <family val="2"/>
          </rPr>
          <t xml:space="preserve">
se resta el metodo de participacion para efectos comparables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427D87B7-7FD5-4AF1-9CAC-69147FB62615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6"/>
</connections>
</file>

<file path=xl/sharedStrings.xml><?xml version="1.0" encoding="utf-8"?>
<sst xmlns="http://schemas.openxmlformats.org/spreadsheetml/2006/main" count="1410" uniqueCount="589">
  <si>
    <t>Periodo ant</t>
  </si>
  <si>
    <t>Periodo Act</t>
  </si>
  <si>
    <t>TRM</t>
  </si>
  <si>
    <t>TRM presupuesto 2021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</si>
  <si>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</si>
  <si>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</si>
  <si>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</si>
  <si>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</si>
  <si>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</si>
  <si>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</si>
  <si>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</si>
  <si>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</si>
  <si>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</si>
  <si>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</si>
  <si>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</si>
  <si>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</si>
  <si>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</si>
  <si>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</si>
  <si>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</si>
  <si>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</si>
  <si>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</si>
  <si>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</si>
  <si>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</si>
  <si>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</si>
  <si>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</si>
  <si>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</si>
  <si>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</si>
  <si>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</si>
  <si>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</si>
  <si>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</si>
  <si>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</si>
  <si>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</si>
  <si>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</si>
  <si>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</si>
  <si>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</si>
  <si>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</si>
  <si>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</si>
  <si>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</si>
  <si>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</si>
  <si>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</si>
  <si>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</si>
  <si>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</si>
  <si>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</si>
  <si>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</si>
  <si>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</si>
  <si>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</si>
  <si>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</si>
  <si>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ok</t>
  </si>
  <si>
    <t>MUSICAR COLOMBIA</t>
  </si>
  <si>
    <t>SEPTIEMBRE de 2022</t>
  </si>
  <si>
    <t>Ppto 2022</t>
  </si>
  <si>
    <t>Real 2022</t>
  </si>
  <si>
    <t>Real 2021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</si>
  <si>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</si>
  <si>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</si>
  <si>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</si>
  <si>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</si>
  <si>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</si>
  <si>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</si>
  <si>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</si>
  <si>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</si>
  <si>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</si>
  <si>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</si>
  <si>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</si>
  <si>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</si>
  <si>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</si>
  <si>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Visual Experience</t>
  </si>
  <si>
    <t>4155951800,4155952000,4135950600,4135950700</t>
  </si>
  <si>
    <t>Olfa Experience</t>
  </si>
  <si>
    <t>4170252500</t>
  </si>
  <si>
    <t>Locutor virtual</t>
  </si>
  <si>
    <t xml:space="preserve"> 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</si>
  <si>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</si>
  <si>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</si>
  <si>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</si>
  <si>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</si>
  <si>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</si>
  <si>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</si>
  <si>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</si>
  <si>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</si>
  <si>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</si>
  <si>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</si>
  <si>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</si>
  <si>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</si>
  <si>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</si>
  <si>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</si>
  <si>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</si>
  <si>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</si>
  <si>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</si>
  <si>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</si>
  <si>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</si>
  <si>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</si>
  <si>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</si>
  <si>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</si>
  <si>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real 2022</t>
  </si>
  <si>
    <t>FLUJO DE CAJA LIBRE</t>
  </si>
  <si>
    <t>PPTO</t>
  </si>
  <si>
    <t>REAL</t>
  </si>
  <si>
    <t>Salvador</t>
  </si>
  <si>
    <t>Venezuela</t>
  </si>
  <si>
    <t>Musicar internacionall</t>
  </si>
  <si>
    <t>Total</t>
  </si>
  <si>
    <t>&lt;------- el valor total del ppto y del real se digita en la pagina de indicadores</t>
  </si>
  <si>
    <t>Sin Venezuela</t>
  </si>
  <si>
    <t>UTILIDAD OPERACIONAL EXTERIOR</t>
  </si>
  <si>
    <t>Ppto</t>
  </si>
  <si>
    <t>Real</t>
  </si>
  <si>
    <t>Ppto acum</t>
  </si>
  <si>
    <t>Real Acum</t>
  </si>
  <si>
    <t>Venzueal</t>
  </si>
  <si>
    <t>Musicar internacional</t>
  </si>
  <si>
    <t>se digita en la pagina de indicadores</t>
  </si>
  <si>
    <t>vr sin venezuela</t>
  </si>
  <si>
    <t>UTILIDAD NETA EXTERIOR</t>
  </si>
  <si>
    <t>Venezulea</t>
  </si>
  <si>
    <t>TOTAL UTILIDAD NETA EXTERIOR</t>
  </si>
  <si>
    <t>Uitlidad neta sin venezuela</t>
  </si>
  <si>
    <t>MUSICAR S.A. VENEZUELA</t>
  </si>
  <si>
    <t>Cifras en miles de Bolivares Fuertes</t>
  </si>
  <si>
    <t>real 2021</t>
  </si>
  <si>
    <t>Fact.Olfa experience</t>
  </si>
  <si>
    <t>TRM 2022</t>
  </si>
  <si>
    <t>Dólar implicito tomado doalr today</t>
  </si>
  <si>
    <t>TRM 2021</t>
  </si>
  <si>
    <t>Cifras en Dólares Americanos</t>
  </si>
  <si>
    <t>Cifras en Dolares americanos</t>
  </si>
  <si>
    <t>año 2021</t>
  </si>
  <si>
    <t>año 2022</t>
  </si>
  <si>
    <t>Enero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</si>
  <si>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</si>
  <si>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</si>
  <si>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</si>
  <si>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</si>
  <si>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</si>
  <si>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</si>
  <si>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</si>
  <si>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</si>
  <si>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</si>
  <si>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</si>
  <si>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Utild vene en Bolivares</t>
  </si>
  <si>
    <t>utilidad venez en usd</t>
  </si>
  <si>
    <t>Dic</t>
  </si>
  <si>
    <t>Cierre</t>
  </si>
  <si>
    <t>promedio</t>
  </si>
  <si>
    <t>Prom año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</si>
  <si>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</si>
  <si>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</si>
  <si>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</si>
  <si>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</si>
  <si>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</si>
  <si>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acumulado</t>
  </si>
  <si>
    <t>4155900000,4155900100,4155900500,4155900600,4170250000,4170250100,4170250200,4170251500,4170251600,4170251700,4170251900,4170251800,4170252000,4170253000,4170253500,4170252100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</si>
  <si>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</si>
  <si>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</si>
  <si>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</si>
  <si>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</si>
  <si>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</t>
  </si>
  <si>
    <t xml:space="preserve">   Facturación Service &amp; Equipment Experience (Red-Audio)</t>
  </si>
  <si>
    <t>4170250500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</si>
  <si>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</si>
  <si>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</si>
  <si>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</si>
  <si>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</si>
  <si>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</si>
  <si>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>4155951000</t>
  </si>
  <si>
    <t xml:space="preserve">   Facturación Servicio Satelital</t>
  </si>
  <si>
    <t>4155951500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</si>
  <si>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</si>
  <si>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</si>
  <si>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</si>
  <si>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</si>
  <si>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</si>
  <si>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</si>
  <si>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</si>
  <si>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</si>
  <si>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</si>
  <si>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</si>
  <si>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</si>
  <si>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</si>
  <si>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</si>
  <si>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</si>
  <si>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</si>
  <si>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</si>
  <si>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</si>
  <si>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</si>
  <si>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</si>
  <si>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</si>
  <si>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</si>
  <si>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</si>
  <si>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</si>
  <si>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</si>
  <si>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</si>
  <si>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</si>
  <si>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</si>
  <si>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</si>
  <si>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</si>
  <si>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</si>
  <si>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</si>
  <si>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</si>
  <si>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</si>
  <si>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</si>
  <si>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</si>
  <si>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</si>
  <si>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</si>
  <si>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</si>
  <si>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</si>
  <si>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</si>
  <si>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</si>
  <si>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</si>
  <si>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</si>
  <si>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</si>
  <si>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</si>
  <si>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</si>
  <si>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</si>
  <si>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</si>
  <si>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</si>
  <si>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</si>
  <si>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</si>
  <si>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</si>
  <si>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</si>
  <si>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</si>
  <si>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</si>
  <si>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</si>
  <si>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</si>
  <si>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</si>
  <si>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</si>
  <si>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</si>
  <si>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</si>
  <si>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</si>
  <si>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</si>
  <si>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</si>
  <si>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</si>
  <si>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</si>
  <si>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</si>
  <si>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</si>
  <si>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</si>
  <si>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</si>
  <si>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</si>
  <si>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</si>
  <si>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</si>
  <si>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</si>
  <si>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</si>
  <si>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</si>
  <si>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</si>
  <si>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</si>
  <si>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</si>
  <si>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</si>
  <si>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</si>
  <si>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</si>
  <si>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</si>
  <si>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</si>
  <si>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</si>
  <si>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</si>
  <si>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</si>
  <si>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</si>
  <si>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</si>
  <si>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</si>
  <si>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</si>
  <si>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</si>
  <si>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</si>
  <si>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</si>
  <si>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</si>
  <si>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</si>
  <si>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</si>
  <si>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</si>
  <si>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</si>
  <si>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</si>
  <si>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</si>
  <si>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</si>
  <si>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</si>
  <si>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</si>
  <si>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</si>
  <si>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</si>
  <si>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</si>
  <si>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</si>
  <si>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</si>
  <si>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</si>
  <si>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</si>
  <si>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</si>
  <si>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</si>
  <si>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</si>
  <si>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</si>
  <si>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</si>
  <si>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</si>
  <si>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</si>
  <si>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</si>
  <si>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</si>
  <si>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</si>
  <si>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</si>
  <si>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</si>
  <si>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</si>
  <si>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</si>
  <si>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</si>
  <si>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</si>
  <si>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</si>
  <si>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</si>
  <si>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</si>
  <si>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</si>
  <si>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</si>
  <si>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</si>
  <si>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</si>
  <si>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</si>
  <si>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</si>
  <si>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</si>
  <si>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</si>
  <si>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</si>
  <si>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</si>
  <si>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</si>
  <si>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</si>
  <si>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</si>
  <si>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</si>
  <si>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</si>
  <si>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</si>
  <si>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</si>
  <si>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</si>
  <si>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</si>
  <si>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</si>
  <si>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</si>
  <si>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</si>
  <si>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</si>
  <si>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</si>
  <si>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</si>
  <si>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</si>
  <si>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</si>
  <si>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</si>
  <si>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</si>
  <si>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</si>
  <si>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</si>
  <si>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</si>
  <si>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</si>
  <si>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</si>
  <si>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</si>
  <si>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</si>
  <si>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</si>
  <si>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</si>
  <si>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</si>
  <si>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</si>
  <si>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</si>
  <si>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</si>
  <si>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</si>
  <si>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</si>
  <si>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</si>
  <si>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</si>
  <si>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</si>
  <si>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</si>
  <si>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</si>
  <si>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</si>
  <si>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</si>
  <si>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</si>
  <si>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</si>
  <si>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</si>
  <si>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</si>
  <si>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</si>
  <si>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</si>
  <si>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</si>
  <si>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</si>
  <si>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</si>
  <si>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</si>
  <si>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</si>
  <si>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</si>
  <si>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</si>
  <si>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</si>
  <si>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</si>
  <si>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</si>
  <si>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</si>
  <si>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</si>
  <si>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</si>
  <si>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</si>
  <si>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</si>
  <si>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</si>
  <si>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</si>
  <si>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</si>
  <si>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</si>
  <si>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</si>
  <si>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</si>
  <si>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</si>
  <si>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</si>
  <si>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</si>
  <si>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</si>
  <si>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</si>
  <si>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</si>
  <si>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</si>
  <si>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</si>
  <si>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</si>
  <si>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</si>
  <si>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</si>
  <si>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</si>
  <si>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</si>
  <si>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</si>
  <si>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</si>
  <si>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</si>
  <si>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</si>
  <si>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</si>
  <si>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</si>
  <si>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</si>
  <si>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</si>
  <si>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</si>
  <si>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</si>
  <si>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</si>
  <si>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</si>
  <si>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</si>
  <si>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</si>
  <si>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</si>
  <si>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</si>
  <si>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</si>
  <si>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</si>
  <si>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</si>
  <si>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</si>
  <si>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</si>
  <si>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</si>
  <si>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</si>
  <si>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</si>
  <si>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</si>
  <si>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</si>
  <si>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</si>
  <si>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</si>
  <si>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</si>
  <si>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</si>
  <si>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</si>
  <si>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</si>
  <si>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</si>
  <si>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</si>
  <si>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</si>
  <si>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</si>
  <si>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</si>
  <si>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</si>
  <si>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</si>
  <si>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</si>
  <si>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</si>
  <si>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</si>
  <si>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</si>
  <si>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</si>
  <si>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</si>
  <si>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</si>
  <si>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</si>
  <si>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</si>
  <si>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</si>
  <si>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</si>
  <si>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</si>
  <si>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</si>
  <si>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</si>
  <si>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</si>
  <si>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</si>
  <si>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</si>
  <si>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</si>
  <si>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</si>
  <si>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</si>
  <si>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</si>
  <si>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</si>
  <si>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</si>
  <si>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</si>
  <si>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</si>
  <si>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</si>
  <si>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</si>
  <si>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</si>
  <si>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</si>
  <si>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</si>
  <si>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</si>
  <si>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</si>
  <si>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</si>
  <si>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</si>
  <si>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</si>
  <si>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</si>
  <si>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</si>
  <si>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</si>
  <si>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</si>
  <si>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</si>
  <si>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</si>
  <si>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</si>
  <si>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</si>
  <si>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</si>
  <si>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</si>
  <si>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</si>
  <si>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</si>
  <si>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</si>
  <si>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</si>
  <si>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</si>
  <si>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</si>
  <si>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</si>
  <si>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</si>
  <si>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</si>
  <si>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</si>
  <si>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</si>
  <si>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</si>
  <si>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</si>
  <si>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</si>
  <si>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</si>
  <si>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</si>
  <si>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</si>
  <si>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</si>
  <si>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</si>
  <si>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</si>
  <si>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</si>
  <si>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</si>
  <si>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</si>
  <si>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</si>
  <si>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</si>
  <si>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</si>
  <si>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</si>
  <si>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</si>
  <si>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</si>
  <si>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</si>
  <si>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</si>
  <si>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</si>
  <si>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</si>
  <si>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</si>
  <si>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</si>
  <si>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</si>
  <si>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</si>
  <si>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</si>
  <si>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</si>
  <si>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</si>
  <si>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</si>
  <si>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</si>
  <si>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</si>
  <si>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</si>
  <si>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</si>
  <si>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</si>
  <si>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</si>
  <si>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</si>
  <si>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</si>
  <si>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</si>
  <si>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</si>
  <si>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</si>
  <si>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</si>
  <si>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</si>
  <si>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</si>
  <si>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</si>
  <si>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</si>
  <si>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</si>
  <si>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</si>
  <si>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</si>
  <si>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</si>
  <si>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</si>
  <si>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</si>
  <si>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</si>
  <si>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</si>
  <si>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</si>
  <si>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</si>
  <si>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</si>
  <si>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</si>
  <si>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</si>
  <si>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</si>
  <si>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</si>
  <si>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</si>
  <si>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</si>
  <si>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</si>
  <si>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</si>
  <si>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</si>
  <si>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</si>
  <si>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</si>
  <si>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</si>
  <si>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</si>
  <si>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</si>
  <si>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</si>
  <si>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</si>
  <si>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7105</t>
  </si>
  <si>
    <t>PRESTAMOS ENTIDADES FINANCIERAS LP</t>
  </si>
  <si>
    <t>CARTAS DE CREDITO ( INVERSIONES)</t>
  </si>
  <si>
    <t>PRESTAMOS DE ENTIDADES FINANCIERAS CORTO PLAZO (CREDITOS TESORERIA)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</si>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</sst>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(* #,##0_);_(* \(#,##0\);_(* &quot;-&quot;??_);_(@_)"/>
    <numFmt numFmtId="167" formatCode="#,##0;[Red]\-#,##0;&quot;-&quot;"/>
    <numFmt numFmtId="168" formatCode="mmmm/yyyy"/>
    <numFmt numFmtId="169" formatCode="[$-F800]dddd\,\ mmmm\ dd\,\ yyyy"/>
    <numFmt numFmtId="170" formatCode="0.0%"/>
    <numFmt numFmtId="171" formatCode="0_);\(0\)"/>
    <numFmt numFmtId="172" formatCode="_(* #,##0.000000000000_);_(* \(#,##0.000000000000\);_(* &quot;-&quot;??_);_(@_)"/>
    <numFmt numFmtId="173" formatCode="_(* #,##0.00000000_);_(* \(#,##0.00000000\);_(* &quot;-&quot;??_);_(@_)"/>
    <numFmt numFmtId="174" formatCode="_-* #,##0_-;\-* #,##0_-;_-* &quot;-&quot;????????_-;_-@_-"/>
    <numFmt numFmtId="175" formatCode="_(* #,##0.00000_);_(* \(#,##0.00000\);_(* &quot;-&quot;????????_);_(@_)"/>
  </numFmts>
  <fonts count="25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2" tint="-0.749992370372631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0" fontId="1" fillId="0" borderId="0"/>
    <xf numFmtId="0" fontId="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41" fontId="1" fillId="0" borderId="0" applyFont="0" applyFill="0" applyBorder="0" applyAlignment="0" applyProtection="0"/>
  </cellStyleXfs>
  <cellXfs count="131">
    <xf numFmtId="0" fontId="0" fillId="0" borderId="0" xfId="0"/>
    <xf numFmtId="0" fontId="2" fillId="0" borderId="0" xfId="1" applyFont="1"/>
    <xf numFmtId="0" fontId="3" fillId="0" borderId="0" xfId="1" applyFont="1"/>
    <xf numFmtId="0" fontId="3" fillId="0" borderId="0" xfId="1" applyFont="1" applyAlignment="1">
      <alignment horizontal="left"/>
    </xf>
    <xf numFmtId="164" fontId="2" fillId="0" borderId="0" xfId="1" applyNumberFormat="1" applyFont="1"/>
    <xf numFmtId="165" fontId="2" fillId="0" borderId="0" xfId="2" applyNumberFormat="1" applyFont="1" applyAlignment="1">
      <alignment horizontal="right" vertical="center" wrapText="1"/>
    </xf>
    <xf numFmtId="43" fontId="2" fillId="0" borderId="0" xfId="3" applyFont="1" applyFill="1" applyBorder="1"/>
    <xf numFmtId="0" fontId="5" fillId="0" borderId="0" xfId="1" applyFont="1" applyAlignment="1">
      <alignment horizontal="center" wrapText="1"/>
    </xf>
    <xf numFmtId="0" fontId="5" fillId="0" borderId="0" xfId="1" applyFont="1" applyAlignment="1">
      <alignment vertical="center"/>
    </xf>
    <xf numFmtId="166" fontId="5" fillId="0" borderId="0" xfId="3" applyNumberFormat="1" applyFont="1" applyFill="1" applyBorder="1" applyAlignment="1">
      <alignment horizontal="center" wrapText="1"/>
    </xf>
    <xf numFmtId="0" fontId="5" fillId="0" borderId="0" xfId="1" applyFont="1"/>
    <xf numFmtId="166" fontId="5" fillId="0" borderId="0" xfId="3" applyNumberFormat="1" applyFont="1" applyFill="1" applyBorder="1"/>
    <xf numFmtId="0" fontId="5" fillId="0" borderId="0" xfId="1" applyFont="1" applyAlignment="1">
      <alignment horizontal="center"/>
    </xf>
    <xf numFmtId="0" fontId="6" fillId="0" borderId="0" xfId="1" applyFont="1"/>
    <xf numFmtId="166" fontId="5" fillId="0" borderId="0" xfId="3" applyNumberFormat="1" applyFont="1" applyFill="1" applyBorder="1" applyAlignment="1">
      <alignment horizontal="center"/>
    </xf>
    <xf numFmtId="0" fontId="7" fillId="0" borderId="0" xfId="1" applyFont="1"/>
    <xf numFmtId="0" fontId="5" fillId="0" borderId="0" xfId="1" applyFont="1" applyAlignment="1">
      <alignment horizontal="left"/>
    </xf>
    <xf numFmtId="0" fontId="8" fillId="0" borderId="0" xfId="1" applyFont="1" applyAlignment="1">
      <alignment horizontal="left"/>
    </xf>
    <xf numFmtId="0" fontId="3" fillId="0" borderId="1" xfId="1" applyFont="1" applyBorder="1" applyAlignment="1">
      <alignment horizontal="centerContinuous"/>
    </xf>
    <xf numFmtId="0" fontId="5" fillId="0" borderId="0" xfId="1" applyFont="1" applyAlignment="1">
      <alignment horizontal="right"/>
    </xf>
    <xf numFmtId="0" fontId="5" fillId="0" borderId="0" xfId="1" applyFont="1" applyAlignment="1">
      <alignment wrapText="1"/>
    </xf>
    <xf numFmtId="166" fontId="5" fillId="0" borderId="0" xfId="3" applyNumberFormat="1" applyFont="1" applyFill="1" applyBorder="1" applyAlignment="1"/>
    <xf numFmtId="0" fontId="5" fillId="0" borderId="1" xfId="1" applyFont="1" applyBorder="1"/>
    <xf numFmtId="0" fontId="5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1" xfId="1" applyFont="1" applyBorder="1" applyAlignment="1">
      <alignment horizontal="center"/>
    </xf>
    <xf numFmtId="3" fontId="5" fillId="0" borderId="0" xfId="1" applyNumberFormat="1" applyFont="1" applyAlignment="1">
      <alignment horizontal="right"/>
    </xf>
    <xf numFmtId="9" fontId="5" fillId="0" borderId="0" xfId="4" applyFont="1" applyFill="1" applyBorder="1" applyAlignment="1">
      <alignment horizontal="right"/>
    </xf>
    <xf numFmtId="9" fontId="3" fillId="0" borderId="0" xfId="4" applyFont="1" applyFill="1" applyBorder="1" applyAlignment="1">
      <alignment horizontal="right"/>
    </xf>
    <xf numFmtId="166" fontId="5" fillId="0" borderId="0" xfId="3" applyNumberFormat="1" applyFont="1" applyFill="1" applyBorder="1" applyAlignment="1">
      <alignment horizontal="right"/>
    </xf>
    <xf numFmtId="9" fontId="5" fillId="0" borderId="0" xfId="4" applyFont="1" applyFill="1" applyBorder="1" applyAlignment="1">
      <alignment horizontal="center"/>
    </xf>
    <xf numFmtId="3" fontId="5" fillId="0" borderId="0" xfId="1" applyNumberFormat="1" applyFont="1"/>
    <xf numFmtId="167" fontId="3" fillId="0" borderId="0" xfId="4" applyNumberFormat="1" applyFont="1" applyFill="1" applyBorder="1" applyAlignment="1">
      <alignment horizontal="right"/>
    </xf>
    <xf numFmtId="0" fontId="9" fillId="0" borderId="0" xfId="1" applyFont="1" applyAlignment="1">
      <alignment horizontal="left"/>
    </xf>
    <xf numFmtId="3" fontId="9" fillId="0" borderId="0" xfId="1" applyNumberFormat="1" applyFont="1" applyAlignment="1">
      <alignment horizontal="right"/>
    </xf>
    <xf numFmtId="9" fontId="9" fillId="0" borderId="0" xfId="4" applyFont="1" applyFill="1" applyBorder="1" applyAlignment="1">
      <alignment horizontal="right"/>
    </xf>
    <xf numFmtId="9" fontId="8" fillId="0" borderId="0" xfId="4" applyFont="1" applyFill="1" applyBorder="1" applyAlignment="1">
      <alignment horizontal="right"/>
    </xf>
    <xf numFmtId="167" fontId="5" fillId="0" borderId="0" xfId="1" applyNumberFormat="1" applyFont="1" applyAlignment="1">
      <alignment horizontal="left"/>
    </xf>
    <xf numFmtId="166" fontId="9" fillId="0" borderId="0" xfId="3" applyNumberFormat="1" applyFont="1" applyFill="1" applyBorder="1" applyAlignment="1">
      <alignment horizontal="right"/>
    </xf>
    <xf numFmtId="9" fontId="9" fillId="0" borderId="0" xfId="4" applyFont="1" applyFill="1" applyBorder="1" applyAlignment="1">
      <alignment horizontal="center"/>
    </xf>
    <xf numFmtId="0" fontId="12" fillId="0" borderId="0" xfId="1" applyFont="1" applyAlignment="1">
      <alignment horizont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center" wrapText="1"/>
    </xf>
    <xf numFmtId="166" fontId="3" fillId="0" borderId="0" xfId="3" applyNumberFormat="1" applyFont="1" applyFill="1" applyBorder="1" applyAlignment="1">
      <alignment horizontal="center" wrapText="1"/>
    </xf>
    <xf numFmtId="0" fontId="12" fillId="0" borderId="0" xfId="1" applyFont="1"/>
    <xf numFmtId="166" fontId="3" fillId="0" borderId="0" xfId="3" applyNumberFormat="1" applyFont="1" applyFill="1" applyBorder="1"/>
    <xf numFmtId="0" fontId="3" fillId="0" borderId="0" xfId="1" applyFont="1" applyAlignment="1">
      <alignment horizontal="center"/>
    </xf>
    <xf numFmtId="3" fontId="3" fillId="0" borderId="0" xfId="1" applyNumberFormat="1" applyFont="1"/>
    <xf numFmtId="168" fontId="3" fillId="0" borderId="0" xfId="1" applyNumberFormat="1" applyFont="1" applyAlignment="1">
      <alignment horizontal="centerContinuous"/>
    </xf>
    <xf numFmtId="168" fontId="3" fillId="0" borderId="0" xfId="1" applyNumberFormat="1" applyFont="1" applyAlignment="1">
      <alignment horizontal="center"/>
    </xf>
    <xf numFmtId="166" fontId="3" fillId="0" borderId="0" xfId="3" applyNumberFormat="1" applyFont="1" applyFill="1" applyBorder="1" applyAlignment="1">
      <alignment horizontal="center"/>
    </xf>
    <xf numFmtId="169" fontId="3" fillId="0" borderId="0" xfId="1" applyNumberFormat="1" applyFont="1" applyAlignment="1">
      <alignment horizontal="centerContinuous"/>
    </xf>
    <xf numFmtId="0" fontId="12" fillId="0" borderId="0" xfId="1" applyFont="1" applyAlignment="1">
      <alignment horizontal="right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right" wrapText="1"/>
    </xf>
    <xf numFmtId="166" fontId="3" fillId="0" borderId="0" xfId="3" applyNumberFormat="1" applyFont="1" applyFill="1" applyBorder="1" applyAlignment="1">
      <alignment horizontal="right"/>
    </xf>
    <xf numFmtId="3" fontId="12" fillId="0" borderId="0" xfId="1" quotePrefix="1" applyNumberFormat="1" applyFont="1"/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right"/>
    </xf>
    <xf numFmtId="3" fontId="3" fillId="0" borderId="0" xfId="1" applyNumberFormat="1" applyFont="1" applyAlignment="1">
      <alignment horizontal="right"/>
    </xf>
    <xf numFmtId="166" fontId="3" fillId="0" borderId="0" xfId="3" applyNumberFormat="1" applyFont="1" applyFill="1" applyBorder="1" applyAlignment="1"/>
    <xf numFmtId="9" fontId="3" fillId="0" borderId="0" xfId="4" applyFont="1" applyFill="1" applyBorder="1" applyAlignment="1">
      <alignment horizontal="center"/>
    </xf>
    <xf numFmtId="49" fontId="12" fillId="0" borderId="0" xfId="1" applyNumberFormat="1" applyFont="1"/>
    <xf numFmtId="3" fontId="8" fillId="0" borderId="0" xfId="1" applyNumberFormat="1" applyFont="1" applyAlignment="1">
      <alignment horizontal="right"/>
    </xf>
    <xf numFmtId="49" fontId="12" fillId="0" borderId="0" xfId="5" applyNumberFormat="1" applyFont="1"/>
    <xf numFmtId="166" fontId="8" fillId="0" borderId="0" xfId="3" applyNumberFormat="1" applyFont="1" applyFill="1" applyBorder="1" applyAlignment="1">
      <alignment horizontal="right"/>
    </xf>
    <xf numFmtId="9" fontId="8" fillId="0" borderId="0" xfId="4" applyFont="1" applyFill="1" applyBorder="1" applyAlignment="1">
      <alignment horizontal="center"/>
    </xf>
    <xf numFmtId="3" fontId="3" fillId="0" borderId="0" xfId="1" applyNumberFormat="1" applyFont="1" applyAlignment="1">
      <alignment horizontal="center"/>
    </xf>
    <xf numFmtId="166" fontId="8" fillId="0" borderId="0" xfId="1" applyNumberFormat="1" applyFont="1"/>
    <xf numFmtId="3" fontId="12" fillId="0" borderId="0" xfId="1" applyNumberFormat="1" applyFont="1"/>
    <xf numFmtId="0" fontId="14" fillId="0" borderId="0" xfId="1" applyFont="1" applyAlignment="1">
      <alignment horizontal="center" wrapText="1"/>
    </xf>
    <xf numFmtId="0" fontId="14" fillId="0" borderId="0" xfId="1" applyFont="1"/>
    <xf numFmtId="0" fontId="8" fillId="0" borderId="0" xfId="1" applyFont="1"/>
    <xf numFmtId="49" fontId="14" fillId="0" borderId="0" xfId="1" applyNumberFormat="1" applyFont="1"/>
    <xf numFmtId="166" fontId="8" fillId="0" borderId="0" xfId="3" applyNumberFormat="1" applyFont="1" applyFill="1" applyBorder="1"/>
    <xf numFmtId="0" fontId="7" fillId="0" borderId="0" xfId="1" applyFont="1" applyAlignment="1">
      <alignment horizontal="center" wrapText="1"/>
    </xf>
    <xf numFmtId="43" fontId="5" fillId="0" borderId="0" xfId="1" applyNumberFormat="1" applyFont="1"/>
    <xf numFmtId="170" fontId="5" fillId="0" borderId="0" xfId="4" applyNumberFormat="1" applyFont="1" applyFill="1" applyBorder="1"/>
    <xf numFmtId="17" fontId="5" fillId="0" borderId="0" xfId="1" applyNumberFormat="1" applyFont="1"/>
    <xf numFmtId="0" fontId="5" fillId="0" borderId="2" xfId="1" applyFont="1" applyBorder="1" applyAlignment="1">
      <alignment horizontal="centerContinuous"/>
    </xf>
    <xf numFmtId="0" fontId="5" fillId="0" borderId="2" xfId="1" applyFont="1" applyBorder="1"/>
    <xf numFmtId="0" fontId="5" fillId="0" borderId="2" xfId="1" applyFont="1" applyBorder="1" applyAlignment="1">
      <alignment horizontal="right"/>
    </xf>
    <xf numFmtId="171" fontId="5" fillId="0" borderId="0" xfId="3" applyNumberFormat="1" applyFont="1" applyFill="1" applyBorder="1" applyAlignment="1">
      <alignment horizontal="right"/>
    </xf>
    <xf numFmtId="0" fontId="15" fillId="0" borderId="0" xfId="1" applyFont="1"/>
    <xf numFmtId="17" fontId="3" fillId="0" borderId="0" xfId="1" applyNumberFormat="1" applyFont="1"/>
    <xf numFmtId="0" fontId="5" fillId="0" borderId="0" xfId="1" applyFont="1" applyAlignment="1">
      <alignment horizontal="centerContinuous"/>
    </xf>
    <xf numFmtId="1" fontId="3" fillId="0" borderId="0" xfId="1" applyNumberFormat="1" applyFont="1" applyAlignment="1">
      <alignment horizontal="left"/>
    </xf>
    <xf numFmtId="49" fontId="3" fillId="0" borderId="0" xfId="1" applyNumberFormat="1" applyFont="1"/>
    <xf numFmtId="166" fontId="3" fillId="0" borderId="0" xfId="3" applyNumberFormat="1" applyFont="1" applyFill="1" applyBorder="1" applyAlignment="1">
      <alignment horizontal="left"/>
    </xf>
    <xf numFmtId="0" fontId="5" fillId="0" borderId="1" xfId="1" applyFont="1" applyBorder="1" applyAlignment="1">
      <alignment horizontal="centerContinuous"/>
    </xf>
    <xf numFmtId="43" fontId="3" fillId="0" borderId="0" xfId="1" applyNumberFormat="1" applyFont="1"/>
    <xf numFmtId="172" fontId="3" fillId="0" borderId="0" xfId="3" applyNumberFormat="1" applyFont="1" applyFill="1" applyBorder="1"/>
    <xf numFmtId="1" fontId="3" fillId="0" borderId="0" xfId="1" applyNumberFormat="1" applyFont="1"/>
    <xf numFmtId="0" fontId="16" fillId="0" borderId="0" xfId="1" applyFont="1"/>
    <xf numFmtId="43" fontId="16" fillId="0" borderId="0" xfId="3" applyFont="1"/>
    <xf numFmtId="0" fontId="1" fillId="0" borderId="0" xfId="1"/>
    <xf numFmtId="0" fontId="16" fillId="0" borderId="0" xfId="1" applyFont="1" applyAlignment="1">
      <alignment wrapText="1"/>
    </xf>
    <xf numFmtId="173" fontId="17" fillId="0" borderId="0" xfId="3" applyNumberFormat="1" applyFont="1"/>
    <xf numFmtId="174" fontId="1" fillId="0" borderId="0" xfId="1" applyNumberFormat="1"/>
    <xf numFmtId="43" fontId="17" fillId="0" borderId="0" xfId="3" applyFont="1"/>
    <xf numFmtId="166" fontId="16" fillId="0" borderId="0" xfId="3" applyNumberFormat="1" applyFont="1"/>
    <xf numFmtId="175" fontId="16" fillId="0" borderId="0" xfId="1" applyNumberFormat="1" applyFont="1"/>
    <xf numFmtId="0" fontId="3" fillId="0" borderId="0" xfId="1" applyFont="1" applyAlignment="1">
      <alignment horizontal="centerContinuous"/>
    </xf>
    <xf numFmtId="2" fontId="3" fillId="0" borderId="0" xfId="1" applyNumberFormat="1" applyFont="1" applyAlignment="1">
      <alignment horizontal="center"/>
    </xf>
    <xf numFmtId="0" fontId="5" fillId="0" borderId="1" xfId="1" applyFont="1" applyBorder="1" applyAlignment="1">
      <alignment horizontal="right"/>
    </xf>
    <xf numFmtId="3" fontId="7" fillId="0" borderId="0" xfId="1" applyNumberFormat="1" applyFont="1" applyAlignment="1">
      <alignment horizontal="right"/>
    </xf>
    <xf numFmtId="49" fontId="18" fillId="0" borderId="0" xfId="1" applyNumberFormat="1" applyFont="1"/>
    <xf numFmtId="0" fontId="19" fillId="0" borderId="0" xfId="5" applyFont="1" applyAlignment="1">
      <alignment vertical="center"/>
    </xf>
    <xf numFmtId="0" fontId="18" fillId="0" borderId="0" xfId="1" applyFont="1"/>
    <xf numFmtId="0" fontId="20" fillId="0" borderId="0" xfId="1" applyFont="1"/>
    <xf numFmtId="41" fontId="18" fillId="0" borderId="0" xfId="6" applyFont="1"/>
    <xf numFmtId="49" fontId="21" fillId="0" borderId="0" xfId="5" applyNumberFormat="1" applyFont="1"/>
    <xf numFmtId="49" fontId="19" fillId="0" borderId="0" xfId="5" applyNumberFormat="1" applyFont="1"/>
    <xf numFmtId="0" fontId="22" fillId="0" borderId="0" xfId="5" applyFont="1" applyAlignment="1">
      <alignment vertical="center"/>
    </xf>
    <xf numFmtId="166" fontId="18" fillId="0" borderId="0" xfId="3" applyNumberFormat="1" applyFont="1"/>
    <xf numFmtId="166" fontId="18" fillId="0" borderId="0" xfId="1" applyNumberFormat="1" applyFont="1"/>
    <xf numFmtId="49" fontId="18" fillId="2" borderId="0" xfId="1" applyNumberFormat="1" applyFont="1" applyFill="1"/>
    <xf numFmtId="3" fontId="18" fillId="0" borderId="0" xfId="1" applyNumberFormat="1" applyFont="1"/>
    <xf numFmtId="43" fontId="18" fillId="0" borderId="0" xfId="1" applyNumberFormat="1" applyFont="1"/>
    <xf numFmtId="41" fontId="18" fillId="0" borderId="0" xfId="1" applyNumberFormat="1" applyFont="1"/>
    <xf numFmtId="49" fontId="23" fillId="0" borderId="0" xfId="5" applyNumberFormat="1" applyFont="1"/>
    <xf numFmtId="0" fontId="20" fillId="2" borderId="0" xfId="1" applyFont="1" applyFill="1"/>
    <xf numFmtId="0" fontId="18" fillId="2" borderId="0" xfId="1" applyFont="1" applyFill="1"/>
    <xf numFmtId="0" fontId="21" fillId="0" borderId="0" xfId="1" applyFont="1" applyAlignment="1">
      <alignment vertical="center"/>
    </xf>
    <xf numFmtId="0" fontId="21" fillId="0" borderId="0" xfId="1" applyFont="1" applyAlignment="1">
      <alignment horizontal="left" vertical="center"/>
    </xf>
    <xf numFmtId="166" fontId="24" fillId="0" borderId="0" xfId="3" applyNumberFormat="1" applyFont="1" applyFill="1" applyBorder="1" applyAlignment="1">
      <alignment horizontal="right"/>
    </xf>
    <xf numFmtId="0" fontId="24" fillId="0" borderId="0" xfId="1" applyFont="1"/>
    <xf numFmtId="3" fontId="24" fillId="0" borderId="0" xfId="1" applyNumberFormat="1" applyFont="1"/>
    <xf numFmtId="0" fontId="24" fillId="0" borderId="0" xfId="1" applyFont="1" applyAlignment="1">
      <alignment horizontal="center"/>
    </xf>
    <xf numFmtId="9" fontId="24" fillId="0" borderId="0" xfId="4" applyFont="1" applyFill="1" applyBorder="1" applyAlignment="1"/>
    <xf numFmtId="170" fontId="24" fillId="0" borderId="0" xfId="4" applyNumberFormat="1" applyFont="1" applyFill="1" applyBorder="1" applyAlignment="1"/>
  </cellXfs>
  <cellStyles count="7">
    <cellStyle name="Millares [0] 2" xfId="6" xr:uid="{9F902409-42E0-4037-875C-B69071294CC9}"/>
    <cellStyle name="Millares 2" xfId="3" xr:uid="{7A4B7208-D0B2-4E2A-9A19-4127F797C132}"/>
    <cellStyle name="Normal" xfId="0" builtinId="0"/>
    <cellStyle name="Normal 2" xfId="1" xr:uid="{1DF78CB5-7846-499F-BB69-035FEE2F8FA7}"/>
    <cellStyle name="Normal 2 2" xfId="5" xr:uid="{B9496D17-C15F-407E-AABC-55A6D3A5E8C8}"/>
    <cellStyle name="Normal 3" xfId="2" xr:uid="{24B7BE43-953B-48C7-B3B4-DBC6FA9659BD}"/>
    <cellStyle name="Porcentaje 2" xfId="4" xr:uid="{16911F71-2F29-4C20-BCAF-40EAD13C89CD}"/>
  </cellStyles>
  <dxfs count="69"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numFmt numFmtId="33" formatCode="_-* #,##0_-;\-* #,##0_-;_-* &quot;-&quot;_-;_-@_-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numFmt numFmtId="33" formatCode="_-* #,##0_-;\-* #,##0_-;_-* &quot;-&quot;_-;_-@_-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533401</xdr:colOff>
      <xdr:row>11</xdr:row>
      <xdr:rowOff>122274</xdr:rowOff>
    </xdr:from>
    <xdr:to>
      <xdr:col>42</xdr:col>
      <xdr:colOff>342900</xdr:colOff>
      <xdr:row>20</xdr:row>
      <xdr:rowOff>65852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B09732-B841-4609-A3CE-9D3158A55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84676" y="2189199"/>
          <a:ext cx="3619499" cy="1400903"/>
        </a:xfrm>
        <a:prstGeom prst="rect">
          <a:avLst/>
        </a:prstGeom>
      </xdr:spPr>
    </xdr:pic>
    <xdr:clientData/>
  </xdr:twoCellAnchor>
  <xdr:twoCellAnchor editAs="oneCell">
    <xdr:from>
      <xdr:col>42</xdr:col>
      <xdr:colOff>361950</xdr:colOff>
      <xdr:row>12</xdr:row>
      <xdr:rowOff>58624</xdr:rowOff>
    </xdr:from>
    <xdr:to>
      <xdr:col>47</xdr:col>
      <xdr:colOff>447675</xdr:colOff>
      <xdr:row>22</xdr:row>
      <xdr:rowOff>79338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8A29825-B519-43C0-83A1-987960EC8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423225" y="2287474"/>
          <a:ext cx="3895725" cy="1639964"/>
        </a:xfrm>
        <a:prstGeom prst="rect">
          <a:avLst/>
        </a:prstGeom>
      </xdr:spPr>
    </xdr:pic>
    <xdr:clientData/>
  </xdr:twoCellAnchor>
  <xdr:twoCellAnchor editAs="oneCell">
    <xdr:from>
      <xdr:col>47</xdr:col>
      <xdr:colOff>219075</xdr:colOff>
      <xdr:row>13</xdr:row>
      <xdr:rowOff>57150</xdr:rowOff>
    </xdr:from>
    <xdr:to>
      <xdr:col>52</xdr:col>
      <xdr:colOff>133350</xdr:colOff>
      <xdr:row>22</xdr:row>
      <xdr:rowOff>147576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A19B8C8-CB94-4F39-B728-53931D017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090350" y="2447925"/>
          <a:ext cx="3724275" cy="1547751"/>
        </a:xfrm>
        <a:prstGeom prst="rect">
          <a:avLst/>
        </a:prstGeom>
      </xdr:spPr>
    </xdr:pic>
    <xdr:clientData/>
  </xdr:twoCellAnchor>
  <xdr:twoCellAnchor editAs="oneCell">
    <xdr:from>
      <xdr:col>52</xdr:col>
      <xdr:colOff>419100</xdr:colOff>
      <xdr:row>13</xdr:row>
      <xdr:rowOff>81354</xdr:rowOff>
    </xdr:from>
    <xdr:to>
      <xdr:col>56</xdr:col>
      <xdr:colOff>657225</xdr:colOff>
      <xdr:row>22</xdr:row>
      <xdr:rowOff>14107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6B279E-43C7-4792-AEAF-7001F7A06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100375" y="2472129"/>
          <a:ext cx="3286125" cy="1390078"/>
        </a:xfrm>
        <a:prstGeom prst="rect">
          <a:avLst/>
        </a:prstGeom>
      </xdr:spPr>
    </xdr:pic>
    <xdr:clientData/>
  </xdr:twoCellAnchor>
  <xdr:twoCellAnchor editAs="oneCell">
    <xdr:from>
      <xdr:col>52</xdr:col>
      <xdr:colOff>133353</xdr:colOff>
      <xdr:row>1</xdr:row>
      <xdr:rowOff>133351</xdr:rowOff>
    </xdr:from>
    <xdr:to>
      <xdr:col>56</xdr:col>
      <xdr:colOff>752475</xdr:colOff>
      <xdr:row>10</xdr:row>
      <xdr:rowOff>133350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65BD48F-F9B4-450F-A3FB-214EFA66A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814628" y="371476"/>
          <a:ext cx="3667122" cy="1666874"/>
        </a:xfrm>
        <a:prstGeom prst="rect">
          <a:avLst/>
        </a:prstGeom>
      </xdr:spPr>
    </xdr:pic>
    <xdr:clientData/>
  </xdr:twoCellAnchor>
  <xdr:twoCellAnchor editAs="oneCell">
    <xdr:from>
      <xdr:col>47</xdr:col>
      <xdr:colOff>123825</xdr:colOff>
      <xdr:row>2</xdr:row>
      <xdr:rowOff>57151</xdr:rowOff>
    </xdr:from>
    <xdr:to>
      <xdr:col>52</xdr:col>
      <xdr:colOff>37401</xdr:colOff>
      <xdr:row>11</xdr:row>
      <xdr:rowOff>99512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E17A142-2014-4E14-8C3E-AD1A3980D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995100" y="533401"/>
          <a:ext cx="3723576" cy="1633036"/>
        </a:xfrm>
        <a:prstGeom prst="rect">
          <a:avLst/>
        </a:prstGeom>
      </xdr:spPr>
    </xdr:pic>
    <xdr:clientData/>
  </xdr:twoCellAnchor>
  <xdr:twoCellAnchor editAs="oneCell">
    <xdr:from>
      <xdr:col>42</xdr:col>
      <xdr:colOff>171450</xdr:colOff>
      <xdr:row>2</xdr:row>
      <xdr:rowOff>47625</xdr:rowOff>
    </xdr:from>
    <xdr:to>
      <xdr:col>47</xdr:col>
      <xdr:colOff>66675</xdr:colOff>
      <xdr:row>11</xdr:row>
      <xdr:rowOff>48415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E05BDE4-E5F9-4180-8F03-3CE5BDCAB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232725" y="523875"/>
          <a:ext cx="3705225" cy="1591465"/>
        </a:xfrm>
        <a:prstGeom prst="rect">
          <a:avLst/>
        </a:prstGeom>
      </xdr:spPr>
    </xdr:pic>
    <xdr:clientData/>
  </xdr:twoCellAnchor>
  <xdr:twoCellAnchor editAs="oneCell">
    <xdr:from>
      <xdr:col>37</xdr:col>
      <xdr:colOff>590551</xdr:colOff>
      <xdr:row>1</xdr:row>
      <xdr:rowOff>133351</xdr:rowOff>
    </xdr:from>
    <xdr:to>
      <xdr:col>42</xdr:col>
      <xdr:colOff>209550</xdr:colOff>
      <xdr:row>9</xdr:row>
      <xdr:rowOff>142581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DEBE6AF-2015-4C21-9112-D31B59902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841826" y="371476"/>
          <a:ext cx="3428999" cy="151418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23</xdr:row>
      <xdr:rowOff>0</xdr:rowOff>
    </xdr:from>
    <xdr:to>
      <xdr:col>42</xdr:col>
      <xdr:colOff>276225</xdr:colOff>
      <xdr:row>31</xdr:row>
      <xdr:rowOff>131695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3F9E387-BC8F-43D9-B14E-D3A3082E6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013275" y="4010025"/>
          <a:ext cx="3324225" cy="14270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Vision%20Tecnologica\UnoBiable\UnoBiable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definedNames>
      <definedName name="Consulta"/>
    </definedNames>
    <sheetDataSet>
      <sheetData sheetId="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47.442095023151" createdVersion="3" refreshedVersion="6" minRefreshableVersion="3" recordCount="3" xr:uid="{B68BF44B-DDA8-4679-BA4D-779CBFC52DD6}">
  <cacheSource type="external" connectionId="3"/>
  <cacheFields count="33">
    <cacheField name="PERIODO" numFmtId="0">
      <sharedItems containsSemiMixedTypes="0" containsString="0" containsNumber="1" containsInteger="1" minValue="201909" maxValue="201909" count="1">
        <n v="201909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pto Flujo de Efectivo" numFmtId="0">
      <sharedItems count="3">
        <s v="4102"/>
        <s v="7102"/>
        <s v="7105"/>
      </sharedItems>
    </cacheField>
    <cacheField name="Nombre Cpto Flujo Efectivo" numFmtId="0">
      <sharedItems count="3">
        <s v="INTERESES LARGO PLAZO"/>
        <s v="PAGO CUOTA CORRIENTE"/>
        <s v="PRESTAMOS ENTIDADES FINANCIERAS LP"/>
      </sharedItems>
    </cacheField>
    <cacheField name="Cpto Mayor Flujo Efectivo" numFmtId="0">
      <sharedItems count="2">
        <s v="4"/>
        <s v="7"/>
      </sharedItems>
    </cacheField>
    <cacheField name="CPTO_FE_N1" numFmtId="0">
      <sharedItems count="2">
        <s v="4"/>
        <s v="7"/>
      </sharedItems>
    </cacheField>
    <cacheField name="Nombre Cpto FE N1" numFmtId="0">
      <sharedItems count="2">
        <s v="MOVIMIENTO FINANCIERO"/>
        <s v="ACTIVIDADES DE FINANCIACION"/>
      </sharedItems>
    </cacheField>
    <cacheField name="CPTO_FE_N2" numFmtId="0">
      <sharedItems count="3">
        <s v="4102"/>
        <s v="7102"/>
        <s v="7105"/>
      </sharedItems>
    </cacheField>
    <cacheField name="Nombre Cpto FE N2" numFmtId="0">
      <sharedItems count="3">
        <s v="INTERESES LARGO PLAZO"/>
        <s v="PAGO CUOTA CORRIENTE"/>
        <s v="PRESTAMOS ENTIDADES FINANCIERAS LP"/>
      </sharedItems>
    </cacheField>
    <cacheField name="CPTO_FE_N3" numFmtId="0">
      <sharedItems count="3">
        <s v="4102"/>
        <s v="7102"/>
        <s v="7105"/>
      </sharedItems>
    </cacheField>
    <cacheField name="Nombre Cpto FE N3" numFmtId="0">
      <sharedItems count="3">
        <s v="INTERESES LARGO PLAZO"/>
        <s v="PAGO CUOTA CORRIENTE"/>
        <s v="PRESTAMOS ENTIDADES FINANCIERAS LP"/>
      </sharedItems>
    </cacheField>
    <cacheField name="CPTO_FE_N4" numFmtId="0">
      <sharedItems count="3">
        <s v="4102"/>
        <s v="7102"/>
        <s v="7105"/>
      </sharedItems>
    </cacheField>
    <cacheField name="Nombre Cpto FE N4" numFmtId="0">
      <sharedItems count="3">
        <s v="INTERESES LARGO PLAZO"/>
        <s v="PAGO CUOTA CORRIENTE"/>
        <s v="PRESTAMOS ENTIDADES FINANCIERAS LP"/>
      </sharedItems>
    </cacheField>
    <cacheField name="CPTO_FE_N5" numFmtId="0">
      <sharedItems count="3">
        <s v="4102"/>
        <s v="7102"/>
        <s v="7105"/>
      </sharedItems>
    </cacheField>
    <cacheField name="Nombre Cpto FE N5" numFmtId="0">
      <sharedItems count="3">
        <s v="INTERESES LARGO PLAZO"/>
        <s v="PAGO CUOTA CORRIENTE"/>
        <s v="PRESTAMOS ENTIDADES FINANCIERAS LP"/>
      </sharedItems>
    </cacheField>
    <cacheField name="CPTO_FE_N6" numFmtId="0">
      <sharedItems count="3">
        <s v="4102"/>
        <s v="7102"/>
        <s v="7105"/>
      </sharedItems>
    </cacheField>
    <cacheField name="Nombre Cpto FE N6" numFmtId="0">
      <sharedItems count="3">
        <s v="INTERESES LARGO PLAZO"/>
        <s v="PAGO CUOTA CORRIENTE"/>
        <s v="PRESTAMOS ENTIDADES FINANCIERAS LP"/>
      </sharedItems>
    </cacheField>
    <cacheField name="CPTO_FE_N7" numFmtId="0">
      <sharedItems count="3">
        <s v="4102"/>
        <s v="7102"/>
        <s v="7105"/>
      </sharedItems>
    </cacheField>
    <cacheField name="Nombre Cpto FE N7" numFmtId="0">
      <sharedItems count="3">
        <s v="INTERESES LARGO PLAZO"/>
        <s v="PAGO CUOTA CORRIENTE"/>
        <s v="PRESTAMOS ENTIDADES FINANCIERAS LP"/>
      </sharedItems>
    </cacheField>
    <cacheField name="CPTO_FE_N8" numFmtId="0">
      <sharedItems count="3">
        <s v="4102"/>
        <s v="7102"/>
        <s v="7105"/>
      </sharedItems>
    </cacheField>
    <cacheField name="Nombre Cpto FE N8" numFmtId="0">
      <sharedItems count="3">
        <s v="INTERESES LARGO PLAZO"/>
        <s v="PAGO CUOTA CORRIENTE"/>
        <s v="PRESTAMOS ENTIDADES FINANCIERAS LP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19" maxValue="2019" count="1">
        <n v="2019"/>
      </sharedItems>
    </cacheField>
    <cacheField name="Valor Presupuesto" numFmtId="0">
      <sharedItems containsSemiMixedTypes="0" containsString="0" containsNumber="1" containsInteger="1" minValue="15856000" maxValue="89381000" count="3">
        <n v="15856000"/>
        <n v="89381000"/>
        <n v="42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C832B84E-EF45-4935-92F1-BB328494A625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C60D830B-9ACD-4C82-98A6-010B993D6161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94AB5C-53E6-41C8-A9F0-F4946D1FC904}" name="UnoBiable: SmartZoom 001 en ctas" cacheId="13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18">
      <pivotArea outline="0" collapsedLevelsAreSubtotals="1" fieldPosition="0"/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type="origin" dataOnly="0" labelOnly="1" outline="0" fieldPosition="0"/>
    </format>
    <format dxfId="14">
      <pivotArea field="31" type="button" dataOnly="0" labelOnly="1" outline="0" axis="axisRow" fieldPosition="0"/>
    </format>
    <format dxfId="13">
      <pivotArea field="32" type="button" dataOnly="0" labelOnly="1" outline="0" axis="axisRow" fieldPosition="1"/>
    </format>
    <format dxfId="12">
      <pivotArea dataOnly="0" labelOnly="1" outline="0" fieldPosition="0">
        <references count="1">
          <reference field="31" count="0"/>
        </references>
      </pivotArea>
    </format>
    <format dxfId="11">
      <pivotArea dataOnly="0" labelOnly="1" grandRow="1" outline="0" fieldPosition="0"/>
    </format>
    <format dxfId="10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9">
      <pivotArea type="topRight" dataOnly="0" labelOnly="1" outline="0" fieldPosition="0"/>
    </format>
    <format dxfId="8">
      <pivotArea type="all" dataOnly="0" outline="0" fieldPosition="0"/>
    </format>
    <format dxfId="7">
      <pivotArea outline="0" collapsedLevelsAreSubtotals="1" fieldPosition="0"/>
    </format>
    <format dxfId="6">
      <pivotArea type="origin" dataOnly="0" labelOnly="1" outline="0" fieldPosition="0"/>
    </format>
    <format dxfId="5">
      <pivotArea field="31" type="button" dataOnly="0" labelOnly="1" outline="0" axis="axisRow" fieldPosition="0"/>
    </format>
    <format dxfId="4">
      <pivotArea field="32" type="button" dataOnly="0" labelOnly="1" outline="0" axis="axisRow" fieldPosition="1"/>
    </format>
    <format dxfId="3">
      <pivotArea dataOnly="0" labelOnly="1" outline="0" fieldPosition="0">
        <references count="1">
          <reference field="31" count="0"/>
        </references>
      </pivotArea>
    </format>
    <format dxfId="2">
      <pivotArea dataOnly="0" labelOnly="1" grandRow="1" outline="0" fieldPosition="0"/>
    </format>
    <format dxfId="1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0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D74E4E-B2A3-47E2-8C13-449DBB67B5A2}" name="UnoBiable: SmartZoom 002 en ctas" cacheId="12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2">
        <item x="0"/>
        <item t="default"/>
      </items>
    </pivotField>
    <pivotField compact="0" outline="0" showAll="0"/>
    <pivotField compact="0" outline="0" showAll="0">
      <items count="2">
        <item x="0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3">
        <item x="0"/>
        <item x="1"/>
        <item x="2"/>
      </items>
    </pivotField>
    <pivotField axis="axisRow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2"/>
      <x v="2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41">
      <pivotArea outline="0" collapsedLevelsAreSubtotals="1" fieldPosition="0"/>
    </format>
    <format dxfId="40">
      <pivotArea type="all" dataOnly="0" outline="0" fieldPosition="0"/>
    </format>
    <format dxfId="39">
      <pivotArea outline="0" collapsedLevelsAreSubtotals="1" fieldPosition="0"/>
    </format>
    <format dxfId="38">
      <pivotArea type="origin" dataOnly="0" labelOnly="1" outline="0" fieldPosition="0"/>
    </format>
    <format dxfId="37">
      <pivotArea field="5" type="button" dataOnly="0" labelOnly="1" outline="0" axis="axisRow" fieldPosition="0"/>
    </format>
    <format dxfId="36">
      <pivotArea field="6" type="button" dataOnly="0" labelOnly="1" outline="0" axis="axisRow" fieldPosition="1"/>
    </format>
    <format dxfId="35">
      <pivotArea dataOnly="0" labelOnly="1" outline="0" fieldPosition="0">
        <references count="1">
          <reference field="5" count="0"/>
        </references>
      </pivotArea>
    </format>
    <format dxfId="34">
      <pivotArea dataOnly="0" labelOnly="1" grandRow="1" outline="0" fieldPosition="0"/>
    </format>
    <format dxfId="33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32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31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30">
      <pivotArea type="topRight" dataOnly="0" labelOnly="1" outline="0" fieldPosition="0"/>
    </format>
    <format dxfId="29">
      <pivotArea type="all" dataOnly="0" outline="0" fieldPosition="0"/>
    </format>
    <format dxfId="28">
      <pivotArea outline="0" collapsedLevelsAreSubtotals="1" fieldPosition="0"/>
    </format>
    <format dxfId="27">
      <pivotArea type="origin" dataOnly="0" labelOnly="1" outline="0" fieldPosition="0"/>
    </format>
    <format dxfId="26">
      <pivotArea field="5" type="button" dataOnly="0" labelOnly="1" outline="0" axis="axisRow" fieldPosition="0"/>
    </format>
    <format dxfId="25">
      <pivotArea field="6" type="button" dataOnly="0" labelOnly="1" outline="0" axis="axisRow" fieldPosition="1"/>
    </format>
    <format dxfId="24">
      <pivotArea dataOnly="0" labelOnly="1" outline="0" fieldPosition="0">
        <references count="1">
          <reference field="5" count="0"/>
        </references>
      </pivotArea>
    </format>
    <format dxfId="23">
      <pivotArea dataOnly="0" labelOnly="1" grandRow="1" outline="0" fieldPosition="0"/>
    </format>
    <format dxfId="22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21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20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19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FA4C6F-32CA-49AA-A988-451571425E2F}" name="UnoBiable: SmartZoom 000 en ctas" cacheId="14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55">
      <pivotArea type="all" dataOnly="0" outline="0" fieldPosition="0"/>
    </format>
    <format dxfId="54">
      <pivotArea outline="0" collapsedLevelsAreSubtotals="1" fieldPosition="0"/>
    </format>
    <format dxfId="53">
      <pivotArea type="origin" dataOnly="0" labelOnly="1" outline="0" fieldPosition="0"/>
    </format>
    <format dxfId="52">
      <pivotArea field="4" type="button" dataOnly="0" labelOnly="1" outline="0" axis="axisRow" fieldPosition="0"/>
    </format>
    <format dxfId="51">
      <pivotArea dataOnly="0" labelOnly="1" outline="0" fieldPosition="0">
        <references count="1">
          <reference field="4" count="0"/>
        </references>
      </pivotArea>
    </format>
    <format dxfId="50">
      <pivotArea dataOnly="0" labelOnly="1" grandRow="1" outline="0" fieldPosition="0"/>
    </format>
    <format dxfId="49">
      <pivotArea type="topRight" dataOnly="0" labelOnly="1" outline="0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type="origin" dataOnly="0" labelOnly="1" outline="0" fieldPosition="0"/>
    </format>
    <format dxfId="45">
      <pivotArea field="4" type="button" dataOnly="0" labelOnly="1" outline="0" axis="axisRow" fieldPosition="0"/>
    </format>
    <format dxfId="44">
      <pivotArea dataOnly="0" labelOnly="1" outline="0" fieldPosition="0">
        <references count="1">
          <reference field="4" count="0"/>
        </references>
      </pivotArea>
    </format>
    <format dxfId="43">
      <pivotArea dataOnly="0" labelOnly="1" grandRow="1" outline="0" fieldPosition="0"/>
    </format>
    <format dxfId="42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75210-BD88-4582-AD13-8C76D0DE8D21}">
  <dimension ref="A2:C10"/>
  <sheetViews>
    <sheetView showGridLines="0" workbookViewId="0"/>
  </sheetViews>
  <sheetFormatPr baseColWidth="10" defaultRowHeight="12.75" x14ac:dyDescent="0.2"/>
  <cols>
    <col min="1" max="1" width="12.5703125" style="1" customWidth="1"/>
    <col min="2" max="2" width="16.5703125" style="1" customWidth="1"/>
    <col min="3" max="16384" width="11.42578125" style="1"/>
  </cols>
  <sheetData>
    <row r="2" spans="1:3" x14ac:dyDescent="0.2">
      <c r="A2" s="1" t="s">
        <v>0</v>
      </c>
      <c r="B2" s="1" t="s">
        <v>1</v>
      </c>
    </row>
    <row r="3" spans="1:3" x14ac:dyDescent="0.2">
      <c r="A3" s="2">
        <v>202101</v>
      </c>
      <c r="B3" s="3">
        <v>202201</v>
      </c>
    </row>
    <row r="4" spans="1:3" x14ac:dyDescent="0.2">
      <c r="A4" s="2">
        <v>202109</v>
      </c>
      <c r="B4" s="3">
        <v>202209</v>
      </c>
    </row>
    <row r="5" spans="1:3" x14ac:dyDescent="0.2">
      <c r="A5" s="2"/>
      <c r="B5" s="3">
        <f>+B4-1</f>
        <v>202208</v>
      </c>
    </row>
    <row r="8" spans="1:3" x14ac:dyDescent="0.2">
      <c r="A8" s="1" t="s">
        <v>2</v>
      </c>
      <c r="B8" s="4" t="str">
        <f>+'COL. CONS.$'!B6</f>
        <v>SEPTIEMBRE de 2022</v>
      </c>
      <c r="C8" s="5">
        <v>4532.07</v>
      </c>
    </row>
    <row r="9" spans="1:3" x14ac:dyDescent="0.2">
      <c r="A9" s="1" t="s">
        <v>2</v>
      </c>
      <c r="B9" s="1">
        <f>+Paramet!A4</f>
        <v>202109</v>
      </c>
      <c r="C9" s="6">
        <v>3834.68</v>
      </c>
    </row>
    <row r="10" spans="1:3" x14ac:dyDescent="0.2">
      <c r="A10" s="1" t="s">
        <v>3</v>
      </c>
      <c r="C10" s="6">
        <v>3400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9199F-AF01-41DE-800C-60097937A45B}">
  <dimension ref="A1:AK46"/>
  <sheetViews>
    <sheetView showGridLines="0" topLeftCell="A4" workbookViewId="0">
      <selection activeCell="T3" sqref="T3"/>
    </sheetView>
  </sheetViews>
  <sheetFormatPr baseColWidth="10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59" bestFit="1" customWidth="1"/>
    <col min="20" max="21" width="11.42578125" style="59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46" customFormat="1" x14ac:dyDescent="0.2">
      <c r="B1" s="41"/>
      <c r="S1" s="59"/>
      <c r="T1" s="59"/>
      <c r="U1" s="59"/>
    </row>
    <row r="2" spans="1:37" x14ac:dyDescent="0.2">
      <c r="A2" s="46"/>
      <c r="Y2" s="46"/>
      <c r="Z2" s="46"/>
      <c r="AA2" s="46"/>
      <c r="AB2" s="46"/>
    </row>
    <row r="3" spans="1:37" ht="18" x14ac:dyDescent="0.25">
      <c r="B3" s="13" t="s">
        <v>149</v>
      </c>
      <c r="T3" s="105"/>
      <c r="V3" s="2" t="str">
        <f>+B3</f>
        <v>MUSICAR S.A. COLOMBIA CONSOLIDADO USD</v>
      </c>
    </row>
    <row r="4" spans="1:37" x14ac:dyDescent="0.2">
      <c r="B4" s="2" t="s">
        <v>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7" x14ac:dyDescent="0.2">
      <c r="B5" s="3" t="s">
        <v>80</v>
      </c>
      <c r="V5" s="46"/>
      <c r="W5" s="2">
        <f>+'COLOMB$ '!U6:W6</f>
        <v>0</v>
      </c>
      <c r="Z5" s="2">
        <f>+'COLOMB$ '!X6:AB6</f>
        <v>0</v>
      </c>
      <c r="AC5" s="2" t="s">
        <v>11</v>
      </c>
      <c r="AD5" s="2" t="s">
        <v>9</v>
      </c>
      <c r="AE5" s="2" t="s">
        <v>10</v>
      </c>
    </row>
    <row r="6" spans="1:37" ht="15.75" customHeight="1" thickBot="1" x14ac:dyDescent="0.25">
      <c r="B6" s="17" t="str">
        <f>+'COL. CONS.$'!B6</f>
        <v>SEPTIEMBRE de 2022</v>
      </c>
      <c r="C6" s="84"/>
      <c r="K6" s="18" t="s">
        <v>8</v>
      </c>
      <c r="L6" s="18"/>
      <c r="M6" s="18"/>
      <c r="N6" s="18"/>
      <c r="O6" s="18"/>
      <c r="P6" s="18"/>
      <c r="Q6" s="18"/>
      <c r="R6" s="18"/>
      <c r="V6" s="3" t="s">
        <v>80</v>
      </c>
      <c r="W6" s="46" t="str">
        <f>+C8</f>
        <v>Valor</v>
      </c>
      <c r="X6" s="46" t="str">
        <f>+E8</f>
        <v>Valor</v>
      </c>
      <c r="Y6" s="46" t="str">
        <f>+O8</f>
        <v>%</v>
      </c>
      <c r="Z6" s="46" t="str">
        <f>+W6</f>
        <v>Valor</v>
      </c>
      <c r="AA6" s="46" t="str">
        <f>+X6</f>
        <v>Valor</v>
      </c>
      <c r="AB6" s="46" t="str">
        <f>+G8</f>
        <v>%</v>
      </c>
      <c r="AC6" s="46" t="s">
        <v>11</v>
      </c>
      <c r="AD6" s="46" t="s">
        <v>9</v>
      </c>
      <c r="AE6" s="46" t="s">
        <v>10</v>
      </c>
    </row>
    <row r="7" spans="1:37" x14ac:dyDescent="0.2">
      <c r="B7" s="53"/>
      <c r="C7" s="53"/>
      <c r="D7" s="53" t="s">
        <v>50</v>
      </c>
      <c r="E7" s="53"/>
      <c r="F7" s="53" t="s">
        <v>51</v>
      </c>
      <c r="G7" s="54" t="s">
        <v>9</v>
      </c>
      <c r="H7" s="53"/>
      <c r="I7" s="53" t="s">
        <v>52</v>
      </c>
      <c r="J7" s="54" t="s">
        <v>10</v>
      </c>
      <c r="K7" s="54"/>
      <c r="L7" s="53" t="str">
        <f>+D7</f>
        <v>Ppto 2022</v>
      </c>
      <c r="M7" s="54"/>
      <c r="N7" s="53" t="str">
        <f>+F7</f>
        <v>Real 2022</v>
      </c>
      <c r="O7" s="54" t="s">
        <v>9</v>
      </c>
      <c r="P7" s="54" t="str">
        <f>+I7</f>
        <v>Real 2021</v>
      </c>
      <c r="Q7" s="54"/>
      <c r="R7" s="54" t="s">
        <v>10</v>
      </c>
      <c r="V7" s="3" t="str">
        <f>+'COLOMB$ '!T4</f>
        <v xml:space="preserve">Flujo de Caja </v>
      </c>
      <c r="W7" s="46" t="s">
        <v>13</v>
      </c>
      <c r="X7" s="46" t="s">
        <v>13</v>
      </c>
      <c r="Y7" s="46" t="s">
        <v>13</v>
      </c>
      <c r="Z7" s="2" t="s">
        <v>150</v>
      </c>
      <c r="AC7" s="46" t="s">
        <v>13</v>
      </c>
      <c r="AD7" s="46" t="s">
        <v>15</v>
      </c>
      <c r="AE7" s="46" t="s">
        <v>15</v>
      </c>
    </row>
    <row r="8" spans="1:37" ht="13.5" thickBot="1" x14ac:dyDescent="0.25">
      <c r="B8" s="57" t="s">
        <v>12</v>
      </c>
      <c r="C8" s="58" t="s">
        <v>13</v>
      </c>
      <c r="D8" s="58" t="s">
        <v>14</v>
      </c>
      <c r="E8" s="58" t="s">
        <v>13</v>
      </c>
      <c r="F8" s="58" t="s">
        <v>14</v>
      </c>
      <c r="G8" s="58" t="s">
        <v>15</v>
      </c>
      <c r="H8" s="58" t="s">
        <v>13</v>
      </c>
      <c r="I8" s="58" t="s">
        <v>14</v>
      </c>
      <c r="J8" s="58" t="s">
        <v>15</v>
      </c>
      <c r="K8" s="58" t="s">
        <v>13</v>
      </c>
      <c r="L8" s="58" t="s">
        <v>14</v>
      </c>
      <c r="M8" s="58" t="s">
        <v>13</v>
      </c>
      <c r="N8" s="58" t="s">
        <v>14</v>
      </c>
      <c r="O8" s="58" t="s">
        <v>15</v>
      </c>
      <c r="P8" s="58" t="s">
        <v>13</v>
      </c>
      <c r="Q8" s="58" t="s">
        <v>14</v>
      </c>
      <c r="R8" s="58" t="s">
        <v>15</v>
      </c>
      <c r="V8" s="3" t="s">
        <v>16</v>
      </c>
      <c r="W8" s="59">
        <f>'COLOMBIA USD'!W10+'EL SALVADOR USD'!V10+'VENEZUELA USD'!W9+'PANAMA USD'!U10</f>
        <v>55127.062804494766</v>
      </c>
      <c r="X8" s="59">
        <f>'COLOMBIA USD'!Y10+'EL SALVADOR USD'!X10+'VENEZUELA USD'!X9+'PANAMA USD'!W10</f>
        <v>280610.23803258681</v>
      </c>
      <c r="Y8" s="59">
        <f>'COLOMBIA USD'!X10+'EL SALVADOR USD'!W10+'VENEZUELA USD'!Y9+'PANAMA USD'!V10</f>
        <v>37759.138807366144</v>
      </c>
      <c r="Z8" s="59">
        <f>'COLOMBIA USD'!Z10+'EL SALVADOR USD'!Y10+'VENEZUELA USD'!Z9+'PANAMA USD'!X10</f>
        <v>173872.23529411765</v>
      </c>
      <c r="AA8" s="59">
        <f>'COLOMBIA USD'!AD10+'EL SALVADOR USD'!AC10+'VENEZUELA USD'!AA9+'PANAMA USD'!AB10</f>
        <v>178777.92087923895</v>
      </c>
      <c r="AB8" s="59">
        <f>'COLOMBIA USD'!AA10+'EL SALVADOR USD'!Z10+'VENEZUELA USD'!AB9+'PANAMA USD'!Y10</f>
        <v>138284.96167976223</v>
      </c>
      <c r="AC8" s="55">
        <f>+AB8-Z8</f>
        <v>-35587.273614355421</v>
      </c>
      <c r="AD8" s="61">
        <f>IF(Z8=0,"",(AB8-Z8)/ABS(Z8)+1)</f>
        <v>0.79532515036597462</v>
      </c>
      <c r="AE8" s="61">
        <f>IF(X8=0,"",(AB8-AA8)/ABS(AA8))</f>
        <v>-0.22649865822541329</v>
      </c>
      <c r="AF8" s="47"/>
      <c r="AG8" s="47">
        <f>+'COLOMBIA USD'!Y10+'EL SALVADOR USD'!X10+'VENEZUELA USD'!X9+'PANAMA USD'!W10</f>
        <v>280610.23803258681</v>
      </c>
      <c r="AH8" s="47">
        <f>+'COLOMBIA USD'!X10+'EL SALVADOR USD'!W10+'VENEZUELA USD'!Y9+'PANAMA USD'!V10</f>
        <v>37759.138807366144</v>
      </c>
      <c r="AI8" s="47">
        <f>+'COLOMBIA USD'!Z10+'EL SALVADOR USD'!Y10+'VENEZUELA USD'!Z9+'PANAMA USD'!X10</f>
        <v>173872.23529411765</v>
      </c>
      <c r="AJ8" s="47">
        <f>+'COLOMBIA USD'!AD10+'EL SALVADOR USD'!AC10+'VENEZUELA USD'!AA9+'PANAMA USD'!AB10</f>
        <v>178777.92087923895</v>
      </c>
      <c r="AK8" s="47">
        <f>+'COLOMBIA USD'!AA10+'EL SALVADOR USD'!Z10+'VENEZUELA USD'!AB9+'PANAMA USD'!Y10</f>
        <v>138284.96167976223</v>
      </c>
    </row>
    <row r="9" spans="1:37" x14ac:dyDescent="0.2">
      <c r="B9" s="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V9" s="3" t="s">
        <v>17</v>
      </c>
      <c r="W9" s="59">
        <f>'COLOMBIA USD'!W11+'EL SALVADOR USD'!V11+'VENEZUELA USD'!W10+'PANAMA USD'!U11</f>
        <v>533462530.15098119</v>
      </c>
      <c r="X9" s="59">
        <f>'COLOMBIA USD'!Y11+'EL SALVADOR USD'!X11+'VENEZUELA USD'!X10+'PANAMA USD'!W11</f>
        <v>302339.93255469896</v>
      </c>
      <c r="Y9" s="59">
        <f>'COLOMBIA USD'!X11+'EL SALVADOR USD'!W11+'VENEZUELA USD'!Y10+'PANAMA USD'!V11</f>
        <v>265323.34282171365</v>
      </c>
      <c r="Z9" s="59">
        <f>'COLOMBIA USD'!Z11+'EL SALVADOR USD'!Y11+'VENEZUELA USD'!Z10+'PANAMA USD'!X11</f>
        <v>2759811.1627063961</v>
      </c>
      <c r="AA9" s="59">
        <f>'COLOMBIA USD'!AD11+'EL SALVADOR USD'!AC11+'VENEZUELA USD'!AA10+'PANAMA USD'!AB11</f>
        <v>2381066.9585109204</v>
      </c>
      <c r="AB9" s="59">
        <f>'COLOMBIA USD'!AA11+'EL SALVADOR USD'!Z11+'VENEZUELA USD'!AB10+'PANAMA USD'!Y11</f>
        <v>56895542.636555061</v>
      </c>
      <c r="AC9" s="55">
        <f>+AB9-Z9</f>
        <v>54135731.473848663</v>
      </c>
      <c r="AD9" s="61">
        <f>IF(Z9=0,"",(AB9-Z9)/ABS(Z9)+1)</f>
        <v>20.61573755675396</v>
      </c>
      <c r="AE9" s="61">
        <f>IF(AA9=0,"",(AB9-AA9)/ABS(AA9))</f>
        <v>22.894978019491138</v>
      </c>
      <c r="AF9" s="47"/>
      <c r="AG9" s="47">
        <f>+'COLOMBIA USD'!Y11+'EL SALVADOR USD'!X11+'VENEZUELA USD'!X10+'PANAMA USD'!W11</f>
        <v>302339.93255469896</v>
      </c>
      <c r="AH9" s="47">
        <f>+'COLOMBIA USD'!X11+'EL SALVADOR USD'!W11+'VENEZUELA USD'!Y10+'PANAMA USD'!V11</f>
        <v>265323.34282171365</v>
      </c>
      <c r="AI9" s="47">
        <f>+'COLOMBIA USD'!AB11+'EL SALVADOR USD'!AA11+'VENEZUELA USD'!AC10+'PANAMA USD'!Z11</f>
        <v>-678193.29433897079</v>
      </c>
      <c r="AK9" s="47">
        <f>+'COLOMBIA USD'!AA11+'EL SALVADOR USD'!Z11+'VENEZUELA USD'!AB10+'PANAMA USD'!Y11</f>
        <v>56895542.636555061</v>
      </c>
    </row>
    <row r="10" spans="1:37" x14ac:dyDescent="0.2">
      <c r="B10" s="3" t="s">
        <v>55</v>
      </c>
      <c r="C10" s="59">
        <f>+'COLOMBIA USD'!C10+'EL SALVADOR USD'!C10+'VENEZUELA USD'!C10+'PANAMA USD'!C10</f>
        <v>113114.82352941176</v>
      </c>
      <c r="D10" s="28">
        <f t="shared" ref="D10:D15" si="0">+C10/$C$20</f>
        <v>0.4288199228741762</v>
      </c>
      <c r="E10" s="59">
        <f>+'COLOMBIA USD'!E10+'EL SALVADOR USD'!E10+'VENEZUELA USD'!E10+'PANAMA USD'!E10</f>
        <v>81110.069487697692</v>
      </c>
      <c r="F10" s="28">
        <f t="shared" ref="F10:F20" si="1">+E10/$E$20</f>
        <v>0.40426742638263857</v>
      </c>
      <c r="G10" s="28">
        <f t="shared" ref="G10:G20" si="2">IF(C10=0,"",(E10-C10)/ABS(C10)+1)</f>
        <v>0.71705959446250389</v>
      </c>
      <c r="H10" s="59">
        <f>+'COLOMBIA USD'!H10+'EL SALVADOR USD'!H10+'VENEZUELA USD'!H10+'PANAMA USD'!H10</f>
        <v>99437.476688686045</v>
      </c>
      <c r="I10" s="28">
        <f t="shared" ref="I10:I18" si="3">+H10/$H$20</f>
        <v>0.45205259122334857</v>
      </c>
      <c r="J10" s="28">
        <f t="shared" ref="J10:J20" si="4">IF(H10=0,"",(E10-H10)/ABS(H10))</f>
        <v>-0.18431086358282095</v>
      </c>
      <c r="K10" s="59">
        <f>+'COLOMBIA USD'!K10+'EL SALVADOR USD'!K10+'VENEZUELA USD'!K10+'PANAMA USD'!K10</f>
        <v>1026353.1176470588</v>
      </c>
      <c r="L10" s="28">
        <f t="shared" ref="L10:L46" si="5">+K10/$K$20</f>
        <v>0.44253000280809429</v>
      </c>
      <c r="M10" s="59">
        <f>+'COLOMBIA USD'!M10+'EL SALVADOR USD'!M10+'VENEZUELA USD'!M10+'PANAMA USD'!M10</f>
        <v>784151.24463638966</v>
      </c>
      <c r="N10" s="28">
        <f t="shared" ref="N10:N20" si="6">+M10/$M$20</f>
        <v>0.45009825619664401</v>
      </c>
      <c r="O10" s="28">
        <f t="shared" ref="O10:O18" si="7">IF(K10=0,"",(M10-K10)/ABS(K10)+1)</f>
        <v>0.76401701437228231</v>
      </c>
      <c r="P10" s="59">
        <f>+'COLOMBIA USD'!P10+'EL SALVADOR USD'!P10+'VENEZUELA USD'!P10+'PANAMA USD'!P10</f>
        <v>886889.15363569453</v>
      </c>
      <c r="Q10" s="28">
        <f t="shared" ref="Q10:Q46" si="8">+P10/$P$20</f>
        <v>0.4750635468398281</v>
      </c>
      <c r="R10" s="28">
        <f t="shared" ref="R10:R18" si="9">IF(P10=0,"",(M10-P10)/ABS(P10))</f>
        <v>-0.11584075482053566</v>
      </c>
      <c r="V10" s="3" t="s">
        <v>18</v>
      </c>
      <c r="W10" s="59">
        <f>'COLOMBIA USD'!W13+'EL SALVADOR USD'!V13+'VENEZUELA USD'!W11+'PANAMA USD'!U13</f>
        <v>618702527.35961771</v>
      </c>
      <c r="X10" s="59">
        <f>'COLOMBIA USD'!Y13+'EL SALVADOR USD'!X13+'VENEZUELA USD'!X11+'PANAMA USD'!W13</f>
        <v>74148.626691145022</v>
      </c>
      <c r="Y10" s="59">
        <f>'COLOMBIA USD'!X13+'EL SALVADOR USD'!W13+'VENEZUELA USD'!Y11+'PANAMA USD'!V13</f>
        <v>61549.821959856257</v>
      </c>
      <c r="Z10" s="59">
        <f>'COLOMBIA USD'!Z13+'EL SALVADOR USD'!Y13+'VENEZUELA USD'!Z11+'PANAMA USD'!X13</f>
        <v>414801.60788243229</v>
      </c>
      <c r="AA10" s="59" t="e">
        <f>'COLOMBIA USD'!AD13+'EL SALVADOR USD'!AC13+'VENEZUELA USD'!AA11+'PANAMA USD'!AB13</f>
        <v>#VALUE!</v>
      </c>
      <c r="AB10" s="59">
        <f>'COLOMBIA USD'!AA13+'EL SALVADOR USD'!Z13+'VENEZUELA USD'!AB11+'PANAMA USD'!Y13</f>
        <v>4932523493.2939262</v>
      </c>
      <c r="AC10" s="55">
        <f>+Z10-AB10</f>
        <v>-4932108691.6860437</v>
      </c>
      <c r="AD10" s="61">
        <f>IF(Z10=0,"",(AB10-Z10)/ABS(Z10)+1)</f>
        <v>11891.283446258862</v>
      </c>
      <c r="AE10" s="61" t="e">
        <f t="shared" ref="AE10:AE22" si="10">IF(AA10=0,"",(AB10-AA10)/ABS(AA10))</f>
        <v>#VALUE!</v>
      </c>
      <c r="AF10" s="47"/>
      <c r="AG10" s="47">
        <f>+'COLOMBIA USD'!Y13+'EL SALVADOR USD'!X13+'VENEZUELA USD'!X11+'PANAMA USD'!W13</f>
        <v>74148.626691145022</v>
      </c>
      <c r="AH10" s="47">
        <f>+'COLOMBIA USD'!X13+'EL SALVADOR USD'!W13+'VENEZUELA USD'!Y11+'PANAMA USD'!V13</f>
        <v>61549.821959856257</v>
      </c>
      <c r="AI10" s="47">
        <f>+'COLOMBIA USD'!AB13+'EL SALVADOR USD'!AA13+'VENEZUELA USD'!AC11+'PANAMA USD'!Z13</f>
        <v>113558.35219609241</v>
      </c>
      <c r="AK10" s="47">
        <f>+'COLOMBIA USD'!AA13+'EL SALVADOR USD'!Z13+'VENEZUELA USD'!AB11+'PANAMA USD'!Y13</f>
        <v>4932523493.2939262</v>
      </c>
    </row>
    <row r="11" spans="1:37" x14ac:dyDescent="0.2">
      <c r="B11" s="3" t="s">
        <v>57</v>
      </c>
      <c r="C11" s="59">
        <f>+'COLOMBIA USD'!C11+'EL SALVADOR USD'!C11+'VENEZUELA USD'!C11+'PANAMA USD'!C11</f>
        <v>18361.51176470588</v>
      </c>
      <c r="D11" s="28">
        <f t="shared" si="0"/>
        <v>6.9608755184479759E-2</v>
      </c>
      <c r="E11" s="59">
        <f>+'COLOMBIA USD'!E11+'EL SALVADOR USD'!E11+'VENEZUELA USD'!E11+'PANAMA USD'!E11</f>
        <v>8513.5598085276033</v>
      </c>
      <c r="F11" s="28">
        <f t="shared" si="1"/>
        <v>4.2433139743150494E-2</v>
      </c>
      <c r="G11" s="28">
        <f t="shared" si="2"/>
        <v>0.46366333652832403</v>
      </c>
      <c r="H11" s="59">
        <f>+'COLOMBIA USD'!H11+'EL SALVADOR USD'!H11+'VENEZUELA USD'!H11+'PANAMA USD'!H11</f>
        <v>13094.369735364304</v>
      </c>
      <c r="I11" s="28">
        <f t="shared" si="3"/>
        <v>5.9528298247551237E-2</v>
      </c>
      <c r="J11" s="28">
        <f t="shared" si="4"/>
        <v>-0.34983050115540792</v>
      </c>
      <c r="K11" s="59">
        <f>+'COLOMBIA USD'!K11+'EL SALVADOR USD'!K11+'VENEZUELA USD'!K11+'PANAMA USD'!K11</f>
        <v>123061.60411764706</v>
      </c>
      <c r="L11" s="28">
        <f t="shared" si="5"/>
        <v>5.3060151598309908E-2</v>
      </c>
      <c r="M11" s="59">
        <f>+'COLOMBIA USD'!M11+'EL SALVADOR USD'!M11+'VENEZUELA USD'!M11+'PANAMA USD'!M11</f>
        <v>78782.501891930529</v>
      </c>
      <c r="N11" s="28">
        <f t="shared" si="6"/>
        <v>4.5220698127960576E-2</v>
      </c>
      <c r="O11" s="28">
        <f t="shared" si="7"/>
        <v>0.64018750979886752</v>
      </c>
      <c r="P11" s="59">
        <f>+'COLOMBIA USD'!P11+'EL SALVADOR USD'!P11+'VENEZUELA USD'!P11+'PANAMA USD'!P11</f>
        <v>77439.483895541896</v>
      </c>
      <c r="Q11" s="28">
        <f t="shared" si="8"/>
        <v>4.1480579319355941E-2</v>
      </c>
      <c r="R11" s="28">
        <f t="shared" si="9"/>
        <v>1.7342806651452245E-2</v>
      </c>
      <c r="V11" s="3" t="s">
        <v>19</v>
      </c>
      <c r="W11" s="59">
        <f>'COLOMBIA USD'!W14+'EL SALVADOR USD'!V14+'VENEZUELA USD'!W12+'PANAMA USD'!U14</f>
        <v>2456.7647058823527</v>
      </c>
      <c r="X11" s="59">
        <f>'COLOMBIA USD'!Y14+'EL SALVADOR USD'!X14+'VENEZUELA USD'!X12+'PANAMA USD'!W14</f>
        <v>2174.8044165354086</v>
      </c>
      <c r="Y11" s="59">
        <f>'COLOMBIA USD'!X14+'EL SALVADOR USD'!W14+'VENEZUELA USD'!Y12+'PANAMA USD'!V14</f>
        <v>2488.1008016204514</v>
      </c>
      <c r="Z11" s="59">
        <f>'COLOMBIA USD'!Z14+'EL SALVADOR USD'!Y14+'VENEZUELA USD'!Z12+'PANAMA USD'!X14</f>
        <v>22110.882352941175</v>
      </c>
      <c r="AA11" s="59">
        <f>'COLOMBIA USD'!AD14+'EL SALVADOR USD'!AC14+'VENEZUELA USD'!AA12+'PANAMA USD'!AB14</f>
        <v>16988.405551441061</v>
      </c>
      <c r="AB11" s="59">
        <f>'COLOMBIA USD'!AA14+'EL SALVADOR USD'!Z14+'VENEZUELA USD'!AB12+'PANAMA USD'!Y14</f>
        <v>19909.479985966678</v>
      </c>
      <c r="AC11" s="55">
        <f>+Z11-AB11</f>
        <v>2201.4023669744965</v>
      </c>
      <c r="AD11" s="61">
        <f t="shared" ref="AD11:AD22" si="11">IF(Z11=0,"",(AB11-Z11)/ABS(Z11)+1)</f>
        <v>0.90043805887820361</v>
      </c>
      <c r="AE11" s="61">
        <f t="shared" si="10"/>
        <v>0.17194517906230661</v>
      </c>
      <c r="AF11" s="47"/>
      <c r="AG11" s="47">
        <f>+'COLOMBIA USD'!Y14+'EL SALVADOR USD'!X14+'VENEZUELA USD'!X12+'PANAMA USD'!W14</f>
        <v>2174.8044165354086</v>
      </c>
      <c r="AH11" s="47">
        <f>+'COLOMBIA USD'!X14+'EL SALVADOR USD'!W14+'VENEZUELA USD'!Y12+'PANAMA USD'!V14</f>
        <v>2488.1008016204514</v>
      </c>
      <c r="AI11" s="47">
        <f>+'COLOMBIA USD'!AB14+'EL SALVADOR USD'!AA14+'VENEZUELA USD'!AC12+'PANAMA USD'!Z14</f>
        <v>2201.4023669744965</v>
      </c>
      <c r="AK11" s="47">
        <f>+'COLOMBIA USD'!AA14+'EL SALVADOR USD'!Z14+'VENEZUELA USD'!AB12+'PANAMA USD'!Y14</f>
        <v>19909.479985966678</v>
      </c>
    </row>
    <row r="12" spans="1:37" x14ac:dyDescent="0.2">
      <c r="B12" s="3" t="s">
        <v>59</v>
      </c>
      <c r="C12" s="59">
        <f>+'COLOMBIA USD'!C12+'EL SALVADOR USD'!C12+'VENEZUELA USD'!C12+'PANAMA USD'!C12</f>
        <v>23762.363529411767</v>
      </c>
      <c r="D12" s="28">
        <f t="shared" si="0"/>
        <v>9.0083461902241119E-2</v>
      </c>
      <c r="E12" s="59">
        <f>+'COLOMBIA USD'!E12+'EL SALVADOR USD'!E12+'VENEZUELA USD'!E12+'PANAMA USD'!E12</f>
        <v>20535.153531709457</v>
      </c>
      <c r="F12" s="28">
        <f t="shared" si="1"/>
        <v>0.10235096235364076</v>
      </c>
      <c r="G12" s="28">
        <f t="shared" si="2"/>
        <v>0.86418817329733022</v>
      </c>
      <c r="H12" s="59">
        <f>+'COLOMBIA USD'!H12+'EL SALVADOR USD'!H12+'VENEZUELA USD'!H12+'PANAMA USD'!H12</f>
        <v>22465.762147232224</v>
      </c>
      <c r="I12" s="28">
        <f t="shared" si="3"/>
        <v>0.10213157383567496</v>
      </c>
      <c r="J12" s="28">
        <f t="shared" si="4"/>
        <v>-8.5935594032834448E-2</v>
      </c>
      <c r="K12" s="59">
        <f>+'COLOMBIA USD'!K12+'EL SALVADOR USD'!K12+'VENEZUELA USD'!K12+'PANAMA USD'!K12</f>
        <v>226486.70647058825</v>
      </c>
      <c r="L12" s="28">
        <f t="shared" si="5"/>
        <v>9.7653683831738947E-2</v>
      </c>
      <c r="M12" s="59">
        <f>+'COLOMBIA USD'!M12+'EL SALVADOR USD'!M12+'VENEZUELA USD'!M12+'PANAMA USD'!M12</f>
        <v>189614.48995130759</v>
      </c>
      <c r="N12" s="28">
        <f t="shared" si="6"/>
        <v>0.10883761501427459</v>
      </c>
      <c r="O12" s="28">
        <f t="shared" si="7"/>
        <v>0.83719920213476673</v>
      </c>
      <c r="P12" s="59">
        <f>+'COLOMBIA USD'!P12+'EL SALVADOR USD'!P12+'VENEZUELA USD'!P12+'PANAMA USD'!P12</f>
        <v>233291.92278497916</v>
      </c>
      <c r="Q12" s="28">
        <f t="shared" si="8"/>
        <v>0.1249631792575065</v>
      </c>
      <c r="R12" s="28">
        <f t="shared" si="9"/>
        <v>-0.18722222489429369</v>
      </c>
      <c r="V12" s="3" t="s">
        <v>20</v>
      </c>
      <c r="W12" s="59">
        <f>'COLOMBIA USD'!W15+'EL SALVADOR USD'!V15+'VENEZUELA USD'!W13+'PANAMA USD'!U15</f>
        <v>117888.29372523236</v>
      </c>
      <c r="X12" s="59">
        <f>'COLOMBIA USD'!Y15+'EL SALVADOR USD'!X15+'VENEZUELA USD'!X13+'PANAMA USD'!W15</f>
        <v>88891.726829878899</v>
      </c>
      <c r="Y12" s="59">
        <f>'COLOMBIA USD'!X15+'EL SALVADOR USD'!W15+'VENEZUELA USD'!Y13+'PANAMA USD'!V15</f>
        <v>83461.653760864239</v>
      </c>
      <c r="Z12" s="59">
        <f>'COLOMBIA USD'!Z15+'EL SALVADOR USD'!Y15+'VENEZUELA USD'!Z13+'PANAMA USD'!X15</f>
        <v>1097301.6572538705</v>
      </c>
      <c r="AA12" s="59" t="e">
        <f>'COLOMBIA USD'!AD15+'EL SALVADOR USD'!AC15+'VENEZUELA USD'!AA13+'PANAMA USD'!AB15</f>
        <v>#VALUE!</v>
      </c>
      <c r="AB12" s="59">
        <f>'COLOMBIA USD'!AA15+'EL SALVADOR USD'!Z15+'VENEZUELA USD'!AB13+'PANAMA USD'!Y15</f>
        <v>811119.56855388393</v>
      </c>
      <c r="AC12" s="55">
        <f>+Z12-AB12</f>
        <v>286182.08869998658</v>
      </c>
      <c r="AD12" s="61">
        <f t="shared" si="11"/>
        <v>0.73919469928060466</v>
      </c>
      <c r="AE12" s="61" t="e">
        <f t="shared" si="10"/>
        <v>#VALUE!</v>
      </c>
      <c r="AF12" s="47"/>
      <c r="AG12" s="47">
        <f>+'COLOMBIA USD'!Y15+'EL SALVADOR USD'!X15+'VENEZUELA USD'!X13+'PANAMA USD'!W15</f>
        <v>88891.726829878899</v>
      </c>
      <c r="AH12" s="47">
        <f>+'COLOMBIA USD'!X15+'EL SALVADOR USD'!W15+'VENEZUELA USD'!Y13+'PANAMA USD'!V15</f>
        <v>83461.653760864239</v>
      </c>
      <c r="AI12" s="47" t="e">
        <f>+'COLOMBIA USD'!AB15+'EL SALVADOR USD'!AA15+'VENEZUELA USD'!AC13+'PANAMA USD'!Z15</f>
        <v>#VALUE!</v>
      </c>
      <c r="AK12" s="47">
        <f>+'COLOMBIA USD'!AA15+'EL SALVADOR USD'!Z15+'VENEZUELA USD'!AB13+'PANAMA USD'!Y15</f>
        <v>811119.56855388393</v>
      </c>
    </row>
    <row r="13" spans="1:37" x14ac:dyDescent="0.2">
      <c r="B13" s="3" t="s">
        <v>61</v>
      </c>
      <c r="C13" s="59">
        <f>+'COLOMBIA USD'!C13+'EL SALVADOR USD'!C13+'VENEZUELA USD'!C13+'PANAMA USD'!C13</f>
        <v>34400.649411764709</v>
      </c>
      <c r="D13" s="28">
        <f t="shared" si="0"/>
        <v>0.13041335668740917</v>
      </c>
      <c r="E13" s="59">
        <f>+'COLOMBIA USD'!E13+'EL SALVADOR USD'!E13+'VENEZUELA USD'!E13+'PANAMA USD'!E13</f>
        <v>35656.29156632541</v>
      </c>
      <c r="F13" s="28">
        <f t="shared" si="1"/>
        <v>0.17771748091096987</v>
      </c>
      <c r="G13" s="28">
        <f t="shared" si="2"/>
        <v>1.0365005363570632</v>
      </c>
      <c r="H13" s="59">
        <f>+'COLOMBIA USD'!H13+'EL SALVADOR USD'!H13+'VENEZUELA USD'!H13+'PANAMA USD'!H13</f>
        <v>18195.845024878217</v>
      </c>
      <c r="I13" s="28">
        <f t="shared" si="3"/>
        <v>8.2720108825232938E-2</v>
      </c>
      <c r="J13" s="28">
        <f t="shared" si="4"/>
        <v>0.95958426319714452</v>
      </c>
      <c r="K13" s="59">
        <f>+'COLOMBIA USD'!K13+'EL SALVADOR USD'!K13+'VENEZUELA USD'!K13+'PANAMA USD'!K13</f>
        <v>251354.09705882354</v>
      </c>
      <c r="L13" s="28">
        <f t="shared" si="5"/>
        <v>0.10837569191806892</v>
      </c>
      <c r="M13" s="59">
        <f>+'COLOMBIA USD'!M13+'EL SALVADOR USD'!M13+'VENEZUELA USD'!M13+'PANAMA USD'!M13</f>
        <v>182707.97360425862</v>
      </c>
      <c r="N13" s="28">
        <f t="shared" si="6"/>
        <v>0.10487331477823808</v>
      </c>
      <c r="O13" s="28">
        <f t="shared" si="7"/>
        <v>0.72689475024351835</v>
      </c>
      <c r="P13" s="59">
        <f>+'COLOMBIA USD'!P13+'EL SALVADOR USD'!P13+'VENEZUELA USD'!P13+'PANAMA USD'!P13</f>
        <v>131254.15444605707</v>
      </c>
      <c r="Q13" s="28">
        <f t="shared" si="8"/>
        <v>7.0306490831456833E-2</v>
      </c>
      <c r="R13" s="28">
        <f t="shared" si="9"/>
        <v>0.39201668987436178</v>
      </c>
      <c r="V13" s="3" t="s">
        <v>21</v>
      </c>
      <c r="W13" s="59">
        <f>'COLOMBIA USD'!W16+'EL SALVADOR USD'!V16+'VENEZUELA USD'!W14+'PANAMA USD'!U16</f>
        <v>68177.38441176471</v>
      </c>
      <c r="X13" s="59">
        <f>'COLOMBIA USD'!Y16+'EL SALVADOR USD'!X16+'VENEZUELA USD'!X14+'PANAMA USD'!W16</f>
        <v>51968.146046084687</v>
      </c>
      <c r="Y13" s="59">
        <f>'COLOMBIA USD'!X16+'EL SALVADOR USD'!W16+'VENEZUELA USD'!Y14+'PANAMA USD'!V16</f>
        <v>48433.467225351778</v>
      </c>
      <c r="Z13" s="59">
        <f>'COLOMBIA USD'!Z16+'EL SALVADOR USD'!Y16+'VENEZUELA USD'!Z14+'PANAMA USD'!X16</f>
        <v>678403.36117647064</v>
      </c>
      <c r="AA13" s="59" t="e">
        <f>'COLOMBIA USD'!AD16+'EL SALVADOR USD'!AC16+'VENEZUELA USD'!AA14+'PANAMA USD'!AB16</f>
        <v>#VALUE!</v>
      </c>
      <c r="AB13" s="59">
        <f>'COLOMBIA USD'!AA16+'EL SALVADOR USD'!Z16+'VENEZUELA USD'!AB14+'PANAMA USD'!Y16</f>
        <v>506061.45858912152</v>
      </c>
      <c r="AC13" s="55">
        <f>+Z13-AB13</f>
        <v>172341.90258734912</v>
      </c>
      <c r="AD13" s="61">
        <f t="shared" si="11"/>
        <v>0.74595953904403123</v>
      </c>
      <c r="AE13" s="61" t="e">
        <f t="shared" si="10"/>
        <v>#VALUE!</v>
      </c>
      <c r="AF13" s="47"/>
      <c r="AG13" s="47">
        <f>+'COLOMBIA USD'!Y16+'EL SALVADOR USD'!X16+'VENEZUELA USD'!X14+'PANAMA USD'!W16</f>
        <v>51968.146046084687</v>
      </c>
      <c r="AH13" s="47">
        <f>+'COLOMBIA USD'!X16+'EL SALVADOR USD'!W16+'VENEZUELA USD'!Y14+'PANAMA USD'!V16</f>
        <v>48433.467225351778</v>
      </c>
      <c r="AI13" s="47" t="e">
        <f>+'COLOMBIA USD'!AB16+'EL SALVADOR USD'!AA16+'VENEZUELA USD'!AC14+'PANAMA USD'!Z16</f>
        <v>#VALUE!</v>
      </c>
      <c r="AK13" s="47">
        <f>+'COLOMBIA USD'!AA16+'EL SALVADOR USD'!Z16+'VENEZUELA USD'!AB14+'PANAMA USD'!Y16</f>
        <v>506061.45858912152</v>
      </c>
    </row>
    <row r="14" spans="1:37" x14ac:dyDescent="0.2">
      <c r="B14" s="3" t="s">
        <v>62</v>
      </c>
      <c r="C14" s="59">
        <f>+'COLOMBIA USD'!C14+'EL SALVADOR USD'!C14+'VENEZUELA USD'!C14+'PANAMA USD'!C14</f>
        <v>0</v>
      </c>
      <c r="D14" s="28">
        <f t="shared" si="0"/>
        <v>0</v>
      </c>
      <c r="E14" s="59">
        <f>+'COLOMBIA USD'!E14+'EL SALVADOR USD'!E14+'VENEZUELA USD'!E14+'PANAMA USD'!E14</f>
        <v>0</v>
      </c>
      <c r="F14" s="28">
        <f t="shared" si="1"/>
        <v>0</v>
      </c>
      <c r="G14" s="28" t="str">
        <f t="shared" si="2"/>
        <v/>
      </c>
      <c r="H14" s="59">
        <f>+'COLOMBIA USD'!H14+'EL SALVADOR USD'!H14+'VENEZUELA USD'!H14+'PANAMA USD'!H14</f>
        <v>0</v>
      </c>
      <c r="I14" s="28">
        <f t="shared" si="3"/>
        <v>0</v>
      </c>
      <c r="J14" s="28" t="str">
        <f t="shared" si="4"/>
        <v/>
      </c>
      <c r="K14" s="59">
        <f>+'COLOMBIA USD'!K14+'EL SALVADOR USD'!K14+'VENEZUELA USD'!K14+'PANAMA USD'!K14</f>
        <v>0</v>
      </c>
      <c r="L14" s="28">
        <f t="shared" si="5"/>
        <v>0</v>
      </c>
      <c r="M14" s="59">
        <f>+'COLOMBIA USD'!M14+'EL SALVADOR USD'!M14+'VENEZUELA USD'!M14+'PANAMA USD'!M14</f>
        <v>0</v>
      </c>
      <c r="N14" s="28">
        <f t="shared" si="6"/>
        <v>0</v>
      </c>
      <c r="O14" s="28" t="str">
        <f t="shared" si="7"/>
        <v/>
      </c>
      <c r="P14" s="59">
        <f>+'COLOMBIA USD'!P14+'EL SALVADOR USD'!P14+'VENEZUELA USD'!P14+'PANAMA USD'!P14</f>
        <v>0</v>
      </c>
      <c r="Q14" s="28">
        <f t="shared" si="8"/>
        <v>0</v>
      </c>
      <c r="R14" s="28" t="str">
        <f t="shared" si="9"/>
        <v/>
      </c>
      <c r="V14" s="3" t="s">
        <v>22</v>
      </c>
      <c r="W14" s="59">
        <f>SUM(W10:W13)</f>
        <v>618891049.80246067</v>
      </c>
      <c r="X14" s="59">
        <f>SUM(X10:X13)</f>
        <v>217183.303983644</v>
      </c>
      <c r="Y14" s="59">
        <f>SUM(Y10:Y13)</f>
        <v>195933.04374769272</v>
      </c>
      <c r="Z14" s="59">
        <f>'COLOMBIA USD'!Z17+'EL SALVADOR USD'!Y17+'VENEZUELA USD'!Z15+'PANAMA USD'!X17</f>
        <v>2171507.5265868618</v>
      </c>
      <c r="AA14" s="59" t="e">
        <f>'COLOMBIA USD'!AD17+'EL SALVADOR USD'!AC17+'VENEZUELA USD'!AA15+'PANAMA USD'!AB17</f>
        <v>#VALUE!</v>
      </c>
      <c r="AB14" s="59">
        <f>'COLOMBIA USD'!AA17+'EL SALVADOR USD'!Z17+'VENEZUELA USD'!AB15+'PANAMA USD'!Y17</f>
        <v>933330822.09018195</v>
      </c>
      <c r="AC14" s="55">
        <f>+AB14-Z14</f>
        <v>931159314.56359506</v>
      </c>
      <c r="AD14" s="61">
        <f t="shared" si="11"/>
        <v>429.80777670026094</v>
      </c>
      <c r="AE14" s="61" t="e">
        <f t="shared" si="10"/>
        <v>#VALUE!</v>
      </c>
      <c r="AF14" s="47"/>
      <c r="AG14" s="47">
        <f>+'COLOMBIA USD'!Y17+'EL SALVADOR USD'!X17+'VENEZUELA USD'!X15+'PANAMA USD'!W17</f>
        <v>217183.30398364403</v>
      </c>
      <c r="AH14" s="47">
        <f>+'COLOMBIA USD'!X17+'EL SALVADOR USD'!W17+'VENEZUELA USD'!Y15+'PANAMA USD'!V17</f>
        <v>169099.33884924589</v>
      </c>
      <c r="AI14" s="47">
        <f>+'COLOMBIA USD'!AB17+'EL SALVADOR USD'!AA17+'VENEZUELA USD'!AC15+'PANAMA USD'!Z17</f>
        <v>-574285.74583585409</v>
      </c>
      <c r="AK14" s="47">
        <f>+'COLOMBIA USD'!AA17+'EL SALVADOR USD'!Z17+'VENEZUELA USD'!AB15+'PANAMA USD'!Y17</f>
        <v>933330822.09018195</v>
      </c>
    </row>
    <row r="15" spans="1:37" x14ac:dyDescent="0.2">
      <c r="B15" s="3" t="s">
        <v>64</v>
      </c>
      <c r="C15" s="59">
        <f>+'COLOMBIA USD'!C15+'EL SALVADOR USD'!C15+'VENEZUELA USD'!C15+'PANAMA USD'!C15</f>
        <v>35327</v>
      </c>
      <c r="D15" s="28">
        <f t="shared" si="0"/>
        <v>0.13392516509064833</v>
      </c>
      <c r="E15" s="59">
        <f>+'COLOMBIA USD'!E15+'EL SALVADOR USD'!E15+'VENEZUELA USD'!E15+'PANAMA USD'!E15</f>
        <v>25931.15533089776</v>
      </c>
      <c r="F15" s="28">
        <f t="shared" si="1"/>
        <v>0.12924562258377173</v>
      </c>
      <c r="G15" s="28">
        <f t="shared" si="2"/>
        <v>0.73403219438100487</v>
      </c>
      <c r="H15" s="59">
        <f>+'COLOMBIA USD'!H15+'EL SALVADOR USD'!H15+'VENEZUELA USD'!H15+'PANAMA USD'!H15</f>
        <v>28963.732769898037</v>
      </c>
      <c r="I15" s="28">
        <f t="shared" si="3"/>
        <v>0.13167199014034064</v>
      </c>
      <c r="J15" s="28">
        <f t="shared" si="4"/>
        <v>-0.10470257625605599</v>
      </c>
      <c r="K15" s="59">
        <f>+'COLOMBIA USD'!K15+'EL SALVADOR USD'!K15+'VENEZUELA USD'!K15+'PANAMA USD'!K15</f>
        <v>330832.82352941181</v>
      </c>
      <c r="L15" s="28">
        <f t="shared" si="5"/>
        <v>0.1426443275791027</v>
      </c>
      <c r="M15" s="59">
        <f>+'COLOMBIA USD'!M15+'EL SALVADOR USD'!M15+'VENEZUELA USD'!M15+'PANAMA USD'!M15</f>
        <v>248800.53872068541</v>
      </c>
      <c r="N15" s="28">
        <f t="shared" si="6"/>
        <v>0.1428100629629088</v>
      </c>
      <c r="O15" s="28">
        <f t="shared" si="7"/>
        <v>0.75204308951698218</v>
      </c>
      <c r="P15" s="59">
        <f>+'COLOMBIA USD'!P15+'EL SALVADOR USD'!P15+'VENEZUELA USD'!P15+'PANAMA USD'!P15</f>
        <v>275790.90117087687</v>
      </c>
      <c r="Q15" s="28">
        <f t="shared" si="8"/>
        <v>0.14772782276037094</v>
      </c>
      <c r="R15" s="28">
        <f t="shared" si="9"/>
        <v>-9.7865311493610663E-2</v>
      </c>
      <c r="V15" s="3" t="s">
        <v>23</v>
      </c>
      <c r="W15" s="59">
        <f>W9-W14</f>
        <v>-85428519.651479483</v>
      </c>
      <c r="X15" s="59">
        <f>X9-X14</f>
        <v>85156.628571054956</v>
      </c>
      <c r="Y15" s="59">
        <f t="shared" ref="Y15:AB15" si="12">Y9-Y14</f>
        <v>69390.299074020935</v>
      </c>
      <c r="Z15" s="59">
        <f t="shared" si="12"/>
        <v>588303.63611953426</v>
      </c>
      <c r="AA15" s="59" t="e">
        <f>AA9-AA14</f>
        <v>#VALUE!</v>
      </c>
      <c r="AB15" s="59">
        <f t="shared" si="12"/>
        <v>-876435279.45362687</v>
      </c>
      <c r="AC15" s="55">
        <f>+AB15-Z15</f>
        <v>-877023583.08974636</v>
      </c>
      <c r="AD15" s="61">
        <f t="shared" si="11"/>
        <v>-1489.7668918632157</v>
      </c>
      <c r="AE15" s="61" t="e">
        <f t="shared" si="10"/>
        <v>#VALUE!</v>
      </c>
      <c r="AF15" s="47"/>
      <c r="AG15" s="47">
        <f>+'COLOMBIA USD'!Y19+'EL SALVADOR USD'!X19+'VENEZUELA USD'!X16+'PANAMA USD'!W19</f>
        <v>56882.79344560692</v>
      </c>
      <c r="AH15" s="47">
        <f>+'COLOMBIA USD'!X19+'EL SALVADOR USD'!W19+'VENEZUELA USD'!Y16+'PANAMA USD'!V19</f>
        <v>119276.41615884767</v>
      </c>
      <c r="AI15" s="47">
        <f>+'COLOMBIA USD'!AB19+'EL SALVADOR USD'!AA19+'VENEZUELA USD'!AC16+'PANAMA USD'!Z19</f>
        <v>-103908.54852224347</v>
      </c>
      <c r="AK15" s="47">
        <f>+'COLOMBIA USD'!AA19+'EL SALVADOR USD'!Z19+'VENEZUELA USD'!AB16+'PANAMA USD'!Y19</f>
        <v>3265649680.0947604</v>
      </c>
    </row>
    <row r="16" spans="1:37" x14ac:dyDescent="0.2">
      <c r="B16" s="3" t="s">
        <v>65</v>
      </c>
      <c r="C16" s="59">
        <f>+'COLOMBIA USD'!C16+'EL SALVADOR USD'!C16+'VENEZUELA USD'!C16+'PANAMA USD'!C16</f>
        <v>0</v>
      </c>
      <c r="D16" s="28"/>
      <c r="E16" s="59">
        <f>+'COLOMBIA USD'!E16+'EL SALVADOR USD'!E16+'VENEZUELA USD'!E16+'PANAMA USD'!E16</f>
        <v>0</v>
      </c>
      <c r="F16" s="28">
        <f t="shared" si="1"/>
        <v>0</v>
      </c>
      <c r="G16" s="28" t="str">
        <f t="shared" si="2"/>
        <v/>
      </c>
      <c r="H16" s="59">
        <f>+'COLOMBIA USD'!H16+'EL SALVADOR USD'!H16+'VENEZUELA USD'!H16+'PANAMA USD'!H16</f>
        <v>0</v>
      </c>
      <c r="I16" s="28">
        <f t="shared" si="3"/>
        <v>0</v>
      </c>
      <c r="J16" s="28" t="str">
        <f t="shared" si="4"/>
        <v/>
      </c>
      <c r="K16" s="59">
        <f>+'COLOMBIA USD'!K16+'EL SALVADOR USD'!K16+'VENEZUELA USD'!K16+'PANAMA USD'!K16</f>
        <v>0</v>
      </c>
      <c r="L16" s="28">
        <f t="shared" si="5"/>
        <v>0</v>
      </c>
      <c r="M16" s="59">
        <f>+'COLOMBIA USD'!M16+'EL SALVADOR USD'!M16+'VENEZUELA USD'!M16+'PANAMA USD'!M16</f>
        <v>0</v>
      </c>
      <c r="N16" s="28">
        <f t="shared" si="6"/>
        <v>0</v>
      </c>
      <c r="O16" s="28" t="str">
        <f t="shared" si="7"/>
        <v/>
      </c>
      <c r="P16" s="59">
        <f>+'COLOMBIA USD'!P16+'EL SALVADOR USD'!P16+'VENEZUELA USD'!P16+'PANAMA USD'!P16</f>
        <v>0</v>
      </c>
      <c r="Q16" s="28">
        <f t="shared" si="8"/>
        <v>0</v>
      </c>
      <c r="R16" s="28" t="str">
        <f t="shared" si="9"/>
        <v/>
      </c>
      <c r="V16" s="3"/>
      <c r="W16" s="59"/>
      <c r="X16" s="59"/>
      <c r="Y16" s="59"/>
      <c r="Z16" s="59"/>
      <c r="AA16" s="59"/>
      <c r="AB16" s="59"/>
      <c r="AC16" s="55"/>
      <c r="AD16" s="61"/>
      <c r="AE16" s="61"/>
      <c r="AF16" s="47"/>
      <c r="AG16" s="47"/>
      <c r="AH16" s="47"/>
      <c r="AI16" s="47"/>
      <c r="AK16" s="47"/>
    </row>
    <row r="17" spans="2:37" x14ac:dyDescent="0.2">
      <c r="B17" s="3" t="s">
        <v>66</v>
      </c>
      <c r="C17" s="59">
        <f>+'COLOMBIA USD'!C17+'EL SALVADOR USD'!C17+'VENEZUELA USD'!C17+'PANAMA USD'!C17</f>
        <v>5518.2352941176478</v>
      </c>
      <c r="D17" s="28">
        <f>+C17/$C$20</f>
        <v>2.0919709366030187E-2</v>
      </c>
      <c r="E17" s="59">
        <f>+'COLOMBIA USD'!E17+'EL SALVADOR USD'!E17+'VENEZUELA USD'!E17+'PANAMA USD'!E17</f>
        <v>3893.4811245192595</v>
      </c>
      <c r="F17" s="28">
        <f t="shared" si="1"/>
        <v>1.9405822283477626E-2</v>
      </c>
      <c r="G17" s="28">
        <f t="shared" si="2"/>
        <v>0.70556634811669761</v>
      </c>
      <c r="H17" s="59">
        <f>+'COLOMBIA USD'!H17+'EL SALVADOR USD'!H17+'VENEZUELA USD'!H17+'PANAMA USD'!H17</f>
        <v>3334.0562967444484</v>
      </c>
      <c r="I17" s="28">
        <f t="shared" si="3"/>
        <v>1.5156949255122586E-2</v>
      </c>
      <c r="J17" s="28">
        <f t="shared" si="4"/>
        <v>0.16779105629411942</v>
      </c>
      <c r="K17" s="59">
        <f>+'COLOMBIA USD'!K17+'EL SALVADOR USD'!K17+'VENEZUELA USD'!K17+'PANAMA USD'!K17</f>
        <v>72507.058823529398</v>
      </c>
      <c r="L17" s="28">
        <f t="shared" si="5"/>
        <v>3.1262679864355429E-2</v>
      </c>
      <c r="M17" s="59">
        <f>+'COLOMBIA USD'!M17+'EL SALVADOR USD'!M17+'VENEZUELA USD'!M17+'PANAMA USD'!M17</f>
        <v>54364.986419009416</v>
      </c>
      <c r="N17" s="28">
        <f t="shared" si="6"/>
        <v>3.1205186184072056E-2</v>
      </c>
      <c r="O17" s="28">
        <f t="shared" si="7"/>
        <v>0.74978887988444143</v>
      </c>
      <c r="P17" s="59">
        <f>+'COLOMBIA USD'!P17+'EL SALVADOR USD'!P17+'VENEZUELA USD'!P17+'PANAMA USD'!P17</f>
        <v>54863.844179957654</v>
      </c>
      <c r="Q17" s="28">
        <f t="shared" si="8"/>
        <v>2.9387902989401669E-2</v>
      </c>
      <c r="R17" s="28">
        <f t="shared" si="9"/>
        <v>-9.0926505133680762E-3</v>
      </c>
      <c r="V17" s="3"/>
      <c r="W17" s="59"/>
      <c r="X17" s="59"/>
      <c r="Y17" s="59"/>
      <c r="Z17" s="59"/>
      <c r="AA17" s="59"/>
      <c r="AB17" s="59"/>
      <c r="AC17" s="55"/>
      <c r="AD17" s="61"/>
      <c r="AE17" s="61" t="str">
        <f t="shared" si="10"/>
        <v/>
      </c>
      <c r="AF17" s="47"/>
      <c r="AG17" s="47"/>
      <c r="AH17" s="47"/>
      <c r="AI17" s="47"/>
      <c r="AK17" s="47" t="e">
        <f>+'COLOMBIA USD'!AA20+'EL SALVADOR USD'!#REF!+'VENEZUELA USD'!AB18+'PANAMA USD'!Y20</f>
        <v>#REF!</v>
      </c>
    </row>
    <row r="18" spans="2:37" x14ac:dyDescent="0.2">
      <c r="B18" s="3" t="s">
        <v>68</v>
      </c>
      <c r="C18" s="59">
        <f>+'COLOMBIA USD'!C18+'EL SALVADOR USD'!C18+'VENEZUELA USD'!C18+'PANAMA USD'!C18</f>
        <v>33297.058823529413</v>
      </c>
      <c r="D18" s="32">
        <f t="shared" ref="D18:D46" si="13">+C18/$C$20</f>
        <v>0.12622962889501529</v>
      </c>
      <c r="E18" s="59">
        <f>+'COLOMBIA USD'!E18+'EL SALVADOR USD'!E18+'VENEZUELA USD'!E18+'PANAMA USD'!E18</f>
        <v>24994.97845355434</v>
      </c>
      <c r="F18" s="28">
        <f t="shared" si="1"/>
        <v>0.12457954574235117</v>
      </c>
      <c r="G18" s="32">
        <f t="shared" si="2"/>
        <v>0.75066625511955443</v>
      </c>
      <c r="H18" s="59">
        <f>+'COLOMBIA USD'!H18+'EL SALVADOR USD'!H18+'VENEZUELA USD'!H18+'PANAMA USD'!H18</f>
        <v>23607.913567755328</v>
      </c>
      <c r="I18" s="28">
        <f t="shared" si="3"/>
        <v>0.1073239070123639</v>
      </c>
      <c r="J18" s="32">
        <f t="shared" si="4"/>
        <v>5.8754234329861481E-2</v>
      </c>
      <c r="K18" s="59">
        <f>+'COLOMBIA USD'!K18+'EL SALVADOR USD'!K18+'VENEZUELA USD'!K18+'PANAMA USD'!K18</f>
        <v>288689.4117647059</v>
      </c>
      <c r="L18" s="28">
        <f t="shared" si="5"/>
        <v>0.12447346240032976</v>
      </c>
      <c r="M18" s="59">
        <f>+'COLOMBIA USD'!M18+'EL SALVADOR USD'!M18+'VENEZUELA USD'!M18+'PANAMA USD'!M18</f>
        <v>203756.18668731948</v>
      </c>
      <c r="N18" s="28">
        <f t="shared" si="6"/>
        <v>0.11695486673590164</v>
      </c>
      <c r="O18" s="28">
        <f t="shared" si="7"/>
        <v>0.70579722838394021</v>
      </c>
      <c r="P18" s="59">
        <f>+'COLOMBIA USD'!P18+'EL SALVADOR USD'!P18+'VENEZUELA USD'!P18+'PANAMA USD'!P18</f>
        <v>188455.84299081017</v>
      </c>
      <c r="Q18" s="28">
        <f t="shared" si="8"/>
        <v>0.10094666377065591</v>
      </c>
      <c r="R18" s="32">
        <f t="shared" si="9"/>
        <v>8.1187950735257475E-2</v>
      </c>
      <c r="V18" s="3" t="s">
        <v>25</v>
      </c>
      <c r="W18" s="59">
        <f>W8+W15</f>
        <v>-85373392.588674992</v>
      </c>
      <c r="X18" s="59">
        <f>'COLOMBIA USD'!Y21+'EL SALVADOR USD'!X21+'VENEZUELA USD'!X19+'PANAMA USD'!W21</f>
        <v>337493.0314781937</v>
      </c>
      <c r="Y18" s="59">
        <f t="shared" ref="Y18" si="14">Y8+Y15</f>
        <v>107149.43788138707</v>
      </c>
      <c r="Z18" s="59">
        <f>Z8+Z15</f>
        <v>762175.87141365185</v>
      </c>
      <c r="AA18" s="59" t="e">
        <f>AA8+AA15</f>
        <v>#VALUE!</v>
      </c>
      <c r="AB18" s="59">
        <f>AB8+AB15</f>
        <v>-876296994.49194705</v>
      </c>
      <c r="AC18" s="55">
        <f>+AB18-Z18</f>
        <v>-877059170.36336076</v>
      </c>
      <c r="AD18" s="61">
        <f t="shared" si="11"/>
        <v>-1149.7306951827643</v>
      </c>
      <c r="AE18" s="61" t="e">
        <f t="shared" si="10"/>
        <v>#VALUE!</v>
      </c>
      <c r="AF18" s="47"/>
      <c r="AG18" s="47">
        <f>+'COLOMBIA USD'!Y21+'EL SALVADOR USD'!X21+'VENEZUELA USD'!X19+'PANAMA USD'!W21</f>
        <v>337493.0314781937</v>
      </c>
      <c r="AH18" s="47">
        <f>+'COLOMBIA USD'!X21+'EL SALVADOR USD'!W21+'VENEZUELA USD'!Y19+'PANAMA USD'!V21</f>
        <v>148512.1583114946</v>
      </c>
      <c r="AI18" s="47">
        <f>+'COLOMBIA USD'!AB21+'EL SALVADOR USD'!AA21+'VENEZUELA USD'!AC19+'PANAMA USD'!Z21</f>
        <v>-139495.82212956366</v>
      </c>
      <c r="AK18" s="47">
        <f>+'COLOMBIA USD'!AA21+'EL SALVADOR USD'!Z21+'VENEZUELA USD'!AB19+'PANAMA USD'!Y21</f>
        <v>736025901.59168553</v>
      </c>
    </row>
    <row r="19" spans="2:37" x14ac:dyDescent="0.2">
      <c r="B19" s="3" t="s">
        <v>70</v>
      </c>
      <c r="C19" s="59">
        <f>+'COLOMBIA USD'!C19+'EL SALVADOR USD'!C19+'VENEZUELA USD'!C19+'PANAMA USD'!C19</f>
        <v>0</v>
      </c>
      <c r="D19" s="28">
        <f t="shared" si="13"/>
        <v>0</v>
      </c>
      <c r="E19" s="59">
        <f>+'COLOMBIA USD'!E19+'EL SALVADOR USD'!E19+'VENEZUELA USD'!E19+'PANAMA USD'!E19</f>
        <v>0</v>
      </c>
      <c r="F19" s="28">
        <f t="shared" si="1"/>
        <v>0</v>
      </c>
      <c r="G19" s="28" t="str">
        <f t="shared" si="2"/>
        <v/>
      </c>
      <c r="H19" s="59">
        <f>+'COLOMBIA USD'!H19+'EL SALVADOR USD'!H19+'VENEZUELA USD'!H19+'PANAMA USD'!H19</f>
        <v>10869.667351643424</v>
      </c>
      <c r="I19" s="28"/>
      <c r="J19" s="28">
        <f t="shared" si="4"/>
        <v>-1</v>
      </c>
      <c r="K19" s="59">
        <f>+'COLOMBIA USD'!K19+'EL SALVADOR USD'!K19+'VENEZUELA USD'!K19+'PANAMA USD'!K19</f>
        <v>0</v>
      </c>
      <c r="L19" s="28">
        <f t="shared" si="5"/>
        <v>0</v>
      </c>
      <c r="M19" s="59">
        <f>+'COLOMBIA USD'!M19+'EL SALVADOR USD'!M19+'VENEZUELA USD'!M19+'PANAMA USD'!M19</f>
        <v>0</v>
      </c>
      <c r="N19" s="28">
        <f t="shared" si="6"/>
        <v>0</v>
      </c>
      <c r="O19" s="28"/>
      <c r="P19" s="59">
        <f>+'COLOMBIA USD'!P19+'EL SALVADOR USD'!P19+'VENEZUELA USD'!P19+'PANAMA USD'!P19</f>
        <v>18900</v>
      </c>
      <c r="Q19" s="28">
        <f t="shared" si="8"/>
        <v>1.0123814231424137E-2</v>
      </c>
      <c r="R19" s="28"/>
      <c r="V19" s="3" t="s">
        <v>27</v>
      </c>
      <c r="W19" s="59">
        <f>'COLOMBIA USD'!W23+'EL SALVADOR USD'!V23+'VENEZUELA USD'!W20+'PANAMA USD'!U23</f>
        <v>0</v>
      </c>
      <c r="X19" s="59">
        <f>'COLOMBIA USD'!Y23+'EL SALVADOR USD'!X23+'VENEZUELA USD'!X20+'PANAMA USD'!W23</f>
        <v>0</v>
      </c>
      <c r="Y19" s="59">
        <f>'COLOMBIA USD'!X23+'EL SALVADOR USD'!W23+'VENEZUELA USD'!Y20+'PANAMA USD'!V23</f>
        <v>23920.023642618056</v>
      </c>
      <c r="Z19" s="59">
        <f>'COLOMBIA USD'!Z23+'EL SALVADOR USD'!Y23+'VENEZUELA USD'!Z20+'PANAMA USD'!X23</f>
        <v>124936.76470588235</v>
      </c>
      <c r="AA19" s="59">
        <f>'COLOMBIA USD'!AD23+'EL SALVADOR USD'!AC23+'VENEZUELA USD'!AA20+'PANAMA USD'!AB23</f>
        <v>100319.13197450635</v>
      </c>
      <c r="AB19" s="59">
        <f>'COLOMBIA USD'!AA23+'EL SALVADOR USD'!Z23+'VENEZUELA USD'!AB20+'PANAMA USD'!Y23</f>
        <v>159542.37770378657</v>
      </c>
      <c r="AC19" s="55">
        <f t="shared" ref="AC19:AC22" si="15">+AB19-Z19</f>
        <v>34605.612997904216</v>
      </c>
      <c r="AD19" s="61">
        <f t="shared" si="11"/>
        <v>1.276985025819825</v>
      </c>
      <c r="AE19" s="61">
        <f t="shared" si="10"/>
        <v>0.59034846657495355</v>
      </c>
      <c r="AF19" s="47"/>
      <c r="AG19" s="47">
        <f>+'COLOMBIA USD'!Y23+'EL SALVADOR USD'!X23+'VENEZUELA USD'!X20+'PANAMA USD'!W23</f>
        <v>0</v>
      </c>
      <c r="AH19" s="47">
        <f>+'COLOMBIA USD'!X23+'EL SALVADOR USD'!W23+'VENEZUELA USD'!Y20+'PANAMA USD'!V23</f>
        <v>23920.023642618056</v>
      </c>
      <c r="AI19" s="47" t="e">
        <f>+'COLOMBIA USD'!AB23+'EL SALVADOR USD'!AA23+'VENEZUELA USD'!AC20+'PANAMA USD'!Z23</f>
        <v>#VALUE!</v>
      </c>
      <c r="AK19" s="47">
        <f>+'COLOMBIA USD'!AA23+'EL SALVADOR USD'!Z23+'VENEZUELA USD'!AB20+'PANAMA USD'!Y23</f>
        <v>159542.37770378657</v>
      </c>
    </row>
    <row r="20" spans="2:37" x14ac:dyDescent="0.2">
      <c r="B20" s="17" t="s">
        <v>24</v>
      </c>
      <c r="C20" s="63">
        <f>SUM(C10:C19)</f>
        <v>263781.64235294115</v>
      </c>
      <c r="D20" s="36">
        <f t="shared" si="13"/>
        <v>1</v>
      </c>
      <c r="E20" s="63">
        <f>SUM(E10:E19)</f>
        <v>200634.68930323148</v>
      </c>
      <c r="F20" s="36">
        <f t="shared" si="1"/>
        <v>1</v>
      </c>
      <c r="G20" s="36">
        <f t="shared" si="2"/>
        <v>0.76060899277737182</v>
      </c>
      <c r="H20" s="63">
        <f>SUM(H10:H19)</f>
        <v>219968.82358220202</v>
      </c>
      <c r="I20" s="36">
        <f>+H22/$H$22</f>
        <v>1</v>
      </c>
      <c r="J20" s="36">
        <f t="shared" si="4"/>
        <v>-8.7894884211831961E-2</v>
      </c>
      <c r="K20" s="63">
        <f>SUM(K10:K19)</f>
        <v>2319284.8194117649</v>
      </c>
      <c r="L20" s="36">
        <f t="shared" si="5"/>
        <v>1</v>
      </c>
      <c r="M20" s="63">
        <f>SUM(M10:M19)</f>
        <v>1742177.9219109011</v>
      </c>
      <c r="N20" s="36">
        <f t="shared" si="6"/>
        <v>1</v>
      </c>
      <c r="O20" s="36">
        <f>IF(K20=0,"",(M20-K20)/ABS(K20)+1)</f>
        <v>0.75117032083742341</v>
      </c>
      <c r="P20" s="63">
        <f>SUM(P10:P19)</f>
        <v>1866885.3031039173</v>
      </c>
      <c r="Q20" s="36">
        <f t="shared" si="8"/>
        <v>1</v>
      </c>
      <c r="R20" s="36">
        <f>IF(P20=0,"",(M20-P20)/ABS(P20))</f>
        <v>-6.6799701612988996E-2</v>
      </c>
      <c r="V20" s="3" t="s">
        <v>29</v>
      </c>
      <c r="W20" s="59">
        <f>'COLOMBIA USD'!W25+'EL SALVADOR USD'!V25+'VENEZUELA USD'!W21+'PANAMA USD'!U25</f>
        <v>383266396.82801247</v>
      </c>
      <c r="X20" s="59">
        <f>'COLOMBIA USD'!Y25+'EL SALVADOR USD'!X25+'VENEZUELA USD'!X21+'PANAMA USD'!W25</f>
        <v>94855.258813995722</v>
      </c>
      <c r="Y20" s="59">
        <f>'COLOMBIA USD'!X25+'EL SALVADOR USD'!W25+'VENEZUELA USD'!Y21+'PANAMA USD'!V25</f>
        <v>71378.254833680607</v>
      </c>
      <c r="Z20" s="59">
        <f>'COLOMBIA USD'!Z25+'EL SALVADOR USD'!Y25+'VENEZUELA USD'!Z21+'PANAMA USD'!X25</f>
        <v>482767.85863465728</v>
      </c>
      <c r="AA20" s="59">
        <f>'COLOMBIA USD'!AD25+'EL SALVADOR USD'!AC25+'VENEZUELA USD'!AA21+'PANAMA USD'!AB25</f>
        <v>386038.42690387403</v>
      </c>
      <c r="AB20" s="59">
        <f>'COLOMBIA USD'!AA25+'EL SALVADOR USD'!Z25+'VENEZUELA USD'!AB21+'PANAMA USD'!Y25</f>
        <v>790538682.31136072</v>
      </c>
      <c r="AC20" s="55">
        <f t="shared" si="15"/>
        <v>790055914.45272601</v>
      </c>
      <c r="AD20" s="61">
        <f t="shared" si="11"/>
        <v>1637.513078329463</v>
      </c>
      <c r="AE20" s="61">
        <f t="shared" si="10"/>
        <v>2046.823810317748</v>
      </c>
      <c r="AF20" s="47"/>
      <c r="AG20" s="47">
        <f>+'COLOMBIA USD'!Y25+'EL SALVADOR USD'!X25+'VENEZUELA USD'!X21+'PANAMA USD'!W25</f>
        <v>94855.258813995722</v>
      </c>
      <c r="AH20" s="47">
        <f>+'COLOMBIA USD'!X25+'EL SALVADOR USD'!W25+'VENEZUELA USD'!Y21+'PANAMA USD'!V25</f>
        <v>71378.254833680607</v>
      </c>
      <c r="AI20" s="47">
        <f>+'COLOMBIA USD'!AB25+'EL SALVADOR USD'!AA25+'VENEZUELA USD'!AC21+'PANAMA USD'!Z25</f>
        <v>-132704.28441719848</v>
      </c>
      <c r="AK20" s="47">
        <f>+'COLOMBIA USD'!AA25+'EL SALVADOR USD'!Z25+'VENEZUELA USD'!AB21+'PANAMA USD'!Y25</f>
        <v>790538682.31136072</v>
      </c>
    </row>
    <row r="21" spans="2:37" x14ac:dyDescent="0.2">
      <c r="B21" s="3"/>
      <c r="C21" s="59"/>
      <c r="D21" s="28"/>
      <c r="E21" s="59"/>
      <c r="F21" s="28"/>
      <c r="G21" s="28"/>
      <c r="H21" s="59"/>
      <c r="I21" s="28"/>
      <c r="J21" s="28"/>
      <c r="K21" s="59"/>
      <c r="L21" s="28"/>
      <c r="M21" s="59"/>
      <c r="N21" s="28"/>
      <c r="O21" s="28"/>
      <c r="P21" s="59"/>
      <c r="Q21" s="28"/>
      <c r="R21" s="28"/>
      <c r="V21" s="3" t="s">
        <v>32</v>
      </c>
      <c r="W21" s="59">
        <f>'COLOMBIA USD'!W27+'EL SALVADOR USD'!V27+'VENEZUELA USD'!W22+'PANAMA USD'!U27</f>
        <v>23995.882352941178</v>
      </c>
      <c r="X21" s="59">
        <f>'COLOMBIA USD'!Y27+'EL SALVADOR USD'!X27+'VENEZUELA USD'!X22+'PANAMA USD'!W27</f>
        <v>24370.423675508777</v>
      </c>
      <c r="Y21" s="59">
        <f>'COLOMBIA USD'!X27+'EL SALVADOR USD'!W27+'VENEZUELA USD'!Y22+'PANAMA USD'!V27</f>
        <v>6528.9043240726651</v>
      </c>
      <c r="Z21" s="59">
        <f>'COLOMBIA USD'!Z27+'EL SALVADOR USD'!Y27+'VENEZUELA USD'!Z22+'PANAMA USD'!X27</f>
        <v>-4554.4117647058829</v>
      </c>
      <c r="AA21" s="59">
        <f>'COLOMBIA USD'!AD27+'EL SALVADOR USD'!AC27+'VENEZUELA USD'!AA22+'PANAMA USD'!AB27</f>
        <v>14657.065864687536</v>
      </c>
      <c r="AB21" s="59">
        <f>'COLOMBIA USD'!AA27+'EL SALVADOR USD'!Z27+'VENEZUELA USD'!AB22+'PANAMA USD'!Y27</f>
        <v>-14474.198902488268</v>
      </c>
      <c r="AC21" s="55">
        <f t="shared" si="15"/>
        <v>-9919.7871377823849</v>
      </c>
      <c r="AD21" s="61">
        <f t="shared" si="11"/>
        <v>-1.1780611087155379</v>
      </c>
      <c r="AE21" s="61">
        <f t="shared" si="10"/>
        <v>-1.9875236309990363</v>
      </c>
      <c r="AF21" s="47"/>
      <c r="AG21" s="47">
        <f>+'COLOMBIA USD'!Y27+'EL SALVADOR USD'!X27+'VENEZUELA USD'!X22+'PANAMA USD'!W27</f>
        <v>24370.423675508777</v>
      </c>
      <c r="AH21" s="47">
        <f>+'COLOMBIA USD'!X27+'EL SALVADOR USD'!W27+'VENEZUELA USD'!Y22+'PANAMA USD'!V27</f>
        <v>6528.9043240726651</v>
      </c>
      <c r="AI21" s="47">
        <f>+'COLOMBIA USD'!AB27+'EL SALVADOR USD'!AA27+'VENEZUELA USD'!AC22+'PANAMA USD'!Z27</f>
        <v>-9919.7871377823849</v>
      </c>
      <c r="AK21" s="47">
        <f>+'COLOMBIA USD'!AA27+'EL SALVADOR USD'!Z27+'VENEZUELA USD'!AB22+'PANAMA USD'!Y27</f>
        <v>-14474.198902488268</v>
      </c>
    </row>
    <row r="22" spans="2:37" x14ac:dyDescent="0.2">
      <c r="B22" s="3" t="s">
        <v>26</v>
      </c>
      <c r="C22" s="59">
        <f>+'COLOMBIA USD'!C22+'EL SALVADOR USD'!C22+'VENEZUELA USD'!C22+'PANAMA USD'!C22</f>
        <v>26871.831764705883</v>
      </c>
      <c r="D22" s="28">
        <f t="shared" si="13"/>
        <v>0.10187150070417424</v>
      </c>
      <c r="E22" s="59">
        <f>+'COLOMBIA USD'!E22+'EL SALVADOR USD'!E22+'VENEZUELA USD'!E22+'PANAMA USD'!E22</f>
        <v>28890.763417047838</v>
      </c>
      <c r="F22" s="28">
        <f>+E22/$E$20</f>
        <v>0.14399685078079125</v>
      </c>
      <c r="G22" s="28">
        <f>IF(C22=0,"",(E22-C22)/ABS(C22)+1)</f>
        <v>1.0751318953624021</v>
      </c>
      <c r="H22" s="59">
        <f>+'COLOMBIA USD'!H22+'EL SALVADOR USD'!H22+'VENEZUELA USD'!H22+'PANAMA USD'!H22</f>
        <v>14071.218547571116</v>
      </c>
      <c r="I22" s="28">
        <f t="shared" ref="I22:I46" si="16">+H22/$H$20</f>
        <v>6.3969149438637254E-2</v>
      </c>
      <c r="J22" s="28">
        <f>IF(H22=0,"",(E22-H22)/ABS(H22))</f>
        <v>1.0531813445563161</v>
      </c>
      <c r="K22" s="59">
        <f>+'COLOMBIA USD'!K22+'EL SALVADOR USD'!K22+'VENEZUELA USD'!K22+'PANAMA USD'!K22</f>
        <v>199614.57411764708</v>
      </c>
      <c r="L22" s="28">
        <f t="shared" si="5"/>
        <v>8.6067296455756087E-2</v>
      </c>
      <c r="M22" s="59">
        <f>+'COLOMBIA USD'!M22+'EL SALVADOR USD'!M22+'VENEZUELA USD'!M22+'PANAMA USD'!M22</f>
        <v>161930.62868144558</v>
      </c>
      <c r="N22" s="28">
        <f>+M22/$M$20</f>
        <v>9.2947239570016243E-2</v>
      </c>
      <c r="O22" s="28">
        <f>IF(K22=0,"",(M22-K22)/ABS(K22)+1)</f>
        <v>0.81121646251144131</v>
      </c>
      <c r="P22" s="59">
        <f>+'COLOMBIA USD'!P22+'EL SALVADOR USD'!P22+'VENEZUELA USD'!P22+'PANAMA USD'!P22</f>
        <v>103307.78523131003</v>
      </c>
      <c r="Q22" s="28">
        <f t="shared" si="8"/>
        <v>5.5336974938711363E-2</v>
      </c>
      <c r="R22" s="28">
        <f>IF(P22=0,"",(M22-P22)/ABS(P22))</f>
        <v>0.56745813801812506</v>
      </c>
      <c r="V22" s="3" t="s">
        <v>34</v>
      </c>
      <c r="W22" s="59">
        <f>'COLOMBIA USD'!W28+'EL SALVADOR USD'!V28+'VENEZUELA USD'!W23+'PANAMA USD'!U28</f>
        <v>22794.117647058822</v>
      </c>
      <c r="X22" s="59">
        <f>'COLOMBIA USD'!Y28+'EL SALVADOR USD'!X28+'VENEZUELA USD'!X23+'PANAMA USD'!W28</f>
        <v>0</v>
      </c>
      <c r="Y22" s="59">
        <f>'COLOMBIA USD'!X28+'EL SALVADOR USD'!W28+'VENEZUELA USD'!Y23+'PANAMA USD'!V28</f>
        <v>15497.623381810079</v>
      </c>
      <c r="Z22" s="59">
        <f>'COLOMBIA USD'!Z28+'EL SALVADOR USD'!Y28+'VENEZUELA USD'!Z23+'PANAMA USD'!X28</f>
        <v>136764.70588235292</v>
      </c>
      <c r="AA22" s="59" t="e">
        <f>'COLOMBIA USD'!AD28+'EL SALVADOR USD'!AC28+'VENEZUELA USD'!AA23+'PANAMA USD'!AB28</f>
        <v>#VALUE!</v>
      </c>
      <c r="AB22" s="59">
        <f>'COLOMBIA USD'!AA28+'EL SALVADOR USD'!Z28+'VENEZUELA USD'!AB23+'PANAMA USD'!Y28</f>
        <v>93529.615164814313</v>
      </c>
      <c r="AC22" s="55">
        <f t="shared" si="15"/>
        <v>-43235.090717538609</v>
      </c>
      <c r="AD22" s="61">
        <f t="shared" si="11"/>
        <v>0.68387245496853488</v>
      </c>
      <c r="AE22" s="61" t="e">
        <f t="shared" si="10"/>
        <v>#VALUE!</v>
      </c>
      <c r="AF22" s="47"/>
      <c r="AG22" s="47">
        <f>+'COLOMBIA USD'!Y28+'EL SALVADOR USD'!X28+'VENEZUELA USD'!X23+'PANAMA USD'!W28</f>
        <v>0</v>
      </c>
      <c r="AH22" s="47">
        <f>+'COLOMBIA USD'!X28+'EL SALVADOR USD'!W28+'VENEZUELA USD'!Y23+'PANAMA USD'!V28</f>
        <v>15497.623381810079</v>
      </c>
      <c r="AI22" s="47" t="e">
        <f>+'COLOMBIA USD'!AB28+'EL SALVADOR USD'!AA28+'VENEZUELA USD'!AC23+'PANAMA USD'!Z28</f>
        <v>#VALUE!</v>
      </c>
      <c r="AK22" s="47">
        <f>+'COLOMBIA USD'!AA28+'EL SALVADOR USD'!Z28+'VENEZUELA USD'!AB23+'PANAMA USD'!Y28</f>
        <v>93529.615164814313</v>
      </c>
    </row>
    <row r="23" spans="2:37" x14ac:dyDescent="0.2">
      <c r="B23" s="3"/>
      <c r="C23" s="59"/>
      <c r="D23" s="28"/>
      <c r="E23" s="59"/>
      <c r="F23" s="28"/>
      <c r="G23" s="28"/>
      <c r="H23" s="59"/>
      <c r="I23" s="28"/>
      <c r="J23" s="28"/>
      <c r="K23" s="59"/>
      <c r="L23" s="28"/>
      <c r="M23" s="59"/>
      <c r="N23" s="28"/>
      <c r="O23" s="28"/>
      <c r="P23" s="59"/>
      <c r="Q23" s="28"/>
      <c r="R23" s="28"/>
      <c r="V23" s="3" t="s">
        <v>36</v>
      </c>
      <c r="W23" s="59">
        <f>W18-W19-W20-W21-W22</f>
        <v>-468686579.41668749</v>
      </c>
      <c r="X23" s="59">
        <f t="shared" ref="X23:AB23" si="17">X18-X19-X20-X21-X22</f>
        <v>218267.34898868919</v>
      </c>
      <c r="Y23" s="59">
        <f t="shared" si="17"/>
        <v>-10175.368300794344</v>
      </c>
      <c r="Z23" s="59">
        <f t="shared" si="17"/>
        <v>22260.953955465113</v>
      </c>
      <c r="AA23" s="59" t="e">
        <f t="shared" si="17"/>
        <v>#VALUE!</v>
      </c>
      <c r="AB23" s="59">
        <f t="shared" si="17"/>
        <v>-1667074274.5972738</v>
      </c>
      <c r="AC23" s="55">
        <f t="shared" ref="AC23" si="18">Y23-W23</f>
        <v>468676404.04838669</v>
      </c>
      <c r="AD23" s="61">
        <f t="shared" ref="AD23" si="19">IF(W23=0,"",(Y23-W23)/ABS(W23)+1)</f>
        <v>1.9999782896102691</v>
      </c>
      <c r="AE23" s="61">
        <f t="shared" ref="AE23" si="20">IF(X23=0,"",(Y23-X23)/ABS(X23))</f>
        <v>-1.0466188293757195</v>
      </c>
      <c r="AF23" s="47"/>
      <c r="AG23" s="47">
        <f>+'COLOMBIA USD'!Y30+'EL SALVADOR USD'!X30+'VENEZUELA USD'!X24+'PANAMA USD'!W30</f>
        <v>246541.18411413729</v>
      </c>
      <c r="AH23" s="47">
        <f>+'COLOMBIA USD'!X30+'EL SALVADOR USD'!W30+'VENEZUELA USD'!Y24+'PANAMA USD'!V30</f>
        <v>32951.629309719377</v>
      </c>
      <c r="AI23" s="47">
        <f>+'COLOMBIA USD'!AB30+'EL SALVADOR USD'!AA30+'VENEZUELA USD'!AC24+'PANAMA USD'!Z30</f>
        <v>11757.727146421097</v>
      </c>
      <c r="AK23" s="47">
        <f>+'COLOMBIA USD'!AA30+'EL SALVADOR USD'!Z30+'VENEZUELA USD'!AB24+'PANAMA USD'!Y30</f>
        <v>36035.696633547268</v>
      </c>
    </row>
    <row r="24" spans="2:37" x14ac:dyDescent="0.2">
      <c r="B24" s="3" t="s">
        <v>28</v>
      </c>
      <c r="C24" s="59">
        <f>+C20-C22</f>
        <v>236909.81058823527</v>
      </c>
      <c r="D24" s="28">
        <f t="shared" si="13"/>
        <v>0.89812849929582572</v>
      </c>
      <c r="E24" s="59">
        <f>+E20-E22</f>
        <v>171743.92588618366</v>
      </c>
      <c r="F24" s="28">
        <f>+E24/$E$20</f>
        <v>0.85600314921920884</v>
      </c>
      <c r="G24" s="28">
        <f>IF(C24=0,"",(E24-C24)/ABS(C24)+1)</f>
        <v>0.72493378581390122</v>
      </c>
      <c r="H24" s="59">
        <f>+H20-H22</f>
        <v>205897.60503463092</v>
      </c>
      <c r="I24" s="28">
        <f t="shared" si="16"/>
        <v>0.93603085056136281</v>
      </c>
      <c r="J24" s="28">
        <f>IF(H24=0,"",(E24-H24)/ABS(H24))</f>
        <v>-0.16587701028723861</v>
      </c>
      <c r="K24" s="59">
        <f>+K20-K22</f>
        <v>2119670.2452941178</v>
      </c>
      <c r="L24" s="28">
        <f t="shared" si="5"/>
        <v>0.91393270354424394</v>
      </c>
      <c r="M24" s="59">
        <f>+M20-M22</f>
        <v>1580247.2932294556</v>
      </c>
      <c r="N24" s="28">
        <f>+M24/$M$20</f>
        <v>0.90705276042998384</v>
      </c>
      <c r="O24" s="28">
        <f>IF(K24=0,"",(M24-K24)/ABS(K24)+1)</f>
        <v>0.74551562760187073</v>
      </c>
      <c r="P24" s="59">
        <f>+P20-P22</f>
        <v>1763577.5178726073</v>
      </c>
      <c r="Q24" s="28">
        <f t="shared" si="8"/>
        <v>0.94466302506128874</v>
      </c>
      <c r="R24" s="28">
        <f>IF(P24=0,"",(M24-P24)/ABS(P24))</f>
        <v>-0.10395359590674634</v>
      </c>
      <c r="W24" s="47">
        <f>+'COLOMBIA USD'!W30+'EL SALVADOR USD'!V30+'VENEZUELA USD'!W24+'PANAMA USD'!U30</f>
        <v>21193.82106659835</v>
      </c>
      <c r="X24" s="47">
        <f>+'COLOMBIA USD'!Y30+'EL SALVADOR USD'!X30+'VENEZUELA USD'!X24+'PANAMA USD'!W30</f>
        <v>246541.18411413729</v>
      </c>
      <c r="Y24" s="47">
        <f>+'COLOMBIA USD'!X30+'EL SALVADOR USD'!W30+'VENEZUELA USD'!Y24+'PANAMA USD'!V30</f>
        <v>32951.629309719377</v>
      </c>
      <c r="Z24" s="47">
        <f>+'COLOMBIA USD'!Z30+'EL SALVADOR USD'!Y30+'VENEZUELA USD'!Z24+'PANAMA USD'!X30</f>
        <v>24277.969487126174</v>
      </c>
      <c r="AA24" s="47">
        <f>+'COLOMBIA USD'!AD30+'EL SALVADOR USD'!AC30+'VENEZUELA USD'!AA24+'PANAMA USD'!AB30</f>
        <v>246540.19164018921</v>
      </c>
      <c r="AB24" s="47">
        <f>+'COLOMBIA USD'!AA30+'EL SALVADOR USD'!Z30+'VENEZUELA USD'!AB24+'PANAMA USD'!Y30</f>
        <v>36035.696633547268</v>
      </c>
      <c r="AC24" s="47">
        <f>+'COLOMBIA USD'!AB30+'EL SALVADOR USD'!AA30+'VENEZUELA USD'!AC24+'PANAMA USD'!Z30</f>
        <v>11757.727146421097</v>
      </c>
      <c r="AE24" s="47"/>
      <c r="AF24" s="47"/>
      <c r="AK24" s="47" t="e">
        <f>+'COLOMBIA USD'!#REF!+'EL SALVADOR USD'!Z31+'VENEZUELA USD'!AB25+'PANAMA USD'!#REF!</f>
        <v>#REF!</v>
      </c>
    </row>
    <row r="25" spans="2:37" x14ac:dyDescent="0.2">
      <c r="B25" s="3"/>
      <c r="C25" s="59"/>
      <c r="D25" s="28"/>
      <c r="E25" s="59"/>
      <c r="F25" s="28"/>
      <c r="G25" s="28"/>
      <c r="H25" s="59"/>
      <c r="I25" s="28"/>
      <c r="J25" s="28"/>
      <c r="K25" s="59"/>
      <c r="L25" s="28"/>
      <c r="M25" s="59"/>
      <c r="N25" s="28"/>
      <c r="O25" s="28"/>
      <c r="P25" s="59"/>
      <c r="Q25" s="28"/>
      <c r="R25" s="28"/>
      <c r="AB25" s="47"/>
      <c r="AE25" s="47"/>
      <c r="AF25" s="47"/>
      <c r="AK25" s="47" t="e">
        <f>+'COLOMBIA USD'!#REF!+'EL SALVADOR USD'!AA32+'VENEZUELA USD'!AB26+'PANAMA USD'!#REF!</f>
        <v>#REF!</v>
      </c>
    </row>
    <row r="26" spans="2:37" x14ac:dyDescent="0.2">
      <c r="B26" s="3" t="s">
        <v>30</v>
      </c>
      <c r="C26" s="59">
        <f>+'COLOMBIA USD'!C26+'EL SALVADOR USD'!C26+'VENEZUELA USD'!C26+'PANAMA USD'!C26</f>
        <v>64537.928823529415</v>
      </c>
      <c r="D26" s="28">
        <f t="shared" si="13"/>
        <v>0.24466421638689073</v>
      </c>
      <c r="E26" s="59">
        <f>+'COLOMBIA USD'!E26+'EL SALVADOR USD'!E26+'VENEZUELA USD'!E26+'PANAMA USD'!E26</f>
        <v>45736.666157936263</v>
      </c>
      <c r="F26" s="28">
        <f>+E26/$E$20</f>
        <v>0.22795991220048514</v>
      </c>
      <c r="G26" s="28">
        <f>IF(C26=0,"",(E26-C26)/ABS(C26)+1)</f>
        <v>0.70867886515226164</v>
      </c>
      <c r="H26" s="59">
        <f>+'COLOMBIA USD'!H26+'EL SALVADOR USD'!H26+'VENEZUELA USD'!H26+'PANAMA USD'!H26</f>
        <v>47154.616822022188</v>
      </c>
      <c r="I26" s="28">
        <f t="shared" si="16"/>
        <v>0.21436954589340057</v>
      </c>
      <c r="J26" s="28">
        <f>IF(H26=0,"",(E26-H26)/ABS(H26))</f>
        <v>-3.0070240405891981E-2</v>
      </c>
      <c r="K26" s="59">
        <f>+'COLOMBIA USD'!K26+'EL SALVADOR USD'!K26+'VENEZUELA USD'!K26+'PANAMA USD'!K26</f>
        <v>533645.18294117646</v>
      </c>
      <c r="L26" s="28">
        <f t="shared" si="5"/>
        <v>0.23009040479837389</v>
      </c>
      <c r="M26" s="59">
        <f>+'COLOMBIA USD'!M26+'EL SALVADOR USD'!M26+'VENEZUELA USD'!M26+'PANAMA USD'!M26</f>
        <v>392213.90106046625</v>
      </c>
      <c r="N26" s="28">
        <f>+M26/$M$20</f>
        <v>0.22512849929257969</v>
      </c>
      <c r="O26" s="28">
        <f>IF(K26=0,"",(M26-K26)/ABS(K26)+1)</f>
        <v>0.73497131352106648</v>
      </c>
      <c r="P26" s="59">
        <f>+'COLOMBIA USD'!P26+'EL SALVADOR USD'!P26+'VENEZUELA USD'!P26+'PANAMA USD'!P26</f>
        <v>386380.08418827906</v>
      </c>
      <c r="Q26" s="28">
        <f t="shared" si="8"/>
        <v>0.20696508968487595</v>
      </c>
      <c r="R26" s="28">
        <f>IF(P26=0,"",(M26-P26)/ABS(P26))</f>
        <v>1.5098647965883337E-2</v>
      </c>
      <c r="W26" s="47"/>
      <c r="X26" s="47"/>
      <c r="Y26" s="47"/>
      <c r="Z26" s="47"/>
      <c r="AA26" s="47"/>
      <c r="AB26" s="47"/>
      <c r="AC26" s="47"/>
      <c r="AF26" s="47"/>
      <c r="AK26" s="47" t="e">
        <f>+'COLOMBIA USD'!#REF!+'EL SALVADOR USD'!AB33+'VENEZUELA USD'!AB27+'PANAMA USD'!#REF!</f>
        <v>#REF!</v>
      </c>
    </row>
    <row r="27" spans="2:37" x14ac:dyDescent="0.2">
      <c r="B27" s="3" t="s">
        <v>31</v>
      </c>
      <c r="C27" s="59">
        <f>+'COLOMBIA USD'!C27+'EL SALVADOR USD'!C27+'VENEZUELA USD'!C27+'PANAMA USD'!C27</f>
        <v>81641.174117647068</v>
      </c>
      <c r="D27" s="28">
        <f t="shared" si="13"/>
        <v>0.3095028652843505</v>
      </c>
      <c r="E27" s="59">
        <f>+'COLOMBIA USD'!E27+'EL SALVADOR USD'!E27+'VENEZUELA USD'!E27+'PANAMA USD'!E27</f>
        <v>62588.670151776489</v>
      </c>
      <c r="F27" s="28">
        <f>+E27/$E$20</f>
        <v>0.31195338338118789</v>
      </c>
      <c r="G27" s="28">
        <f>IF(C27=0,"",(E27-C27)/ABS(C27)+1)</f>
        <v>0.76663118614125492</v>
      </c>
      <c r="H27" s="59">
        <f>+'COLOMBIA USD'!H27+'EL SALVADOR USD'!H27+'VENEZUELA USD'!H27+'PANAMA USD'!H27</f>
        <v>75817.117372230205</v>
      </c>
      <c r="I27" s="28">
        <f t="shared" si="16"/>
        <v>0.34467210460803077</v>
      </c>
      <c r="J27" s="28">
        <f>IF(H27=0,"",(E27-H27)/ABS(H27))</f>
        <v>-0.17447837215318535</v>
      </c>
      <c r="K27" s="59">
        <f>+'COLOMBIA USD'!K27+'EL SALVADOR USD'!K27+'VENEZUELA USD'!K27+'PANAMA USD'!K27</f>
        <v>760118.08</v>
      </c>
      <c r="L27" s="28">
        <f t="shared" si="5"/>
        <v>0.32773813446197914</v>
      </c>
      <c r="M27" s="59">
        <f>+'COLOMBIA USD'!M27+'EL SALVADOR USD'!M27+'VENEZUELA USD'!M27+'PANAMA USD'!M27</f>
        <v>575983.15728042624</v>
      </c>
      <c r="N27" s="28">
        <f>+M27/$M$20</f>
        <v>0.33061098412305751</v>
      </c>
      <c r="O27" s="28">
        <f>IF(K27=0,"",(M27-K27)/ABS(K27)+1)</f>
        <v>0.75775484419529437</v>
      </c>
      <c r="P27" s="59">
        <f>+'COLOMBIA USD'!P27+'EL SALVADOR USD'!P27+'VENEZUELA USD'!P27+'PANAMA USD'!P27</f>
        <v>703084.00600666227</v>
      </c>
      <c r="Q27" s="28">
        <f t="shared" si="8"/>
        <v>0.37660803523264236</v>
      </c>
      <c r="R27" s="28">
        <f>IF(P27=0,"",(M27-P27)/ABS(P27))</f>
        <v>-0.18077619123799504</v>
      </c>
      <c r="W27" s="47"/>
      <c r="X27" s="47"/>
      <c r="Y27" s="47"/>
      <c r="Z27" s="47"/>
      <c r="AA27" s="47"/>
      <c r="AB27" s="47"/>
      <c r="AC27" s="47"/>
      <c r="AF27" s="47"/>
    </row>
    <row r="28" spans="2:37" x14ac:dyDescent="0.2">
      <c r="B28" s="3" t="s">
        <v>33</v>
      </c>
      <c r="C28" s="59">
        <f>SUM(C26:C27)</f>
        <v>146179.10294117648</v>
      </c>
      <c r="D28" s="28">
        <f t="shared" si="13"/>
        <v>0.55416708167124118</v>
      </c>
      <c r="E28" s="59">
        <f>SUM(E26:E27)</f>
        <v>108325.33630971276</v>
      </c>
      <c r="F28" s="28">
        <f>+E28/$E$20</f>
        <v>0.53991329558167311</v>
      </c>
      <c r="G28" s="28">
        <f>IF(C28=0,"",(E28-C28)/ABS(C28)+1)</f>
        <v>0.74104529395903906</v>
      </c>
      <c r="H28" s="59">
        <f>SUM(H26:H27)</f>
        <v>122971.73419425239</v>
      </c>
      <c r="I28" s="28">
        <f t="shared" si="16"/>
        <v>0.5590416505014314</v>
      </c>
      <c r="J28" s="28">
        <f>IF(H28=0,"",(E28-H28)/ABS(H28))</f>
        <v>-0.11910377600598394</v>
      </c>
      <c r="K28" s="59">
        <f>SUM(K26:K27)</f>
        <v>1293763.2629411765</v>
      </c>
      <c r="L28" s="28">
        <f t="shared" si="5"/>
        <v>0.55782853926035303</v>
      </c>
      <c r="M28" s="59">
        <f>SUM(M26:M27)</f>
        <v>968197.05834089243</v>
      </c>
      <c r="N28" s="28">
        <f>+M28/$M$20</f>
        <v>0.55573948341563717</v>
      </c>
      <c r="O28" s="28">
        <f>IF(K28=0,"",(M28-K28)/ABS(K28)+1)</f>
        <v>0.74835720419193374</v>
      </c>
      <c r="P28" s="59">
        <f>SUM(P26:P27)</f>
        <v>1089464.0901949413</v>
      </c>
      <c r="Q28" s="28">
        <f t="shared" si="8"/>
        <v>0.58357312491751823</v>
      </c>
      <c r="R28" s="28">
        <f>IF(P28=0,"",(M28-P28)/ABS(P28))</f>
        <v>-0.11130888383145345</v>
      </c>
      <c r="W28" s="47"/>
      <c r="X28" s="47"/>
      <c r="Y28" s="47"/>
      <c r="Z28" s="47"/>
      <c r="AA28" s="47"/>
      <c r="AB28" s="47"/>
      <c r="AC28" s="47"/>
      <c r="AD28" s="47"/>
      <c r="AE28" s="47"/>
    </row>
    <row r="29" spans="2:37" x14ac:dyDescent="0.2">
      <c r="B29" s="3"/>
      <c r="C29" s="59"/>
      <c r="D29" s="28"/>
      <c r="E29" s="59"/>
      <c r="F29" s="28"/>
      <c r="G29" s="28"/>
      <c r="H29" s="59"/>
      <c r="I29" s="28"/>
      <c r="J29" s="28"/>
      <c r="K29" s="59"/>
      <c r="L29" s="28"/>
      <c r="M29" s="59"/>
      <c r="N29" s="28"/>
      <c r="O29" s="28"/>
      <c r="P29" s="59"/>
      <c r="Q29" s="28"/>
      <c r="R29" s="28"/>
      <c r="W29" s="47"/>
      <c r="X29" s="47"/>
      <c r="Y29" s="47"/>
      <c r="Z29" s="47"/>
      <c r="AA29" s="47"/>
      <c r="AB29" s="47"/>
      <c r="AC29" s="47"/>
    </row>
    <row r="30" spans="2:37" x14ac:dyDescent="0.2">
      <c r="B30" s="3" t="s">
        <v>35</v>
      </c>
      <c r="C30" s="59">
        <f>+'COLOMBIA USD'!C30+'EL SALVADOR USD'!C30+'VENEZUELA USD'!C30+'PANAMA USD'!C30</f>
        <v>23058.514117647061</v>
      </c>
      <c r="D30" s="28">
        <f t="shared" si="13"/>
        <v>8.7415158659125539E-2</v>
      </c>
      <c r="E30" s="59">
        <f>+'COLOMBIA USD'!E30+'EL SALVADOR USD'!E30+'VENEZUELA USD'!E30+'PANAMA USD'!E30</f>
        <v>19836.893404519131</v>
      </c>
      <c r="F30" s="28">
        <f>+E30/$E$20</f>
        <v>9.8870706124694216E-2</v>
      </c>
      <c r="G30" s="28">
        <f>IF(C30=0,"",(E30-C30)/ABS(C30)+1)</f>
        <v>0.86028498208120141</v>
      </c>
      <c r="H30" s="59">
        <f>+'COLOMBIA USD'!H30+'EL SALVADOR USD'!H30+'VENEZUELA USD'!H30+'PANAMA USD'!H30</f>
        <v>16116.143578860099</v>
      </c>
      <c r="I30" s="28">
        <f t="shared" si="16"/>
        <v>7.3265580623690152E-2</v>
      </c>
      <c r="J30" s="28">
        <f>IF(H30=0,"",(E30-H30)/ABS(H30))</f>
        <v>0.23087097775299179</v>
      </c>
      <c r="K30" s="59">
        <f>+'COLOMBIA USD'!K30+'EL SALVADOR USD'!K30+'VENEZUELA USD'!K30+'PANAMA USD'!K30</f>
        <v>199545.62705882353</v>
      </c>
      <c r="L30" s="28">
        <f t="shared" si="5"/>
        <v>8.6037568731827357E-2</v>
      </c>
      <c r="M30" s="59">
        <f>+'COLOMBIA USD'!M30+'EL SALVADOR USD'!M30+'VENEZUELA USD'!M30+'PANAMA USD'!M30</f>
        <v>164984.02188087031</v>
      </c>
      <c r="N30" s="28">
        <f>+M30/$M$20</f>
        <v>9.4699869517292604E-2</v>
      </c>
      <c r="O30" s="28">
        <f>IF(K30=0,"",(M30-K30)/ABS(K30)+1)</f>
        <v>0.82679848369834286</v>
      </c>
      <c r="P30" s="59">
        <f>+'COLOMBIA USD'!P30+'EL SALVADOR USD'!P30+'VENEZUELA USD'!P30+'PANAMA USD'!P30</f>
        <v>152715.70194837492</v>
      </c>
      <c r="Q30" s="28">
        <f t="shared" si="8"/>
        <v>8.180240194427961E-2</v>
      </c>
      <c r="R30" s="28">
        <f>IF(P30=0,"",(M30-P30)/ABS(P30))</f>
        <v>8.0334371488811659E-2</v>
      </c>
      <c r="W30" s="47"/>
      <c r="X30" s="47"/>
      <c r="Y30" s="47"/>
      <c r="Z30" s="47"/>
      <c r="AA30" s="47"/>
      <c r="AB30" s="47"/>
      <c r="AC30" s="47"/>
    </row>
    <row r="31" spans="2:37" x14ac:dyDescent="0.2">
      <c r="B31" s="3" t="s">
        <v>37</v>
      </c>
      <c r="C31" s="59">
        <f>+'COLOMBIA USD'!C31+'EL SALVADOR USD'!C31+'VENEZUELA USD'!C31+'PANAMA USD'!C31</f>
        <v>0</v>
      </c>
      <c r="D31" s="28">
        <f t="shared" si="13"/>
        <v>0</v>
      </c>
      <c r="E31" s="59">
        <f>+'COLOMBIA USD'!E31+'EL SALVADOR USD'!E31+'VENEZUELA USD'!E31+'PANAMA USD'!E31</f>
        <v>405.85424133811233</v>
      </c>
      <c r="F31" s="28">
        <f>+E31/$E$20</f>
        <v>2.0228517947099367E-3</v>
      </c>
      <c r="G31" s="28" t="str">
        <f>IF(C31=0,"",(E31-C31)/ABS(C31)+1)</f>
        <v/>
      </c>
      <c r="H31" s="59">
        <f>+'COLOMBIA USD'!H31+'EL SALVADOR USD'!H31+'VENEZUELA USD'!H31+'PANAMA USD'!H31</f>
        <v>539.40426640244345</v>
      </c>
      <c r="I31" s="28">
        <f t="shared" si="16"/>
        <v>2.4521850761313403E-3</v>
      </c>
      <c r="J31" s="28">
        <f>IF(H31=0,"",(E31-H31)/ABS(H31))</f>
        <v>-0.24758800288148064</v>
      </c>
      <c r="K31" s="59">
        <f>+'COLOMBIA USD'!K31+'EL SALVADOR USD'!K31+'VENEZUELA USD'!K31+'PANAMA USD'!K31</f>
        <v>0</v>
      </c>
      <c r="L31" s="28">
        <f t="shared" si="5"/>
        <v>0</v>
      </c>
      <c r="M31" s="59">
        <f>+'COLOMBIA USD'!M31+'EL SALVADOR USD'!M31+'VENEZUELA USD'!M31+'PANAMA USD'!M31</f>
        <v>6419.7885304659494</v>
      </c>
      <c r="N31" s="28">
        <f>+M31/$M$20</f>
        <v>3.6849212986377589E-3</v>
      </c>
      <c r="O31" s="28" t="str">
        <f>IF(K31=0,"",(M31-K31)/ABS(K31)+1)</f>
        <v/>
      </c>
      <c r="P31" s="59">
        <f>+'COLOMBIA USD'!P31+'EL SALVADOR USD'!P31+'VENEZUELA USD'!P31+'PANAMA USD'!P31</f>
        <v>2034.9343825334836</v>
      </c>
      <c r="Q31" s="28">
        <f t="shared" si="8"/>
        <v>1.0900157493072364E-3</v>
      </c>
      <c r="R31" s="28">
        <f>IF(P31=0,"",(M31-P31)/ABS(P31))</f>
        <v>2.1547889630098753</v>
      </c>
      <c r="W31" s="47"/>
      <c r="X31" s="47"/>
      <c r="Y31" s="47"/>
      <c r="Z31" s="47"/>
      <c r="AA31" s="47"/>
      <c r="AB31" s="47"/>
      <c r="AC31" s="47"/>
    </row>
    <row r="32" spans="2:37" x14ac:dyDescent="0.2">
      <c r="B32" s="3" t="s">
        <v>38</v>
      </c>
      <c r="C32" s="59">
        <f>SUM(C30:C31)</f>
        <v>23058.514117647061</v>
      </c>
      <c r="D32" s="28">
        <f t="shared" si="13"/>
        <v>8.7415158659125539E-2</v>
      </c>
      <c r="E32" s="59">
        <f>SUM(E30:E31)</f>
        <v>20242.747645857242</v>
      </c>
      <c r="F32" s="28">
        <f>+E32/$E$20</f>
        <v>0.10089355791940414</v>
      </c>
      <c r="G32" s="28">
        <f>IF(C32=0,"",(E32-C32)/ABS(C32)+1)</f>
        <v>0.87788603994934489</v>
      </c>
      <c r="H32" s="59">
        <f>SUM(H30:H31)</f>
        <v>16655.547845262543</v>
      </c>
      <c r="I32" s="28">
        <f t="shared" si="16"/>
        <v>7.5717765699821499E-2</v>
      </c>
      <c r="J32" s="28">
        <f>IF(H32=0,"",(E32-H32)/ABS(H32))</f>
        <v>0.21537567145322284</v>
      </c>
      <c r="K32" s="59">
        <f>SUM(K30:K31)</f>
        <v>199545.62705882353</v>
      </c>
      <c r="L32" s="28">
        <f t="shared" si="5"/>
        <v>8.6037568731827357E-2</v>
      </c>
      <c r="M32" s="59">
        <f>SUM(M30:M31)</f>
        <v>171403.81041133625</v>
      </c>
      <c r="N32" s="28">
        <f>+M32/$M$20</f>
        <v>9.8384790815930351E-2</v>
      </c>
      <c r="O32" s="28">
        <f>IF(K32=0,"",(M32-K32)/ABS(K32)+1)</f>
        <v>0.85897051685732295</v>
      </c>
      <c r="P32" s="59">
        <f>SUM(P30:P31)</f>
        <v>154750.6363309084</v>
      </c>
      <c r="Q32" s="28">
        <f t="shared" si="8"/>
        <v>8.2892417693586851E-2</v>
      </c>
      <c r="R32" s="28">
        <f>IF(P32=0,"",(M32-P32)/ABS(P32))</f>
        <v>0.10761296027770652</v>
      </c>
      <c r="W32" s="47"/>
      <c r="X32" s="47"/>
      <c r="Y32" s="47"/>
      <c r="Z32" s="47"/>
      <c r="AA32" s="47"/>
      <c r="AB32" s="47"/>
      <c r="AC32" s="47"/>
    </row>
    <row r="33" spans="2:29" x14ac:dyDescent="0.2">
      <c r="B33" s="3"/>
      <c r="C33" s="59"/>
      <c r="D33" s="28"/>
      <c r="E33" s="59"/>
      <c r="F33" s="28"/>
      <c r="G33" s="28"/>
      <c r="H33" s="59"/>
      <c r="I33" s="28"/>
      <c r="J33" s="28"/>
      <c r="K33" s="59"/>
      <c r="L33" s="28"/>
      <c r="M33" s="59"/>
      <c r="N33" s="28"/>
      <c r="O33" s="28"/>
      <c r="P33" s="59"/>
      <c r="Q33" s="28"/>
      <c r="R33" s="28"/>
      <c r="W33" s="47"/>
      <c r="X33" s="47"/>
      <c r="Y33" s="47"/>
      <c r="Z33" s="47"/>
      <c r="AA33" s="47"/>
      <c r="AB33" s="47"/>
      <c r="AC33" s="47"/>
    </row>
    <row r="34" spans="2:29" x14ac:dyDescent="0.2">
      <c r="B34" s="3" t="s">
        <v>39</v>
      </c>
      <c r="C34" s="59">
        <f>C28+C32</f>
        <v>169237.61705882353</v>
      </c>
      <c r="D34" s="28">
        <f t="shared" si="13"/>
        <v>0.6415822403303667</v>
      </c>
      <c r="E34" s="59">
        <f>E28+E32</f>
        <v>128568.08395557001</v>
      </c>
      <c r="F34" s="28">
        <f>+E34/$E$20</f>
        <v>0.64080685350107724</v>
      </c>
      <c r="G34" s="28">
        <f>IF(C34=0,"",(E34-C34)/ABS(C34)+1)</f>
        <v>0.75968975568169561</v>
      </c>
      <c r="H34" s="59">
        <f>H28+H32</f>
        <v>139627.28203951495</v>
      </c>
      <c r="I34" s="28">
        <f t="shared" si="16"/>
        <v>0.63475941620125287</v>
      </c>
      <c r="J34" s="28">
        <f>IF(H34=0,"",(E34-H34)/ABS(H34))</f>
        <v>-7.9205137580599411E-2</v>
      </c>
      <c r="K34" s="59">
        <f>K28+K32</f>
        <v>1493308.8900000001</v>
      </c>
      <c r="L34" s="28">
        <f t="shared" si="5"/>
        <v>0.64386610799218047</v>
      </c>
      <c r="M34" s="59">
        <f>M28+M32</f>
        <v>1139600.8687522286</v>
      </c>
      <c r="N34" s="28">
        <f>+M34/$M$20</f>
        <v>0.65412427423156749</v>
      </c>
      <c r="O34" s="28">
        <f>IF(K34=0,"",(M34-K34)/ABS(K34)+1)</f>
        <v>0.76313807302937064</v>
      </c>
      <c r="P34" s="59">
        <f>P28+P32</f>
        <v>1244214.7265258497</v>
      </c>
      <c r="Q34" s="28">
        <f t="shared" si="8"/>
        <v>0.66646554261110513</v>
      </c>
      <c r="R34" s="28">
        <f>IF(P34=0,"",(M34-P34)/ABS(P34))</f>
        <v>-8.4080227908673325E-2</v>
      </c>
      <c r="W34" s="47"/>
      <c r="X34" s="47"/>
      <c r="Y34" s="47"/>
      <c r="Z34" s="47"/>
      <c r="AA34" s="47"/>
      <c r="AB34" s="47"/>
      <c r="AC34" s="47"/>
    </row>
    <row r="35" spans="2:29" x14ac:dyDescent="0.2">
      <c r="B35" s="3"/>
      <c r="C35" s="59"/>
      <c r="D35" s="28"/>
      <c r="E35" s="59"/>
      <c r="F35" s="28"/>
      <c r="G35" s="28"/>
      <c r="H35" s="59"/>
      <c r="I35" s="28"/>
      <c r="J35" s="28"/>
      <c r="K35" s="59"/>
      <c r="L35" s="28"/>
      <c r="M35" s="59"/>
      <c r="N35" s="28"/>
      <c r="O35" s="28"/>
      <c r="P35" s="59"/>
      <c r="Q35" s="28"/>
      <c r="R35" s="28"/>
      <c r="W35" s="47"/>
      <c r="X35" s="47"/>
      <c r="Y35" s="47"/>
      <c r="Z35" s="47"/>
      <c r="AA35" s="47"/>
      <c r="AB35" s="47"/>
      <c r="AC35" s="47"/>
    </row>
    <row r="36" spans="2:29" x14ac:dyDescent="0.2">
      <c r="B36" s="17" t="s">
        <v>40</v>
      </c>
      <c r="C36" s="63">
        <f>C24-C34</f>
        <v>67672.193529411743</v>
      </c>
      <c r="D36" s="36">
        <f t="shared" si="13"/>
        <v>0.25654625896545907</v>
      </c>
      <c r="E36" s="63">
        <f>E24-E34</f>
        <v>43175.841930613649</v>
      </c>
      <c r="F36" s="36">
        <f>+E36/$E$20</f>
        <v>0.21519629571813156</v>
      </c>
      <c r="G36" s="36">
        <f>IF(C36=0,"",(E36-C36)/ABS(C36)+1)</f>
        <v>0.63801451791049946</v>
      </c>
      <c r="H36" s="63">
        <f>H24-H34</f>
        <v>66270.322995115974</v>
      </c>
      <c r="I36" s="36">
        <f t="shared" si="16"/>
        <v>0.30127143436010989</v>
      </c>
      <c r="J36" s="36">
        <f>IF(H36=0,"",(E36-H36)/ABS(H36))</f>
        <v>-0.34848903733582759</v>
      </c>
      <c r="K36" s="63">
        <f>K24-K34</f>
        <v>626361.3552941177</v>
      </c>
      <c r="L36" s="36">
        <f t="shared" si="5"/>
        <v>0.27006659555206347</v>
      </c>
      <c r="M36" s="63">
        <f>+M24-M34</f>
        <v>440646.42447722703</v>
      </c>
      <c r="N36" s="36">
        <f>+M36/$M$20</f>
        <v>0.25292848619841635</v>
      </c>
      <c r="O36" s="36">
        <f>IF(K36=0,"",(M36-K36)/ABS(K36)+1)</f>
        <v>0.70350193343316114</v>
      </c>
      <c r="P36" s="63">
        <f>P24-P34</f>
        <v>519362.79134675767</v>
      </c>
      <c r="Q36" s="36">
        <f t="shared" si="8"/>
        <v>0.27819748245018355</v>
      </c>
      <c r="R36" s="36">
        <f>IF(P36=0,"",(M36-P36)/ABS(P36))</f>
        <v>-0.15156335452027961</v>
      </c>
      <c r="W36" s="47"/>
      <c r="X36" s="47"/>
      <c r="Y36" s="47"/>
      <c r="Z36" s="47"/>
      <c r="AA36" s="47"/>
      <c r="AB36" s="47"/>
      <c r="AC36" s="47"/>
    </row>
    <row r="37" spans="2:29" x14ac:dyDescent="0.2">
      <c r="B37" s="3"/>
      <c r="C37" s="59"/>
      <c r="D37" s="28"/>
      <c r="E37" s="59"/>
      <c r="F37" s="28"/>
      <c r="G37" s="28"/>
      <c r="H37" s="59"/>
      <c r="I37" s="28"/>
      <c r="J37" s="28"/>
      <c r="K37" s="59"/>
      <c r="L37" s="28"/>
      <c r="M37" s="59"/>
      <c r="N37" s="28"/>
      <c r="O37" s="28"/>
      <c r="P37" s="59"/>
      <c r="Q37" s="28"/>
      <c r="R37" s="28"/>
      <c r="W37" s="47"/>
      <c r="X37" s="47"/>
      <c r="Y37" s="47"/>
      <c r="Z37" s="47"/>
      <c r="AA37" s="47"/>
      <c r="AB37" s="47"/>
      <c r="AC37" s="47"/>
    </row>
    <row r="38" spans="2:29" x14ac:dyDescent="0.2">
      <c r="B38" s="3" t="s">
        <v>41</v>
      </c>
      <c r="C38" s="59">
        <f>+'COLOMBIA USD'!C38+'EL SALVADOR USD'!C38+'VENEZUELA USD'!C38+'PANAMA USD'!C38</f>
        <v>188.99529411764703</v>
      </c>
      <c r="D38" s="28">
        <f t="shared" si="13"/>
        <v>7.1648387822519652E-4</v>
      </c>
      <c r="E38" s="59">
        <f>+'COLOMBIA USD'!E38+'EL SALVADOR USD'!E38+'VENEZUELA USD'!E38+'PANAMA USD'!E38</f>
        <v>368.15184672787495</v>
      </c>
      <c r="F38" s="28">
        <f>+E38/$E$20</f>
        <v>1.83493616186912E-3</v>
      </c>
      <c r="G38" s="28">
        <f>IF(C38=0,"",(E38-C38)/ABS(C38)+1)</f>
        <v>1.9479418704399347</v>
      </c>
      <c r="H38" s="59">
        <f>+'COLOMBIA USD'!H38+'EL SALVADOR USD'!H38+'VENEZUELA USD'!H38+'PANAMA USD'!H38</f>
        <v>621.56515015594528</v>
      </c>
      <c r="I38" s="28">
        <f t="shared" si="16"/>
        <v>2.8256965693307322E-3</v>
      </c>
      <c r="J38" s="28">
        <f>IF(H38=0,"",(E38-H38)/ABS(H38))</f>
        <v>-0.40770191727205285</v>
      </c>
      <c r="K38" s="59">
        <f>+'COLOMBIA USD'!K38+'EL SALVADOR USD'!K38+'VENEZUELA USD'!K38+'PANAMA USD'!K38</f>
        <v>1700.9576470588233</v>
      </c>
      <c r="L38" s="28">
        <f t="shared" si="5"/>
        <v>7.3339748219894505E-4</v>
      </c>
      <c r="M38" s="59">
        <f>+'COLOMBIA USD'!M38+'EL SALVADOR USD'!M38+'VENEZUELA USD'!M38+'PANAMA USD'!M38</f>
        <v>3909.2178540931636</v>
      </c>
      <c r="N38" s="28">
        <f>+M38/$M$20</f>
        <v>2.2438683241981124E-3</v>
      </c>
      <c r="O38" s="28">
        <f>IF(K38=0,"",(M38-K38)/ABS(K38)+1)</f>
        <v>2.298245262515918</v>
      </c>
      <c r="P38" s="59">
        <f>+'COLOMBIA USD'!P38+'EL SALVADOR USD'!P38+'VENEZUELA USD'!P38+'PANAMA USD'!P38</f>
        <v>53780.161278646461</v>
      </c>
      <c r="Q38" s="28">
        <f t="shared" si="8"/>
        <v>2.8807426567251129E-2</v>
      </c>
      <c r="R38" s="28">
        <f>IF(P38=0,"",(M38-P38)/ABS(P38))</f>
        <v>-0.92731115412914678</v>
      </c>
      <c r="W38" s="47"/>
      <c r="X38" s="47"/>
      <c r="Y38" s="47"/>
      <c r="Z38" s="47"/>
      <c r="AA38" s="47"/>
      <c r="AB38" s="47"/>
      <c r="AC38" s="47"/>
    </row>
    <row r="39" spans="2:29" x14ac:dyDescent="0.2">
      <c r="B39" s="3" t="s">
        <v>42</v>
      </c>
      <c r="C39" s="59">
        <f>+'COLOMBIA USD'!C39+'EL SALVADOR USD'!C39+'VENEZUELA USD'!C39+'PANAMA USD'!C39</f>
        <v>4282.4317647058833</v>
      </c>
      <c r="D39" s="28">
        <f t="shared" si="13"/>
        <v>1.6234760412083448E-2</v>
      </c>
      <c r="E39" s="59">
        <f>+'COLOMBIA USD'!E39+'EL SALVADOR USD'!E39+'VENEZUELA USD'!E39+'PANAMA USD'!E39</f>
        <v>4591.8650695166443</v>
      </c>
      <c r="F39" s="28">
        <f>+E39/$E$20</f>
        <v>2.2886695643028497E-2</v>
      </c>
      <c r="G39" s="28">
        <f>IF(C39=0,"",(E39-C39)/ABS(C39)+1)</f>
        <v>1.072256447227248</v>
      </c>
      <c r="H39" s="59">
        <f>+'COLOMBIA USD'!H39+'EL SALVADOR USD'!H39+'VENEZUELA USD'!H39+'PANAMA USD'!H39</f>
        <v>6431.1306720708981</v>
      </c>
      <c r="I39" s="28">
        <f t="shared" si="16"/>
        <v>2.9236555286970448E-2</v>
      </c>
      <c r="J39" s="28">
        <f>IF(H39=0,"",(E39-H39)/ABS(H39))</f>
        <v>-0.285994127057908</v>
      </c>
      <c r="K39" s="59">
        <f>+'COLOMBIA USD'!K39+'EL SALVADOR USD'!K39+'VENEZUELA USD'!K39+'PANAMA USD'!K39</f>
        <v>40432.474117647063</v>
      </c>
      <c r="L39" s="28">
        <f t="shared" si="5"/>
        <v>1.7433164645945409E-2</v>
      </c>
      <c r="M39" s="59">
        <f>+'COLOMBIA USD'!M39+'EL SALVADOR USD'!M39+'VENEZUELA USD'!M39+'PANAMA USD'!M39</f>
        <v>37920.296976161117</v>
      </c>
      <c r="N39" s="28">
        <f>+M39/$M$20</f>
        <v>2.1766030035880828E-2</v>
      </c>
      <c r="O39" s="28">
        <f>IF(K39=0,"",(M39-K39)/ABS(K39)+1)</f>
        <v>0.9378673406387098</v>
      </c>
      <c r="P39" s="59">
        <f>+'COLOMBIA USD'!P39+'EL SALVADOR USD'!P39+'VENEZUELA USD'!P39+'PANAMA USD'!P39</f>
        <v>67081.711152856878</v>
      </c>
      <c r="Q39" s="28">
        <f t="shared" si="8"/>
        <v>3.593242233003046E-2</v>
      </c>
      <c r="R39" s="28">
        <f>IF(P39=0,"",(M39-P39)/ABS(P39))</f>
        <v>-0.4347148227964342</v>
      </c>
      <c r="W39" s="47"/>
      <c r="X39" s="47"/>
      <c r="Y39" s="47"/>
      <c r="Z39" s="47"/>
      <c r="AA39" s="47"/>
      <c r="AB39" s="47"/>
      <c r="AC39" s="47"/>
    </row>
    <row r="40" spans="2:29" x14ac:dyDescent="0.2">
      <c r="B40" s="3"/>
      <c r="C40" s="59"/>
      <c r="D40" s="28"/>
      <c r="E40" s="59"/>
      <c r="F40" s="28"/>
      <c r="G40" s="28"/>
      <c r="H40" s="59"/>
      <c r="I40" s="28"/>
      <c r="J40" s="28"/>
      <c r="K40" s="59"/>
      <c r="L40" s="28"/>
      <c r="M40" s="59"/>
      <c r="N40" s="28"/>
      <c r="O40" s="28"/>
      <c r="P40" s="59"/>
      <c r="Q40" s="28"/>
      <c r="R40" s="28"/>
    </row>
    <row r="41" spans="2:29" x14ac:dyDescent="0.2">
      <c r="B41" s="3" t="s">
        <v>43</v>
      </c>
      <c r="C41" s="59">
        <f>C36+C38-C39</f>
        <v>63578.757058823503</v>
      </c>
      <c r="D41" s="28">
        <f t="shared" si="13"/>
        <v>0.24102798243160078</v>
      </c>
      <c r="E41" s="59">
        <f>E36+E38-E39</f>
        <v>38952.128707824879</v>
      </c>
      <c r="F41" s="28">
        <f>+E41/$E$20</f>
        <v>0.19414453623697217</v>
      </c>
      <c r="G41" s="28">
        <f>IF(C41=0,"",(E41-C41)/ABS(C41)+1)</f>
        <v>0.61265948737856113</v>
      </c>
      <c r="H41" s="59">
        <f>H36+H38-H39</f>
        <v>60460.757473201025</v>
      </c>
      <c r="I41" s="28">
        <f t="shared" si="16"/>
        <v>0.27486057564247024</v>
      </c>
      <c r="J41" s="28">
        <f>IF(H41=0,"",(E41-H41)/ABS(H41))</f>
        <v>-0.3557452745263695</v>
      </c>
      <c r="K41" s="59">
        <f>K36+K38-K39</f>
        <v>587629.83882352954</v>
      </c>
      <c r="L41" s="28">
        <f t="shared" si="5"/>
        <v>0.25336682838831703</v>
      </c>
      <c r="M41" s="59">
        <f>+'COLOMBIA USD'!M41+'EL SALVADOR USD'!M41+'VENEZUELA USD'!M41+'PANAMA USD'!M41</f>
        <v>70800.01735492899</v>
      </c>
      <c r="N41" s="28">
        <f>+M41/$M$20</f>
        <v>4.0638798405430526E-2</v>
      </c>
      <c r="O41" s="28">
        <f>IF(K41=0,"",(M41-K41)/ABS(K41)+1)</f>
        <v>0.12048404059377738</v>
      </c>
      <c r="P41" s="59">
        <f>+'COLOMBIA USD'!P41+'EL SALVADOR USD'!P41+'VENEZUELA USD'!P41+'PANAMA USD'!P41</f>
        <v>-56873.473624931583</v>
      </c>
      <c r="Q41" s="28">
        <f t="shared" si="8"/>
        <v>-3.0464364109767599E-2</v>
      </c>
      <c r="R41" s="28">
        <f>IF(P41=0,"",(M41-P41)/ABS(P41))</f>
        <v>2.244868878975812</v>
      </c>
    </row>
    <row r="42" spans="2:29" x14ac:dyDescent="0.2">
      <c r="B42" s="3" t="s">
        <v>29</v>
      </c>
      <c r="C42" s="59">
        <f>+'COLOMBIA USD'!C42+'EL SALVADOR USD'!C42+'VENEZUELA USD'!C42+'PANAMA USD'!C42</f>
        <v>9378.5282352941176</v>
      </c>
      <c r="D42" s="28">
        <f t="shared" si="13"/>
        <v>3.5554135426701147E-2</v>
      </c>
      <c r="E42" s="59">
        <f>+'COLOMBIA USD'!E42+'EL SALVADOR USD'!E42+'VENEZUELA USD'!E42+'PANAMA USD'!E42</f>
        <v>3644.7287388764958</v>
      </c>
      <c r="F42" s="28">
        <f>+E42/$E$20</f>
        <v>1.8165994881214155E-2</v>
      </c>
      <c r="G42" s="28">
        <f>IF(C42=0,"",(E42-C42)/ABS(C42)+1)</f>
        <v>0.38862480843852731</v>
      </c>
      <c r="H42" s="59">
        <f>+'COLOMBIA USD'!H42+'EL SALVADOR USD'!H42+'VENEZUELA USD'!H42+'PANAMA USD'!H42</f>
        <v>6135.9074584580721</v>
      </c>
      <c r="I42" s="28">
        <f t="shared" si="16"/>
        <v>2.7894441396442222E-2</v>
      </c>
      <c r="J42" s="28">
        <f>IF(H42=0,"",(E42-H42)/ABS(H42))</f>
        <v>-0.40600004749869534</v>
      </c>
      <c r="K42" s="59">
        <f>+'COLOMBIA USD'!K42+'EL SALVADOR USD'!K42+'VENEZUELA USD'!K42+'PANAMA USD'!K42</f>
        <v>85962.454705882352</v>
      </c>
      <c r="L42" s="28">
        <f t="shared" si="5"/>
        <v>3.7064207891329547E-2</v>
      </c>
      <c r="M42" s="59">
        <f>+'COLOMBIA USD'!M42+'EL SALVADOR USD'!M42+'VENEZUELA USD'!M42+'PANAMA USD'!M42</f>
        <v>62341.147281860169</v>
      </c>
      <c r="N42" s="28">
        <f>+M42/$M$20</f>
        <v>3.57834561543987E-2</v>
      </c>
      <c r="O42" s="28">
        <f>IF(K42=0,"",(M42-K42)/ABS(K42)+1)</f>
        <v>0.72521367026056094</v>
      </c>
      <c r="P42" s="59">
        <f>+'COLOMBIA USD'!P42+'EL SALVADOR USD'!P42+'VENEZUELA USD'!P42+'PANAMA USD'!P42</f>
        <v>70189.141463156833</v>
      </c>
      <c r="Q42" s="28">
        <f t="shared" si="8"/>
        <v>3.7596922181806831E-2</v>
      </c>
      <c r="R42" s="28">
        <f>IF(P42=0,"",(M42-P42)/ABS(P42))</f>
        <v>-0.11181208400185627</v>
      </c>
    </row>
    <row r="43" spans="2:29" x14ac:dyDescent="0.2">
      <c r="B43" s="17" t="s">
        <v>44</v>
      </c>
      <c r="C43" s="63">
        <f>+C41-C42</f>
        <v>54200.228823529382</v>
      </c>
      <c r="D43" s="36">
        <f t="shared" si="13"/>
        <v>0.20547384700489962</v>
      </c>
      <c r="E43" s="63">
        <f>E41-E42</f>
        <v>35307.399968948383</v>
      </c>
      <c r="F43" s="36">
        <f>+E43/$E$20</f>
        <v>0.17597854135575802</v>
      </c>
      <c r="G43" s="36">
        <f>IF(C43=0,"",(E43-C43)/ABS(C43)+1)</f>
        <v>0.65142529349656075</v>
      </c>
      <c r="H43" s="63">
        <f>+H41-H42</f>
        <v>54324.850014742951</v>
      </c>
      <c r="I43" s="36">
        <f t="shared" si="16"/>
        <v>0.24696613424602798</v>
      </c>
      <c r="J43" s="36">
        <f>IF(H43=0,"",(E43-H43)/ABS(H43))</f>
        <v>-0.35006907595020542</v>
      </c>
      <c r="K43" s="63">
        <f>+K41-K42</f>
        <v>501667.38411764719</v>
      </c>
      <c r="L43" s="36">
        <f t="shared" si="5"/>
        <v>0.21630262049698751</v>
      </c>
      <c r="M43" s="63">
        <f>+M41-M42</f>
        <v>8458.8700730688215</v>
      </c>
      <c r="N43" s="36">
        <f>+M43/$M$20</f>
        <v>4.855342251031825E-3</v>
      </c>
      <c r="O43" s="36">
        <f>IF(K43=0,"",(M43-K43)/ABS(K43)+1)</f>
        <v>1.6861510915138767E-2</v>
      </c>
      <c r="P43" s="63">
        <f>P41-P42</f>
        <v>-127062.61508808841</v>
      </c>
      <c r="Q43" s="36">
        <f t="shared" si="8"/>
        <v>-6.806128629157443E-2</v>
      </c>
      <c r="R43" s="36">
        <f>IF(P43=0,"",(M43-P43)/ABS(P43))</f>
        <v>1.0665724538032257</v>
      </c>
    </row>
    <row r="44" spans="2:29" x14ac:dyDescent="0.2">
      <c r="B44" s="3"/>
      <c r="C44" s="59"/>
      <c r="D44" s="28"/>
      <c r="E44" s="59"/>
      <c r="F44" s="28"/>
      <c r="G44" s="28"/>
      <c r="H44" s="59"/>
      <c r="I44" s="28"/>
      <c r="J44" s="28"/>
      <c r="K44" s="59"/>
      <c r="L44" s="28"/>
      <c r="M44" s="59"/>
      <c r="N44" s="28"/>
      <c r="O44" s="28"/>
      <c r="P44" s="59"/>
      <c r="Q44" s="28"/>
      <c r="R44" s="28"/>
    </row>
    <row r="45" spans="2:29" x14ac:dyDescent="0.2">
      <c r="B45" s="3" t="s">
        <v>73</v>
      </c>
      <c r="C45" s="59">
        <f>+'COLOMBIA USD'!C45+'EL SALVADOR USD'!C45+'VENEZUELA USD'!C45+'PANAMA USD'!C45</f>
        <v>42848.032352941176</v>
      </c>
      <c r="D45" s="28">
        <f t="shared" si="13"/>
        <v>0.16243750691191122</v>
      </c>
      <c r="E45" s="59">
        <f>+'COLOMBIA USD'!E45+'EL SALVADOR USD'!E45+'VENEZUELA USD'!E45+'PANAMA USD'!E45</f>
        <v>26494.117396922818</v>
      </c>
      <c r="F45" s="28">
        <f>+E45/$E$20</f>
        <v>0.13205152852147437</v>
      </c>
      <c r="G45" s="28">
        <f>IF(C45=0,"",(E45-C45)/ABS(C45)+1)</f>
        <v>0.6183275156882253</v>
      </c>
      <c r="H45" s="59">
        <f>+'COLOMBIA USD'!H45+'EL SALVADOR USD'!H45+'VENEZUELA USD'!H45+'PANAMA USD'!H45</f>
        <v>23108.271110740538</v>
      </c>
      <c r="I45" s="28">
        <f t="shared" si="16"/>
        <v>0.10505248304928544</v>
      </c>
      <c r="J45" s="28">
        <f>IF(H45=0,"",(E45-H45)/ABS(H45))</f>
        <v>0.14652096948129395</v>
      </c>
      <c r="K45" s="59">
        <f>+'COLOMBIA USD'!K45+'EL SALVADOR USD'!K45+'VENEZUELA USD'!K45+'PANAMA USD'!K45</f>
        <v>391521.55176470586</v>
      </c>
      <c r="L45" s="28">
        <f t="shared" si="5"/>
        <v>0.16881132859913542</v>
      </c>
      <c r="M45" s="59">
        <f>+'COLOMBIA USD'!M45+'EL SALVADOR USD'!M45+'VENEZUELA USD'!M45+'PANAMA USD'!M45</f>
        <v>296433.27998836152</v>
      </c>
      <c r="N45" s="28">
        <f>+M45/$M$20</f>
        <v>0.17015097956425704</v>
      </c>
      <c r="O45" s="28">
        <f>IF(K45=0,"",(M45-K45)/ABS(K45)+1)</f>
        <v>0.75713144947512401</v>
      </c>
      <c r="P45" s="59">
        <f>+'COLOMBIA USD'!P45+'EL SALVADOR USD'!P45+'VENEZUELA USD'!P45+'PANAMA USD'!P45</f>
        <v>312464.53015709476</v>
      </c>
      <c r="Q45" s="28">
        <f t="shared" si="8"/>
        <v>0.16737210884760065</v>
      </c>
      <c r="R45" s="28">
        <f>IF(P45=0,"",(M45-P45)/ABS(P45))</f>
        <v>-5.1305823930394158E-2</v>
      </c>
    </row>
    <row r="46" spans="2:29" x14ac:dyDescent="0.2">
      <c r="B46" s="3" t="s">
        <v>20</v>
      </c>
      <c r="C46" s="59">
        <f>+'COLOMBIA USD'!C46+'EL SALVADOR USD'!C46+'VENEZUELA USD'!C46+'PANAMA USD'!C46</f>
        <v>120280.12529411765</v>
      </c>
      <c r="D46" s="28">
        <f t="shared" si="13"/>
        <v>0.45598368491914326</v>
      </c>
      <c r="E46" s="59">
        <f>+'COLOMBIA USD'!E46+'EL SALVADOR USD'!E46+'VENEZUELA USD'!E46+'PANAMA USD'!E46</f>
        <v>88532.701474733884</v>
      </c>
      <c r="F46" s="28">
        <f>+E46/$E$20</f>
        <v>0.44126318226520139</v>
      </c>
      <c r="G46" s="28">
        <f>IF(C46=0,"",(E46-C46)/ABS(C46)+1)</f>
        <v>0.73605428376672644</v>
      </c>
      <c r="H46" s="59">
        <f>+'COLOMBIA USD'!H46+'EL SALVADOR USD'!H46+'VENEZUELA USD'!H46+'PANAMA USD'!H46</f>
        <v>86704.623401499179</v>
      </c>
      <c r="I46" s="28">
        <f t="shared" si="16"/>
        <v>0.39416778245894374</v>
      </c>
      <c r="J46" s="28">
        <f>IF(H46=0,"",(E46-H46)/ABS(H46))</f>
        <v>2.1083974550809202E-2</v>
      </c>
      <c r="K46" s="59">
        <f>+'COLOMBIA USD'!K46+'EL SALVADOR USD'!K46+'VENEZUELA USD'!K46+'PANAMA USD'!K46</f>
        <v>1020269.0688235294</v>
      </c>
      <c r="L46" s="28">
        <f t="shared" si="5"/>
        <v>0.43990675930966427</v>
      </c>
      <c r="M46" s="59">
        <f>+'COLOMBIA USD'!M46+'EL SALVADOR USD'!M46+'VENEZUELA USD'!M46+'PANAMA USD'!M46</f>
        <v>751614.15015382017</v>
      </c>
      <c r="N46" s="28">
        <f>+M46/$M$20</f>
        <v>0.43142215309984822</v>
      </c>
      <c r="O46" s="28">
        <f>IF(K46=0,"",(M46-K46)/ABS(K46)+1)</f>
        <v>0.73668228619388132</v>
      </c>
      <c r="P46" s="59">
        <f>+'COLOMBIA USD'!P46+'EL SALVADOR USD'!P46+'VENEZUELA USD'!P46+'PANAMA USD'!P46</f>
        <v>799865.29367198946</v>
      </c>
      <c r="Q46" s="28">
        <f t="shared" si="8"/>
        <v>0.42844908165601764</v>
      </c>
      <c r="R46" s="28">
        <f>IF(P46=0,"",(M46-P46)/ABS(P46))</f>
        <v>-6.0324086943014971E-2</v>
      </c>
    </row>
  </sheetData>
  <conditionalFormatting sqref="D9:D46 J10:J46 G10:G46">
    <cfRule type="cellIs" dxfId="57" priority="2" operator="lessThan">
      <formula>0</formula>
    </cfRule>
  </conditionalFormatting>
  <conditionalFormatting sqref="R10:R46">
    <cfRule type="cellIs" dxfId="56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3E846-715F-4168-9D3C-88095565E41B}">
  <dimension ref="A6:V595"/>
  <sheetViews>
    <sheetView topLeftCell="A124" workbookViewId="0">
      <selection activeCell="A35" sqref="A35"/>
    </sheetView>
  </sheetViews>
  <sheetFormatPr baseColWidth="10" defaultRowHeight="12" x14ac:dyDescent="0.2"/>
  <cols>
    <col min="1" max="1" width="40.85546875" style="108" customWidth="1"/>
    <col min="2" max="2" width="44.42578125" style="108" customWidth="1"/>
    <col min="3" max="3" width="29.140625" style="108" customWidth="1"/>
    <col min="4" max="4" width="8" style="108" customWidth="1"/>
    <col min="5" max="5" width="22.85546875" style="108" bestFit="1" customWidth="1"/>
    <col min="6" max="6" width="37.42578125" style="108" bestFit="1" customWidth="1"/>
    <col min="7" max="7" width="13.85546875" style="110" bestFit="1" customWidth="1"/>
    <col min="8" max="18" width="30.5703125" style="110" bestFit="1" customWidth="1"/>
    <col min="19" max="19" width="14.140625" style="110" bestFit="1" customWidth="1"/>
    <col min="20" max="22" width="11.42578125" style="110"/>
    <col min="23" max="16384" width="11.42578125" style="108"/>
  </cols>
  <sheetData>
    <row r="6" spans="1:2" x14ac:dyDescent="0.2">
      <c r="A6" s="106" t="s">
        <v>151</v>
      </c>
      <c r="B6" s="107" t="s">
        <v>152</v>
      </c>
    </row>
    <row r="7" spans="1:2" x14ac:dyDescent="0.2">
      <c r="A7" s="106" t="s">
        <v>56</v>
      </c>
      <c r="B7" s="107" t="s">
        <v>153</v>
      </c>
    </row>
    <row r="8" spans="1:2" x14ac:dyDescent="0.2">
      <c r="A8" s="106" t="s">
        <v>58</v>
      </c>
      <c r="B8" s="107" t="s">
        <v>154</v>
      </c>
    </row>
    <row r="9" spans="1:2" x14ac:dyDescent="0.2">
      <c r="A9" s="106" t="s">
        <v>67</v>
      </c>
      <c r="B9" s="107" t="s">
        <v>155</v>
      </c>
    </row>
    <row r="10" spans="1:2" x14ac:dyDescent="0.2">
      <c r="A10" s="106" t="s">
        <v>156</v>
      </c>
      <c r="B10" s="107" t="s">
        <v>157</v>
      </c>
    </row>
    <row r="11" spans="1:2" x14ac:dyDescent="0.2">
      <c r="A11" s="106" t="s">
        <v>158</v>
      </c>
      <c r="B11" s="107" t="s">
        <v>159</v>
      </c>
    </row>
    <row r="12" spans="1:2" x14ac:dyDescent="0.2">
      <c r="A12" s="106" t="s">
        <v>69</v>
      </c>
      <c r="B12" s="107" t="s">
        <v>160</v>
      </c>
    </row>
    <row r="13" spans="1:2" x14ac:dyDescent="0.2">
      <c r="A13" s="106" t="s">
        <v>161</v>
      </c>
      <c r="B13" s="107" t="s">
        <v>162</v>
      </c>
    </row>
    <row r="14" spans="1:2" x14ac:dyDescent="0.2">
      <c r="A14" s="106" t="s">
        <v>63</v>
      </c>
      <c r="B14" s="107" t="s">
        <v>163</v>
      </c>
    </row>
    <row r="15" spans="1:2" x14ac:dyDescent="0.2">
      <c r="A15" s="106" t="s">
        <v>164</v>
      </c>
      <c r="B15" s="107" t="s">
        <v>165</v>
      </c>
    </row>
    <row r="16" spans="1:2" x14ac:dyDescent="0.2">
      <c r="A16" s="106" t="s">
        <v>166</v>
      </c>
      <c r="B16" s="107" t="s">
        <v>167</v>
      </c>
    </row>
    <row r="33" spans="1:19" x14ac:dyDescent="0.2">
      <c r="B33" s="109" t="s">
        <v>168</v>
      </c>
      <c r="D33" s="108" t="s">
        <v>169</v>
      </c>
    </row>
    <row r="34" spans="1:19" x14ac:dyDescent="0.2">
      <c r="A34" s="108" t="s">
        <v>170</v>
      </c>
      <c r="B34" s="109" t="s">
        <v>171</v>
      </c>
    </row>
    <row r="35" spans="1:19" x14ac:dyDescent="0.2">
      <c r="A35" s="108" t="s">
        <v>172</v>
      </c>
      <c r="B35" s="109" t="s">
        <v>173</v>
      </c>
    </row>
    <row r="36" spans="1:19" x14ac:dyDescent="0.2">
      <c r="A36" s="108" t="s">
        <v>174</v>
      </c>
      <c r="B36" s="109" t="s">
        <v>175</v>
      </c>
    </row>
    <row r="37" spans="1:19" x14ac:dyDescent="0.2">
      <c r="A37" s="108" t="s">
        <v>176</v>
      </c>
      <c r="B37" s="109" t="s">
        <v>177</v>
      </c>
    </row>
    <row r="38" spans="1:19" x14ac:dyDescent="0.2">
      <c r="B38" s="109"/>
    </row>
    <row r="39" spans="1:19" x14ac:dyDescent="0.2">
      <c r="B39" s="109"/>
    </row>
    <row r="40" spans="1:19" x14ac:dyDescent="0.2">
      <c r="B40" s="109"/>
    </row>
    <row r="41" spans="1:19" x14ac:dyDescent="0.2">
      <c r="B41" s="109" t="s">
        <v>178</v>
      </c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</row>
    <row r="42" spans="1:19" x14ac:dyDescent="0.2">
      <c r="A42" s="111"/>
      <c r="B42" s="108" t="s">
        <v>179</v>
      </c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</row>
    <row r="43" spans="1:19" x14ac:dyDescent="0.2">
      <c r="A43" s="111" t="s">
        <v>180</v>
      </c>
      <c r="B43" s="107" t="s">
        <v>181</v>
      </c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</row>
    <row r="44" spans="1:19" x14ac:dyDescent="0.2">
      <c r="A44" s="108" t="s">
        <v>182</v>
      </c>
      <c r="B44" s="107" t="s">
        <v>183</v>
      </c>
      <c r="G44" s="108"/>
    </row>
    <row r="45" spans="1:19" x14ac:dyDescent="0.2">
      <c r="A45" s="111" t="s">
        <v>184</v>
      </c>
      <c r="B45" s="107" t="s">
        <v>185</v>
      </c>
      <c r="G45" s="108"/>
    </row>
    <row r="46" spans="1:19" x14ac:dyDescent="0.2">
      <c r="A46" s="106">
        <v>5295400000</v>
      </c>
      <c r="B46" s="107" t="s">
        <v>186</v>
      </c>
      <c r="G46" s="108"/>
    </row>
    <row r="47" spans="1:19" x14ac:dyDescent="0.2">
      <c r="A47" s="106">
        <v>5235500000</v>
      </c>
      <c r="B47" s="107" t="s">
        <v>187</v>
      </c>
    </row>
    <row r="48" spans="1:19" x14ac:dyDescent="0.2">
      <c r="A48" s="111" t="s">
        <v>188</v>
      </c>
      <c r="B48" s="107" t="s">
        <v>189</v>
      </c>
    </row>
    <row r="49" spans="1:5" x14ac:dyDescent="0.2">
      <c r="A49" s="111" t="s">
        <v>190</v>
      </c>
      <c r="B49" s="107" t="s">
        <v>191</v>
      </c>
    </row>
    <row r="50" spans="1:5" x14ac:dyDescent="0.2">
      <c r="A50" s="111" t="s">
        <v>192</v>
      </c>
      <c r="B50" s="107" t="s">
        <v>193</v>
      </c>
    </row>
    <row r="51" spans="1:5" x14ac:dyDescent="0.2">
      <c r="A51" s="112">
        <v>5295950300</v>
      </c>
      <c r="B51" s="107" t="s">
        <v>194</v>
      </c>
    </row>
    <row r="52" spans="1:5" x14ac:dyDescent="0.2">
      <c r="A52" s="111" t="s">
        <v>195</v>
      </c>
      <c r="B52" s="107" t="s">
        <v>196</v>
      </c>
    </row>
    <row r="53" spans="1:5" x14ac:dyDescent="0.2">
      <c r="A53" s="106">
        <v>5240200100</v>
      </c>
      <c r="B53" s="107" t="s">
        <v>197</v>
      </c>
    </row>
    <row r="54" spans="1:5" x14ac:dyDescent="0.2">
      <c r="A54" s="106">
        <v>5235150000</v>
      </c>
      <c r="B54" s="107" t="s">
        <v>198</v>
      </c>
    </row>
    <row r="55" spans="1:5" x14ac:dyDescent="0.2">
      <c r="A55" s="106">
        <v>5235100000</v>
      </c>
      <c r="B55" s="107" t="s">
        <v>199</v>
      </c>
    </row>
    <row r="56" spans="1:5" x14ac:dyDescent="0.2">
      <c r="A56" s="111" t="s">
        <v>200</v>
      </c>
      <c r="B56" s="107" t="s">
        <v>201</v>
      </c>
    </row>
    <row r="57" spans="1:5" x14ac:dyDescent="0.2">
      <c r="A57" s="106">
        <v>5299100000</v>
      </c>
      <c r="B57" s="107" t="s">
        <v>202</v>
      </c>
    </row>
    <row r="58" spans="1:5" x14ac:dyDescent="0.2">
      <c r="A58" s="112" t="s">
        <v>203</v>
      </c>
      <c r="B58" s="113" t="s">
        <v>204</v>
      </c>
    </row>
    <row r="59" spans="1:5" x14ac:dyDescent="0.2">
      <c r="A59" s="111"/>
      <c r="B59" s="113" t="s">
        <v>205</v>
      </c>
      <c r="C59" s="108">
        <f>+Paramet!B4</f>
        <v>202209</v>
      </c>
    </row>
    <row r="60" spans="1:5" x14ac:dyDescent="0.2">
      <c r="A60" s="111" t="s">
        <v>206</v>
      </c>
      <c r="B60" s="107" t="s">
        <v>207</v>
      </c>
      <c r="C60" s="114"/>
      <c r="D60" s="114"/>
      <c r="E60" s="115"/>
    </row>
    <row r="61" spans="1:5" x14ac:dyDescent="0.2">
      <c r="A61" s="108" t="s">
        <v>208</v>
      </c>
      <c r="B61" s="107" t="s">
        <v>209</v>
      </c>
      <c r="C61" s="114"/>
      <c r="D61" s="114"/>
      <c r="E61" s="115"/>
    </row>
    <row r="62" spans="1:5" x14ac:dyDescent="0.2">
      <c r="A62" s="111" t="s">
        <v>210</v>
      </c>
      <c r="B62" s="107" t="s">
        <v>211</v>
      </c>
      <c r="C62" s="114"/>
      <c r="D62" s="114"/>
      <c r="E62" s="115"/>
    </row>
    <row r="63" spans="1:5" x14ac:dyDescent="0.2">
      <c r="A63" s="111" t="s">
        <v>212</v>
      </c>
      <c r="B63" s="107" t="s">
        <v>213</v>
      </c>
      <c r="C63" s="114"/>
      <c r="D63" s="114"/>
      <c r="E63" s="115"/>
    </row>
    <row r="64" spans="1:5" x14ac:dyDescent="0.2">
      <c r="A64" s="111" t="s">
        <v>214</v>
      </c>
      <c r="B64" s="107" t="s">
        <v>215</v>
      </c>
      <c r="C64" s="114"/>
      <c r="D64" s="114"/>
      <c r="E64" s="115"/>
    </row>
    <row r="65" spans="1:5" x14ac:dyDescent="0.2">
      <c r="A65" s="111" t="s">
        <v>216</v>
      </c>
      <c r="B65" s="107" t="s">
        <v>217</v>
      </c>
      <c r="C65" s="114"/>
      <c r="D65" s="114"/>
      <c r="E65" s="115"/>
    </row>
    <row r="66" spans="1:5" x14ac:dyDescent="0.2">
      <c r="A66" s="111" t="s">
        <v>218</v>
      </c>
      <c r="B66" s="107" t="s">
        <v>219</v>
      </c>
      <c r="C66" s="114"/>
      <c r="D66" s="114"/>
      <c r="E66" s="115"/>
    </row>
    <row r="67" spans="1:5" x14ac:dyDescent="0.2">
      <c r="A67" s="111" t="s">
        <v>220</v>
      </c>
      <c r="B67" s="107" t="s">
        <v>221</v>
      </c>
      <c r="C67" s="114"/>
      <c r="D67" s="114"/>
      <c r="E67" s="115"/>
    </row>
    <row r="68" spans="1:5" x14ac:dyDescent="0.2">
      <c r="A68" s="106">
        <v>5265100000</v>
      </c>
      <c r="B68" s="107" t="s">
        <v>222</v>
      </c>
      <c r="C68" s="114"/>
      <c r="D68" s="114"/>
      <c r="E68" s="115"/>
    </row>
    <row r="69" spans="1:5" x14ac:dyDescent="0.2">
      <c r="A69" s="111" t="s">
        <v>223</v>
      </c>
      <c r="B69" s="107" t="s">
        <v>224</v>
      </c>
      <c r="C69" s="114"/>
      <c r="D69" s="114"/>
      <c r="E69" s="115"/>
    </row>
    <row r="70" spans="1:5" x14ac:dyDescent="0.2">
      <c r="A70" s="111" t="s">
        <v>225</v>
      </c>
      <c r="B70" s="107" t="s">
        <v>226</v>
      </c>
      <c r="C70" s="114"/>
      <c r="D70" s="114"/>
      <c r="E70" s="115"/>
    </row>
    <row r="71" spans="1:5" x14ac:dyDescent="0.2">
      <c r="A71" s="111" t="s">
        <v>227</v>
      </c>
      <c r="B71" s="107" t="s">
        <v>228</v>
      </c>
      <c r="C71" s="114"/>
      <c r="D71" s="114"/>
      <c r="E71" s="115"/>
    </row>
    <row r="72" spans="1:5" x14ac:dyDescent="0.2">
      <c r="A72" s="111" t="s">
        <v>229</v>
      </c>
      <c r="B72" s="107" t="s">
        <v>230</v>
      </c>
      <c r="C72" s="114"/>
      <c r="D72" s="114"/>
      <c r="E72" s="115"/>
    </row>
    <row r="73" spans="1:5" x14ac:dyDescent="0.2">
      <c r="A73" s="106" t="s">
        <v>231</v>
      </c>
      <c r="B73" s="107" t="s">
        <v>232</v>
      </c>
      <c r="C73" s="114"/>
      <c r="D73" s="114"/>
      <c r="E73" s="115"/>
    </row>
    <row r="74" spans="1:5" x14ac:dyDescent="0.2">
      <c r="A74" s="111" t="s">
        <v>233</v>
      </c>
      <c r="B74" s="107" t="s">
        <v>234</v>
      </c>
      <c r="C74" s="114"/>
      <c r="D74" s="114"/>
      <c r="E74" s="115"/>
    </row>
    <row r="75" spans="1:5" x14ac:dyDescent="0.2">
      <c r="A75" s="106">
        <v>5265150000</v>
      </c>
      <c r="B75" s="107" t="s">
        <v>235</v>
      </c>
      <c r="C75" s="114"/>
      <c r="D75" s="114"/>
      <c r="E75" s="115"/>
    </row>
    <row r="76" spans="1:5" x14ac:dyDescent="0.2">
      <c r="A76" s="111" t="s">
        <v>236</v>
      </c>
      <c r="B76" s="107" t="s">
        <v>237</v>
      </c>
      <c r="C76" s="114"/>
      <c r="D76" s="114"/>
      <c r="E76" s="115"/>
    </row>
    <row r="77" spans="1:5" x14ac:dyDescent="0.2">
      <c r="A77" s="111" t="s">
        <v>238</v>
      </c>
      <c r="B77" s="107" t="s">
        <v>239</v>
      </c>
      <c r="C77" s="114"/>
      <c r="D77" s="114"/>
      <c r="E77" s="115"/>
    </row>
    <row r="78" spans="1:5" x14ac:dyDescent="0.2">
      <c r="A78" s="111" t="s">
        <v>240</v>
      </c>
      <c r="B78" s="107" t="s">
        <v>241</v>
      </c>
      <c r="C78" s="114"/>
      <c r="D78" s="114"/>
      <c r="E78" s="115"/>
    </row>
    <row r="79" spans="1:5" x14ac:dyDescent="0.2">
      <c r="A79" s="111" t="s">
        <v>242</v>
      </c>
      <c r="B79" s="107" t="s">
        <v>243</v>
      </c>
      <c r="C79" s="114"/>
      <c r="D79" s="114"/>
      <c r="E79" s="115"/>
    </row>
    <row r="80" spans="1:5" x14ac:dyDescent="0.2">
      <c r="A80" s="111" t="s">
        <v>244</v>
      </c>
      <c r="B80" s="107" t="s">
        <v>245</v>
      </c>
      <c r="C80" s="114"/>
      <c r="D80" s="114"/>
      <c r="E80" s="115"/>
    </row>
    <row r="81" spans="1:5" x14ac:dyDescent="0.2">
      <c r="A81" s="111" t="s">
        <v>246</v>
      </c>
      <c r="B81" s="107" t="s">
        <v>247</v>
      </c>
      <c r="C81" s="114"/>
      <c r="D81" s="114"/>
      <c r="E81" s="115"/>
    </row>
    <row r="82" spans="1:5" x14ac:dyDescent="0.2">
      <c r="A82" s="106" t="s">
        <v>248</v>
      </c>
      <c r="B82" s="107" t="s">
        <v>249</v>
      </c>
      <c r="C82" s="114"/>
      <c r="D82" s="114"/>
      <c r="E82" s="115"/>
    </row>
    <row r="83" spans="1:5" x14ac:dyDescent="0.2">
      <c r="A83" s="111" t="s">
        <v>250</v>
      </c>
      <c r="B83" s="107" t="s">
        <v>251</v>
      </c>
      <c r="C83" s="114"/>
      <c r="D83" s="114"/>
      <c r="E83" s="115"/>
    </row>
    <row r="84" spans="1:5" x14ac:dyDescent="0.2">
      <c r="A84" s="111" t="s">
        <v>252</v>
      </c>
      <c r="B84" s="107" t="s">
        <v>253</v>
      </c>
      <c r="C84" s="114"/>
      <c r="D84" s="114"/>
      <c r="E84" s="115"/>
    </row>
    <row r="85" spans="1:5" x14ac:dyDescent="0.2">
      <c r="A85" s="111" t="s">
        <v>254</v>
      </c>
      <c r="B85" s="107" t="s">
        <v>255</v>
      </c>
      <c r="C85" s="114"/>
      <c r="D85" s="114"/>
      <c r="E85" s="115"/>
    </row>
    <row r="86" spans="1:5" x14ac:dyDescent="0.2">
      <c r="A86" s="116" t="s">
        <v>256</v>
      </c>
      <c r="B86" s="107" t="s">
        <v>257</v>
      </c>
      <c r="C86" s="114"/>
      <c r="D86" s="114"/>
      <c r="E86" s="115"/>
    </row>
    <row r="87" spans="1:5" x14ac:dyDescent="0.2">
      <c r="A87" s="111" t="s">
        <v>258</v>
      </c>
      <c r="B87" s="107" t="s">
        <v>259</v>
      </c>
      <c r="C87" s="114"/>
      <c r="D87" s="114"/>
      <c r="E87" s="115"/>
    </row>
    <row r="88" spans="1:5" x14ac:dyDescent="0.2">
      <c r="A88" s="111"/>
      <c r="B88" s="113" t="s">
        <v>260</v>
      </c>
      <c r="C88" s="115"/>
      <c r="D88" s="117"/>
      <c r="E88" s="118"/>
    </row>
    <row r="89" spans="1:5" x14ac:dyDescent="0.2">
      <c r="A89" s="111" t="s">
        <v>261</v>
      </c>
      <c r="B89" s="107" t="s">
        <v>262</v>
      </c>
    </row>
    <row r="90" spans="1:5" x14ac:dyDescent="0.2">
      <c r="A90" s="106">
        <v>5105180100</v>
      </c>
      <c r="B90" s="107" t="s">
        <v>263</v>
      </c>
    </row>
    <row r="91" spans="1:5" x14ac:dyDescent="0.2">
      <c r="A91" s="108" t="s">
        <v>264</v>
      </c>
      <c r="B91" s="107" t="s">
        <v>265</v>
      </c>
    </row>
    <row r="92" spans="1:5" x14ac:dyDescent="0.2">
      <c r="A92" s="106">
        <v>5105480100</v>
      </c>
      <c r="B92" s="107" t="s">
        <v>266</v>
      </c>
    </row>
    <row r="93" spans="1:5" x14ac:dyDescent="0.2">
      <c r="A93" s="111" t="s">
        <v>267</v>
      </c>
      <c r="B93" s="107" t="s">
        <v>268</v>
      </c>
    </row>
    <row r="94" spans="1:5" x14ac:dyDescent="0.2">
      <c r="A94" s="111" t="s">
        <v>269</v>
      </c>
      <c r="B94" s="107" t="s">
        <v>270</v>
      </c>
    </row>
    <row r="95" spans="1:5" x14ac:dyDescent="0.2">
      <c r="A95" s="111"/>
      <c r="B95" s="113" t="s">
        <v>271</v>
      </c>
    </row>
    <row r="96" spans="1:5" x14ac:dyDescent="0.2">
      <c r="A96" s="106">
        <v>5105180000</v>
      </c>
      <c r="B96" s="107" t="s">
        <v>272</v>
      </c>
      <c r="C96" s="114"/>
      <c r="E96" s="115"/>
    </row>
    <row r="97" spans="1:5" x14ac:dyDescent="0.2">
      <c r="A97" s="111" t="s">
        <v>273</v>
      </c>
      <c r="B97" s="107" t="s">
        <v>274</v>
      </c>
      <c r="C97" s="114"/>
      <c r="E97" s="115"/>
    </row>
    <row r="98" spans="1:5" x14ac:dyDescent="0.2">
      <c r="A98" s="111" t="s">
        <v>275</v>
      </c>
      <c r="B98" s="107" t="s">
        <v>276</v>
      </c>
      <c r="C98" s="114"/>
      <c r="E98" s="115"/>
    </row>
    <row r="99" spans="1:5" x14ac:dyDescent="0.2">
      <c r="A99" s="111" t="s">
        <v>277</v>
      </c>
      <c r="B99" s="107" t="s">
        <v>278</v>
      </c>
      <c r="C99" s="114"/>
      <c r="E99" s="115"/>
    </row>
    <row r="100" spans="1:5" x14ac:dyDescent="0.2">
      <c r="A100" s="106" t="s">
        <v>279</v>
      </c>
      <c r="B100" s="107" t="s">
        <v>280</v>
      </c>
      <c r="C100" s="114"/>
      <c r="E100" s="115"/>
    </row>
    <row r="101" spans="1:5" x14ac:dyDescent="0.2">
      <c r="A101" s="111" t="s">
        <v>281</v>
      </c>
      <c r="B101" s="107" t="s">
        <v>282</v>
      </c>
      <c r="C101" s="114"/>
      <c r="E101" s="115"/>
    </row>
    <row r="102" spans="1:5" x14ac:dyDescent="0.2">
      <c r="A102" s="111" t="s">
        <v>283</v>
      </c>
      <c r="B102" s="107" t="s">
        <v>284</v>
      </c>
      <c r="C102" s="114"/>
      <c r="E102" s="115"/>
    </row>
    <row r="103" spans="1:5" x14ac:dyDescent="0.2">
      <c r="A103" s="106" t="s">
        <v>285</v>
      </c>
      <c r="B103" s="107" t="s">
        <v>286</v>
      </c>
      <c r="C103" s="114"/>
      <c r="E103" s="115"/>
    </row>
    <row r="104" spans="1:5" x14ac:dyDescent="0.2">
      <c r="A104" s="106" t="s">
        <v>287</v>
      </c>
      <c r="B104" s="107" t="s">
        <v>288</v>
      </c>
      <c r="C104" s="114"/>
      <c r="E104" s="115"/>
    </row>
    <row r="105" spans="1:5" x14ac:dyDescent="0.2">
      <c r="A105" s="106">
        <v>5120100000</v>
      </c>
      <c r="B105" s="107" t="s">
        <v>289</v>
      </c>
      <c r="C105" s="114"/>
      <c r="E105" s="115"/>
    </row>
    <row r="106" spans="1:5" x14ac:dyDescent="0.2">
      <c r="A106" s="111" t="s">
        <v>290</v>
      </c>
      <c r="B106" s="107" t="s">
        <v>291</v>
      </c>
      <c r="C106" s="114"/>
      <c r="E106" s="115"/>
    </row>
    <row r="107" spans="1:5" x14ac:dyDescent="0.2">
      <c r="A107" s="111" t="s">
        <v>292</v>
      </c>
      <c r="B107" s="107" t="s">
        <v>293</v>
      </c>
      <c r="C107" s="114"/>
      <c r="E107" s="115"/>
    </row>
    <row r="108" spans="1:5" x14ac:dyDescent="0.2">
      <c r="A108" s="111" t="s">
        <v>294</v>
      </c>
      <c r="B108" s="107" t="s">
        <v>295</v>
      </c>
      <c r="C108" s="114"/>
      <c r="E108" s="115"/>
    </row>
    <row r="109" spans="1:5" x14ac:dyDescent="0.2">
      <c r="A109" s="111" t="s">
        <v>296</v>
      </c>
      <c r="B109" s="107" t="s">
        <v>297</v>
      </c>
      <c r="C109" s="114"/>
      <c r="E109" s="115"/>
    </row>
    <row r="110" spans="1:5" x14ac:dyDescent="0.2">
      <c r="A110" s="111" t="s">
        <v>298</v>
      </c>
      <c r="B110" s="107" t="s">
        <v>299</v>
      </c>
      <c r="C110" s="114"/>
      <c r="E110" s="115"/>
    </row>
    <row r="111" spans="1:5" x14ac:dyDescent="0.2">
      <c r="A111" s="111" t="s">
        <v>300</v>
      </c>
      <c r="B111" s="107" t="s">
        <v>301</v>
      </c>
      <c r="C111" s="114"/>
      <c r="E111" s="115"/>
    </row>
    <row r="112" spans="1:5" x14ac:dyDescent="0.2">
      <c r="A112" s="111" t="s">
        <v>302</v>
      </c>
      <c r="B112" s="107" t="s">
        <v>303</v>
      </c>
      <c r="C112" s="114"/>
      <c r="E112" s="115"/>
    </row>
    <row r="113" spans="1:11" x14ac:dyDescent="0.2">
      <c r="A113" s="111" t="s">
        <v>304</v>
      </c>
      <c r="B113" s="107" t="s">
        <v>305</v>
      </c>
      <c r="C113" s="114"/>
      <c r="E113" s="115"/>
    </row>
    <row r="114" spans="1:11" x14ac:dyDescent="0.2">
      <c r="A114" s="111" t="s">
        <v>306</v>
      </c>
      <c r="B114" s="107" t="s">
        <v>307</v>
      </c>
      <c r="C114" s="114"/>
      <c r="E114" s="115"/>
    </row>
    <row r="115" spans="1:11" x14ac:dyDescent="0.2">
      <c r="A115" s="111" t="s">
        <v>308</v>
      </c>
      <c r="B115" s="107" t="s">
        <v>309</v>
      </c>
      <c r="C115" s="114"/>
      <c r="E115" s="115"/>
    </row>
    <row r="116" spans="1:11" x14ac:dyDescent="0.2">
      <c r="A116" s="106" t="s">
        <v>310</v>
      </c>
      <c r="B116" s="107" t="s">
        <v>311</v>
      </c>
      <c r="C116" s="114"/>
      <c r="E116" s="115"/>
    </row>
    <row r="117" spans="1:11" x14ac:dyDescent="0.2">
      <c r="A117" s="111" t="s">
        <v>312</v>
      </c>
      <c r="B117" s="107" t="s">
        <v>313</v>
      </c>
      <c r="C117" s="114"/>
      <c r="E117" s="115"/>
    </row>
    <row r="118" spans="1:11" x14ac:dyDescent="0.2">
      <c r="A118" s="111" t="s">
        <v>314</v>
      </c>
      <c r="B118" s="107" t="s">
        <v>315</v>
      </c>
      <c r="C118" s="114"/>
      <c r="E118" s="115"/>
    </row>
    <row r="119" spans="1:11" x14ac:dyDescent="0.2">
      <c r="A119" s="111" t="s">
        <v>316</v>
      </c>
      <c r="B119" s="107" t="s">
        <v>317</v>
      </c>
      <c r="C119" s="114"/>
      <c r="E119" s="115"/>
    </row>
    <row r="120" spans="1:11" x14ac:dyDescent="0.2">
      <c r="A120" s="111" t="s">
        <v>318</v>
      </c>
      <c r="B120" s="107" t="s">
        <v>319</v>
      </c>
      <c r="C120" s="114"/>
      <c r="E120" s="115"/>
    </row>
    <row r="121" spans="1:11" x14ac:dyDescent="0.2">
      <c r="A121" s="106" t="s">
        <v>320</v>
      </c>
      <c r="B121" s="107" t="s">
        <v>321</v>
      </c>
      <c r="C121" s="114"/>
      <c r="E121" s="115"/>
    </row>
    <row r="122" spans="1:11" x14ac:dyDescent="0.2">
      <c r="A122" s="111" t="s">
        <v>322</v>
      </c>
      <c r="B122" s="107" t="s">
        <v>323</v>
      </c>
      <c r="C122" s="114"/>
      <c r="E122" s="115"/>
    </row>
    <row r="123" spans="1:11" x14ac:dyDescent="0.2">
      <c r="A123" s="111" t="s">
        <v>324</v>
      </c>
      <c r="B123" s="107" t="s">
        <v>325</v>
      </c>
      <c r="C123" s="114"/>
      <c r="E123" s="115"/>
    </row>
    <row r="124" spans="1:11" x14ac:dyDescent="0.2">
      <c r="A124" s="111" t="s">
        <v>326</v>
      </c>
      <c r="B124" s="107" t="s">
        <v>327</v>
      </c>
      <c r="C124" s="114"/>
      <c r="E124" s="115"/>
    </row>
    <row r="125" spans="1:11" x14ac:dyDescent="0.2">
      <c r="A125" s="111" t="s">
        <v>328</v>
      </c>
      <c r="B125" s="107" t="s">
        <v>329</v>
      </c>
      <c r="C125" s="114"/>
      <c r="E125" s="115"/>
    </row>
    <row r="126" spans="1:11" x14ac:dyDescent="0.2">
      <c r="A126" s="111" t="s">
        <v>330</v>
      </c>
      <c r="B126" s="107" t="s">
        <v>331</v>
      </c>
      <c r="C126" s="114"/>
      <c r="E126" s="108" t="s">
        <v>332</v>
      </c>
      <c r="G126" s="108"/>
      <c r="H126" s="108"/>
      <c r="I126" s="108"/>
      <c r="J126" s="108"/>
      <c r="K126" s="108"/>
    </row>
    <row r="127" spans="1:11" x14ac:dyDescent="0.2">
      <c r="A127" s="111"/>
      <c r="B127" s="113" t="s">
        <v>333</v>
      </c>
      <c r="C127" s="115"/>
      <c r="D127" s="115"/>
      <c r="E127" s="108" t="s">
        <v>334</v>
      </c>
      <c r="F127" s="108" t="s">
        <v>335</v>
      </c>
      <c r="G127" s="108" t="s">
        <v>101</v>
      </c>
      <c r="H127" s="108"/>
      <c r="I127" s="108"/>
      <c r="J127" s="108"/>
      <c r="K127" s="108"/>
    </row>
    <row r="128" spans="1:11" x14ac:dyDescent="0.2">
      <c r="A128" s="111" t="s">
        <v>336</v>
      </c>
      <c r="B128" s="107" t="s">
        <v>337</v>
      </c>
      <c r="E128" s="108" t="s">
        <v>338</v>
      </c>
      <c r="F128" s="108" t="s">
        <v>339</v>
      </c>
      <c r="G128" s="119">
        <v>-2083333</v>
      </c>
      <c r="H128" s="108"/>
      <c r="I128" s="108"/>
      <c r="J128" s="108"/>
      <c r="K128" s="108"/>
    </row>
    <row r="129" spans="1:11" x14ac:dyDescent="0.2">
      <c r="A129" s="111" t="s">
        <v>340</v>
      </c>
      <c r="B129" s="107" t="s">
        <v>341</v>
      </c>
      <c r="E129" s="108" t="s">
        <v>342</v>
      </c>
      <c r="G129" s="119">
        <v>-2083333</v>
      </c>
      <c r="H129" s="108"/>
      <c r="I129" s="108"/>
      <c r="J129" s="108"/>
      <c r="K129" s="108"/>
    </row>
    <row r="130" spans="1:11" x14ac:dyDescent="0.2">
      <c r="A130" s="106">
        <v>5110358000</v>
      </c>
      <c r="B130" s="107" t="s">
        <v>343</v>
      </c>
      <c r="G130" s="108"/>
      <c r="H130" s="108"/>
      <c r="I130" s="108"/>
      <c r="J130" s="108"/>
      <c r="K130" s="108"/>
    </row>
    <row r="131" spans="1:11" x14ac:dyDescent="0.2">
      <c r="A131" s="111"/>
      <c r="B131" s="113" t="s">
        <v>344</v>
      </c>
      <c r="G131" s="108"/>
      <c r="H131" s="108"/>
      <c r="I131" s="108"/>
      <c r="J131" s="108"/>
      <c r="K131" s="108"/>
    </row>
    <row r="132" spans="1:11" x14ac:dyDescent="0.2">
      <c r="A132" s="111" t="s">
        <v>345</v>
      </c>
      <c r="B132" s="107" t="s">
        <v>346</v>
      </c>
      <c r="G132" s="108"/>
      <c r="H132" s="108"/>
      <c r="I132" s="108"/>
      <c r="J132" s="108"/>
      <c r="K132" s="108"/>
    </row>
    <row r="133" spans="1:11" x14ac:dyDescent="0.2">
      <c r="A133" s="111" t="s">
        <v>347</v>
      </c>
      <c r="B133" s="107" t="s">
        <v>348</v>
      </c>
      <c r="G133" s="108"/>
      <c r="H133" s="108"/>
      <c r="I133" s="108"/>
      <c r="J133" s="108"/>
      <c r="K133" s="108"/>
    </row>
    <row r="134" spans="1:11" x14ac:dyDescent="0.2">
      <c r="A134" s="111" t="s">
        <v>349</v>
      </c>
      <c r="B134" s="107" t="s">
        <v>350</v>
      </c>
      <c r="G134" s="108"/>
      <c r="H134" s="108"/>
      <c r="I134" s="108"/>
      <c r="J134" s="108"/>
      <c r="K134" s="108"/>
    </row>
    <row r="135" spans="1:11" x14ac:dyDescent="0.2">
      <c r="A135" s="111" t="s">
        <v>351</v>
      </c>
      <c r="B135" s="107" t="s">
        <v>352</v>
      </c>
      <c r="G135" s="108"/>
      <c r="H135" s="108"/>
      <c r="I135" s="108"/>
      <c r="J135" s="108"/>
      <c r="K135" s="108"/>
    </row>
    <row r="136" spans="1:11" x14ac:dyDescent="0.2">
      <c r="G136" s="108"/>
      <c r="H136" s="108"/>
      <c r="I136" s="108"/>
      <c r="J136" s="108"/>
      <c r="K136" s="108"/>
    </row>
    <row r="137" spans="1:11" x14ac:dyDescent="0.2">
      <c r="A137" s="111"/>
      <c r="B137" s="113" t="s">
        <v>353</v>
      </c>
      <c r="G137" s="108"/>
      <c r="H137" s="108"/>
      <c r="I137" s="108"/>
      <c r="J137" s="108"/>
      <c r="K137" s="108"/>
    </row>
    <row r="138" spans="1:11" x14ac:dyDescent="0.2">
      <c r="A138" s="111" t="s">
        <v>354</v>
      </c>
      <c r="B138" s="107" t="s">
        <v>355</v>
      </c>
      <c r="G138" s="108"/>
      <c r="H138" s="108"/>
      <c r="I138" s="108"/>
      <c r="J138" s="108"/>
      <c r="K138" s="108"/>
    </row>
    <row r="139" spans="1:11" x14ac:dyDescent="0.2">
      <c r="A139" s="111" t="s">
        <v>356</v>
      </c>
      <c r="B139" s="107" t="s">
        <v>357</v>
      </c>
      <c r="G139" s="108"/>
      <c r="H139" s="108"/>
      <c r="I139" s="108"/>
      <c r="J139" s="108"/>
      <c r="K139" s="108"/>
    </row>
    <row r="140" spans="1:11" x14ac:dyDescent="0.2">
      <c r="A140" s="111" t="s">
        <v>358</v>
      </c>
      <c r="B140" s="107" t="s">
        <v>359</v>
      </c>
      <c r="G140" s="108"/>
      <c r="H140" s="108"/>
      <c r="I140" s="108"/>
      <c r="J140" s="108"/>
      <c r="K140" s="108"/>
    </row>
    <row r="141" spans="1:11" x14ac:dyDescent="0.2">
      <c r="A141" s="120" t="s">
        <v>360</v>
      </c>
      <c r="B141" s="107" t="s">
        <v>361</v>
      </c>
      <c r="G141" s="108"/>
    </row>
    <row r="142" spans="1:11" x14ac:dyDescent="0.2">
      <c r="A142" s="120"/>
      <c r="B142" s="113" t="s">
        <v>362</v>
      </c>
      <c r="G142" s="108"/>
    </row>
    <row r="143" spans="1:11" x14ac:dyDescent="0.2">
      <c r="A143" s="111" t="s">
        <v>363</v>
      </c>
      <c r="B143" s="107" t="s">
        <v>364</v>
      </c>
      <c r="G143" s="108"/>
    </row>
    <row r="144" spans="1:11" x14ac:dyDescent="0.2">
      <c r="A144" s="111"/>
      <c r="B144" s="113" t="s">
        <v>365</v>
      </c>
      <c r="G144" s="108"/>
    </row>
    <row r="145" spans="1:7" x14ac:dyDescent="0.2">
      <c r="A145" s="111"/>
      <c r="B145" s="113" t="s">
        <v>366</v>
      </c>
      <c r="G145" s="108"/>
    </row>
    <row r="146" spans="1:7" x14ac:dyDescent="0.2">
      <c r="A146" s="111"/>
      <c r="B146" s="113" t="s">
        <v>367</v>
      </c>
      <c r="G146" s="108"/>
    </row>
    <row r="147" spans="1:7" x14ac:dyDescent="0.2">
      <c r="A147" s="111" t="s">
        <v>368</v>
      </c>
      <c r="B147" s="107" t="s">
        <v>369</v>
      </c>
      <c r="G147" s="108"/>
    </row>
    <row r="148" spans="1:7" x14ac:dyDescent="0.2">
      <c r="G148" s="108"/>
    </row>
    <row r="149" spans="1:7" x14ac:dyDescent="0.2">
      <c r="G149" s="108"/>
    </row>
    <row r="150" spans="1:7" x14ac:dyDescent="0.2">
      <c r="B150" s="108" t="s">
        <v>370</v>
      </c>
    </row>
    <row r="151" spans="1:7" x14ac:dyDescent="0.2">
      <c r="A151" s="111" t="s">
        <v>180</v>
      </c>
      <c r="B151" s="107" t="s">
        <v>181</v>
      </c>
    </row>
    <row r="152" spans="1:7" x14ac:dyDescent="0.2">
      <c r="A152" s="108" t="s">
        <v>182</v>
      </c>
      <c r="B152" s="107" t="s">
        <v>183</v>
      </c>
    </row>
    <row r="153" spans="1:7" x14ac:dyDescent="0.2">
      <c r="A153" s="111" t="s">
        <v>206</v>
      </c>
      <c r="B153" s="107" t="s">
        <v>207</v>
      </c>
    </row>
    <row r="154" spans="1:7" x14ac:dyDescent="0.2">
      <c r="A154" s="108" t="s">
        <v>208</v>
      </c>
      <c r="B154" s="107" t="s">
        <v>209</v>
      </c>
    </row>
    <row r="155" spans="1:7" x14ac:dyDescent="0.2">
      <c r="A155" s="111" t="s">
        <v>261</v>
      </c>
      <c r="B155" s="107" t="s">
        <v>262</v>
      </c>
    </row>
    <row r="156" spans="1:7" x14ac:dyDescent="0.2">
      <c r="A156" s="106">
        <v>5105180100</v>
      </c>
      <c r="B156" s="107" t="s">
        <v>263</v>
      </c>
    </row>
    <row r="157" spans="1:7" x14ac:dyDescent="0.2">
      <c r="A157" s="108" t="s">
        <v>264</v>
      </c>
      <c r="B157" s="107" t="s">
        <v>265</v>
      </c>
    </row>
    <row r="158" spans="1:7" x14ac:dyDescent="0.2">
      <c r="A158" s="106">
        <v>5105180000</v>
      </c>
      <c r="B158" s="107" t="s">
        <v>272</v>
      </c>
    </row>
    <row r="159" spans="1:7" x14ac:dyDescent="0.2">
      <c r="A159" s="111" t="s">
        <v>273</v>
      </c>
      <c r="B159" s="107" t="s">
        <v>274</v>
      </c>
    </row>
    <row r="160" spans="1:7" x14ac:dyDescent="0.2">
      <c r="A160" s="111" t="s">
        <v>275</v>
      </c>
      <c r="B160" s="107" t="s">
        <v>276</v>
      </c>
    </row>
    <row r="161" spans="1:5" x14ac:dyDescent="0.2">
      <c r="A161" s="111" t="s">
        <v>277</v>
      </c>
      <c r="B161" s="107" t="s">
        <v>278</v>
      </c>
    </row>
    <row r="164" spans="1:5" x14ac:dyDescent="0.2">
      <c r="B164" s="108" t="s">
        <v>371</v>
      </c>
    </row>
    <row r="165" spans="1:5" x14ac:dyDescent="0.2">
      <c r="A165" s="108" t="s">
        <v>188</v>
      </c>
      <c r="B165" s="108" t="s">
        <v>189</v>
      </c>
    </row>
    <row r="166" spans="1:5" x14ac:dyDescent="0.2">
      <c r="A166" s="108" t="s">
        <v>267</v>
      </c>
      <c r="B166" s="108" t="s">
        <v>268</v>
      </c>
    </row>
    <row r="167" spans="1:5" x14ac:dyDescent="0.2">
      <c r="A167" s="108" t="s">
        <v>269</v>
      </c>
      <c r="B167" s="108" t="s">
        <v>270</v>
      </c>
    </row>
    <row r="173" spans="1:5" x14ac:dyDescent="0.2">
      <c r="A173" s="121" t="s">
        <v>372</v>
      </c>
    </row>
    <row r="174" spans="1:5" x14ac:dyDescent="0.2">
      <c r="A174" s="109" t="s">
        <v>373</v>
      </c>
      <c r="E174" s="108" t="s">
        <v>374</v>
      </c>
    </row>
    <row r="175" spans="1:5" x14ac:dyDescent="0.2">
      <c r="A175" s="108" t="s">
        <v>375</v>
      </c>
      <c r="B175" s="108" t="s">
        <v>376</v>
      </c>
    </row>
    <row r="176" spans="1:5" x14ac:dyDescent="0.2">
      <c r="A176" s="108">
        <v>4155950000</v>
      </c>
      <c r="B176" s="108" t="s">
        <v>377</v>
      </c>
    </row>
    <row r="177" spans="1:5" x14ac:dyDescent="0.2">
      <c r="A177" s="108">
        <v>4155950100</v>
      </c>
      <c r="B177" s="108" t="s">
        <v>378</v>
      </c>
    </row>
    <row r="178" spans="1:5" x14ac:dyDescent="0.2">
      <c r="A178" s="108">
        <v>4155951500</v>
      </c>
      <c r="B178" s="108" t="s">
        <v>379</v>
      </c>
    </row>
    <row r="179" spans="1:5" x14ac:dyDescent="0.2">
      <c r="A179" s="108">
        <v>4135950900</v>
      </c>
      <c r="B179" s="108" t="s">
        <v>380</v>
      </c>
    </row>
    <row r="180" spans="1:5" x14ac:dyDescent="0.2">
      <c r="A180" s="108">
        <v>4135950000</v>
      </c>
      <c r="B180" s="108" t="s">
        <v>381</v>
      </c>
      <c r="E180" s="108">
        <v>4135950000</v>
      </c>
    </row>
    <row r="181" spans="1:5" x14ac:dyDescent="0.2">
      <c r="A181" s="108">
        <v>4155950500</v>
      </c>
      <c r="B181" s="108" t="s">
        <v>381</v>
      </c>
    </row>
    <row r="182" spans="1:5" x14ac:dyDescent="0.2">
      <c r="A182" s="108">
        <v>4170250300</v>
      </c>
      <c r="B182" s="108" t="s">
        <v>381</v>
      </c>
    </row>
    <row r="183" spans="1:5" x14ac:dyDescent="0.2">
      <c r="A183" s="108" t="s">
        <v>382</v>
      </c>
      <c r="B183" s="108" t="s">
        <v>383</v>
      </c>
    </row>
    <row r="184" spans="1:5" x14ac:dyDescent="0.2">
      <c r="A184" s="108">
        <v>6135950000</v>
      </c>
      <c r="B184" s="108" t="s">
        <v>384</v>
      </c>
    </row>
    <row r="186" spans="1:5" x14ac:dyDescent="0.2">
      <c r="B186" s="108" t="s">
        <v>385</v>
      </c>
    </row>
    <row r="187" spans="1:5" x14ac:dyDescent="0.2">
      <c r="A187" s="108">
        <v>5205180100</v>
      </c>
      <c r="B187" s="108" t="s">
        <v>386</v>
      </c>
      <c r="C187" s="108" t="s">
        <v>387</v>
      </c>
    </row>
    <row r="188" spans="1:5" x14ac:dyDescent="0.2">
      <c r="A188" s="108">
        <v>5205361000</v>
      </c>
      <c r="B188" s="108" t="s">
        <v>388</v>
      </c>
      <c r="C188" s="108" t="s">
        <v>389</v>
      </c>
      <c r="D188" s="108" t="s">
        <v>101</v>
      </c>
    </row>
    <row r="189" spans="1:5" x14ac:dyDescent="0.2">
      <c r="A189" s="108">
        <v>5205391000</v>
      </c>
      <c r="B189" s="108" t="s">
        <v>388</v>
      </c>
      <c r="C189" s="108" t="s">
        <v>390</v>
      </c>
      <c r="D189" s="108">
        <v>4638.9799999999996</v>
      </c>
    </row>
    <row r="190" spans="1:5" x14ac:dyDescent="0.2">
      <c r="A190" s="108">
        <v>5205422000</v>
      </c>
      <c r="B190" s="108" t="s">
        <v>388</v>
      </c>
      <c r="C190" s="108" t="s">
        <v>391</v>
      </c>
      <c r="D190" s="108">
        <v>1230.26</v>
      </c>
    </row>
    <row r="191" spans="1:5" x14ac:dyDescent="0.2">
      <c r="A191" s="108">
        <v>5205691000</v>
      </c>
      <c r="B191" s="108" t="s">
        <v>388</v>
      </c>
      <c r="C191" s="108" t="s">
        <v>392</v>
      </c>
      <c r="D191" s="108">
        <v>307.56</v>
      </c>
    </row>
    <row r="192" spans="1:5" x14ac:dyDescent="0.2">
      <c r="A192" s="108">
        <v>5205701000</v>
      </c>
      <c r="B192" s="108" t="s">
        <v>388</v>
      </c>
      <c r="C192" s="108" t="s">
        <v>393</v>
      </c>
      <c r="D192" s="108">
        <v>896.8</v>
      </c>
    </row>
    <row r="193" spans="1:4" x14ac:dyDescent="0.2">
      <c r="A193" s="108">
        <v>5160200000</v>
      </c>
      <c r="B193" s="108" t="s">
        <v>394</v>
      </c>
      <c r="C193" s="108" t="s">
        <v>395</v>
      </c>
      <c r="D193" s="108">
        <v>604.20000000000005</v>
      </c>
    </row>
    <row r="194" spans="1:4" x14ac:dyDescent="0.2">
      <c r="A194" s="108">
        <v>5260100000</v>
      </c>
      <c r="B194" s="108" t="s">
        <v>394</v>
      </c>
      <c r="C194" s="108" t="s">
        <v>396</v>
      </c>
      <c r="D194" s="108">
        <v>27.16</v>
      </c>
    </row>
    <row r="195" spans="1:4" x14ac:dyDescent="0.2">
      <c r="A195" s="108">
        <v>5260200000</v>
      </c>
      <c r="B195" s="108" t="s">
        <v>394</v>
      </c>
      <c r="C195" s="108" t="s">
        <v>342</v>
      </c>
      <c r="D195" s="108">
        <v>7704.96</v>
      </c>
    </row>
    <row r="196" spans="1:4" x14ac:dyDescent="0.2">
      <c r="A196" s="108">
        <v>5260150000</v>
      </c>
      <c r="B196" s="108" t="s">
        <v>394</v>
      </c>
    </row>
    <row r="197" spans="1:4" x14ac:dyDescent="0.2">
      <c r="A197" s="108">
        <v>5260350000</v>
      </c>
      <c r="B197" s="108" t="s">
        <v>394</v>
      </c>
    </row>
    <row r="198" spans="1:4" x14ac:dyDescent="0.2">
      <c r="A198" s="108">
        <v>5160150000</v>
      </c>
      <c r="B198" s="108" t="s">
        <v>397</v>
      </c>
    </row>
    <row r="199" spans="1:4" x14ac:dyDescent="0.2">
      <c r="A199" s="108">
        <v>5145150100</v>
      </c>
      <c r="B199" s="108" t="s">
        <v>398</v>
      </c>
    </row>
    <row r="200" spans="1:4" x14ac:dyDescent="0.2">
      <c r="A200" s="108">
        <v>5235300000</v>
      </c>
      <c r="B200" s="108" t="s">
        <v>398</v>
      </c>
    </row>
    <row r="201" spans="1:4" x14ac:dyDescent="0.2">
      <c r="A201" s="108">
        <v>5245100000</v>
      </c>
      <c r="B201" s="108" t="s">
        <v>398</v>
      </c>
    </row>
    <row r="202" spans="1:4" x14ac:dyDescent="0.2">
      <c r="A202" s="108">
        <v>5245150000</v>
      </c>
      <c r="B202" s="108" t="s">
        <v>398</v>
      </c>
    </row>
    <row r="203" spans="1:4" x14ac:dyDescent="0.2">
      <c r="A203" s="108">
        <v>5245150100</v>
      </c>
      <c r="B203" s="108" t="s">
        <v>398</v>
      </c>
    </row>
    <row r="204" spans="1:4" x14ac:dyDescent="0.2">
      <c r="A204" s="108">
        <v>5245200000</v>
      </c>
      <c r="B204" s="108" t="s">
        <v>398</v>
      </c>
    </row>
    <row r="205" spans="1:4" x14ac:dyDescent="0.2">
      <c r="A205" s="108">
        <v>5245250000</v>
      </c>
      <c r="B205" s="108" t="s">
        <v>398</v>
      </c>
    </row>
    <row r="206" spans="1:4" x14ac:dyDescent="0.2">
      <c r="A206" s="108">
        <v>5250050000</v>
      </c>
      <c r="B206" s="108" t="s">
        <v>398</v>
      </c>
    </row>
    <row r="207" spans="1:4" x14ac:dyDescent="0.2">
      <c r="A207" s="108">
        <v>5250100000</v>
      </c>
      <c r="B207" s="108" t="s">
        <v>398</v>
      </c>
    </row>
    <row r="208" spans="1:4" x14ac:dyDescent="0.2">
      <c r="A208" s="108">
        <v>5250950000</v>
      </c>
      <c r="B208" s="108" t="s">
        <v>398</v>
      </c>
    </row>
    <row r="209" spans="1:2" x14ac:dyDescent="0.2">
      <c r="A209" s="108">
        <v>5295250000</v>
      </c>
      <c r="B209" s="108" t="s">
        <v>398</v>
      </c>
    </row>
    <row r="210" spans="1:2" x14ac:dyDescent="0.2">
      <c r="A210" s="108">
        <v>5295950300</v>
      </c>
      <c r="B210" s="108" t="s">
        <v>398</v>
      </c>
    </row>
    <row r="211" spans="1:2" x14ac:dyDescent="0.2">
      <c r="A211" s="108">
        <v>5235050000</v>
      </c>
      <c r="B211" s="108" t="s">
        <v>399</v>
      </c>
    </row>
    <row r="212" spans="1:2" x14ac:dyDescent="0.2">
      <c r="A212" s="108">
        <v>5235200000</v>
      </c>
      <c r="B212" s="108" t="s">
        <v>399</v>
      </c>
    </row>
    <row r="213" spans="1:2" x14ac:dyDescent="0.2">
      <c r="A213" s="108">
        <v>5235950100</v>
      </c>
      <c r="B213" s="108" t="s">
        <v>399</v>
      </c>
    </row>
    <row r="214" spans="1:2" x14ac:dyDescent="0.2">
      <c r="A214" s="108">
        <v>5235950400</v>
      </c>
      <c r="B214" s="108" t="s">
        <v>399</v>
      </c>
    </row>
    <row r="215" spans="1:2" x14ac:dyDescent="0.2">
      <c r="A215" s="108">
        <v>5235950500</v>
      </c>
      <c r="B215" s="108" t="s">
        <v>399</v>
      </c>
    </row>
    <row r="216" spans="1:2" x14ac:dyDescent="0.2">
      <c r="A216" s="108">
        <v>5235950600</v>
      </c>
      <c r="B216" s="108" t="s">
        <v>399</v>
      </c>
    </row>
    <row r="217" spans="1:2" x14ac:dyDescent="0.2">
      <c r="A217" s="108">
        <v>5235950600</v>
      </c>
      <c r="B217" s="108" t="s">
        <v>399</v>
      </c>
    </row>
    <row r="218" spans="1:2" x14ac:dyDescent="0.2">
      <c r="A218" s="108">
        <v>5235950600</v>
      </c>
      <c r="B218" s="108" t="s">
        <v>399</v>
      </c>
    </row>
    <row r="219" spans="1:2" x14ac:dyDescent="0.2">
      <c r="A219" s="108">
        <v>5295950500</v>
      </c>
      <c r="B219" s="108" t="s">
        <v>399</v>
      </c>
    </row>
    <row r="220" spans="1:2" x14ac:dyDescent="0.2">
      <c r="A220" s="108">
        <v>5295950100</v>
      </c>
      <c r="B220" s="108" t="s">
        <v>400</v>
      </c>
    </row>
    <row r="221" spans="1:2" x14ac:dyDescent="0.2">
      <c r="A221" s="108">
        <v>5299100000</v>
      </c>
      <c r="B221" s="108" t="s">
        <v>401</v>
      </c>
    </row>
    <row r="222" spans="1:2" x14ac:dyDescent="0.2">
      <c r="A222" s="108">
        <v>5160100000</v>
      </c>
      <c r="B222" s="108" t="s">
        <v>402</v>
      </c>
    </row>
    <row r="223" spans="1:2" x14ac:dyDescent="0.2">
      <c r="B223" s="108" t="s">
        <v>403</v>
      </c>
    </row>
    <row r="224" spans="1:2" x14ac:dyDescent="0.2">
      <c r="A224" s="108">
        <v>5205630100</v>
      </c>
      <c r="B224" s="108" t="s">
        <v>404</v>
      </c>
    </row>
    <row r="225" spans="1:2" x14ac:dyDescent="0.2">
      <c r="A225" s="108">
        <v>5205630200</v>
      </c>
      <c r="B225" s="108" t="s">
        <v>404</v>
      </c>
    </row>
    <row r="226" spans="1:2" x14ac:dyDescent="0.2">
      <c r="A226" s="108">
        <v>5205060100</v>
      </c>
      <c r="B226" s="108" t="s">
        <v>405</v>
      </c>
    </row>
    <row r="227" spans="1:2" x14ac:dyDescent="0.2">
      <c r="A227" s="108">
        <v>5205150100</v>
      </c>
      <c r="B227" s="108" t="s">
        <v>405</v>
      </c>
    </row>
    <row r="228" spans="1:2" x14ac:dyDescent="0.2">
      <c r="A228" s="108">
        <v>5205360100</v>
      </c>
      <c r="B228" s="108" t="s">
        <v>406</v>
      </c>
    </row>
    <row r="229" spans="1:2" x14ac:dyDescent="0.2">
      <c r="A229" s="108">
        <v>5205390100</v>
      </c>
      <c r="B229" s="108" t="s">
        <v>406</v>
      </c>
    </row>
    <row r="230" spans="1:2" x14ac:dyDescent="0.2">
      <c r="A230" s="108">
        <v>5205600100</v>
      </c>
      <c r="B230" s="108" t="s">
        <v>406</v>
      </c>
    </row>
    <row r="231" spans="1:2" x14ac:dyDescent="0.2">
      <c r="A231" s="108">
        <v>5205690100</v>
      </c>
      <c r="B231" s="108" t="s">
        <v>406</v>
      </c>
    </row>
    <row r="232" spans="1:2" x14ac:dyDescent="0.2">
      <c r="A232" s="108">
        <v>5205700100</v>
      </c>
      <c r="B232" s="108" t="s">
        <v>406</v>
      </c>
    </row>
    <row r="233" spans="1:2" x14ac:dyDescent="0.2">
      <c r="A233" s="108">
        <v>5205700100</v>
      </c>
      <c r="B233" s="108" t="s">
        <v>406</v>
      </c>
    </row>
    <row r="234" spans="1:2" x14ac:dyDescent="0.2">
      <c r="A234" s="108">
        <v>5205700200</v>
      </c>
      <c r="B234" s="108" t="s">
        <v>406</v>
      </c>
    </row>
    <row r="235" spans="1:2" x14ac:dyDescent="0.2">
      <c r="A235" s="108">
        <v>5205780100</v>
      </c>
      <c r="B235" s="108" t="s">
        <v>406</v>
      </c>
    </row>
    <row r="236" spans="1:2" x14ac:dyDescent="0.2">
      <c r="A236" s="108">
        <v>5205660100</v>
      </c>
      <c r="B236" s="108" t="s">
        <v>407</v>
      </c>
    </row>
    <row r="237" spans="1:2" x14ac:dyDescent="0.2">
      <c r="A237" s="108">
        <v>5210250000</v>
      </c>
      <c r="B237" s="108" t="s">
        <v>408</v>
      </c>
    </row>
    <row r="238" spans="1:2" x14ac:dyDescent="0.2">
      <c r="A238" s="108">
        <v>5210350000</v>
      </c>
      <c r="B238" s="108" t="s">
        <v>408</v>
      </c>
    </row>
    <row r="239" spans="1:2" x14ac:dyDescent="0.2">
      <c r="A239" s="108">
        <v>5210950000</v>
      </c>
      <c r="B239" s="108" t="s">
        <v>408</v>
      </c>
    </row>
    <row r="240" spans="1:2" x14ac:dyDescent="0.2">
      <c r="A240" s="108">
        <v>5115950000</v>
      </c>
      <c r="B240" s="108" t="s">
        <v>409</v>
      </c>
    </row>
    <row r="241" spans="1:2" x14ac:dyDescent="0.2">
      <c r="A241" s="108">
        <v>5215100000</v>
      </c>
      <c r="B241" s="108" t="s">
        <v>409</v>
      </c>
    </row>
    <row r="242" spans="1:2" x14ac:dyDescent="0.2">
      <c r="A242" s="108">
        <v>5215950000</v>
      </c>
      <c r="B242" s="108" t="s">
        <v>409</v>
      </c>
    </row>
    <row r="243" spans="1:2" x14ac:dyDescent="0.2">
      <c r="A243" s="108">
        <v>5240100000</v>
      </c>
      <c r="B243" s="108" t="s">
        <v>409</v>
      </c>
    </row>
    <row r="244" spans="1:2" x14ac:dyDescent="0.2">
      <c r="A244" s="108">
        <v>5240150000</v>
      </c>
      <c r="B244" s="108" t="s">
        <v>409</v>
      </c>
    </row>
    <row r="245" spans="1:2" x14ac:dyDescent="0.2">
      <c r="A245" s="108">
        <v>5245400000</v>
      </c>
      <c r="B245" s="108" t="s">
        <v>410</v>
      </c>
    </row>
    <row r="246" spans="1:2" x14ac:dyDescent="0.2">
      <c r="A246" s="108">
        <v>5295350000</v>
      </c>
      <c r="B246" s="108" t="s">
        <v>410</v>
      </c>
    </row>
    <row r="247" spans="1:2" x14ac:dyDescent="0.2">
      <c r="A247" s="108">
        <v>5295100000</v>
      </c>
      <c r="B247" s="108" t="s">
        <v>411</v>
      </c>
    </row>
    <row r="248" spans="1:2" x14ac:dyDescent="0.2">
      <c r="A248" s="108">
        <v>5295300000</v>
      </c>
      <c r="B248" s="108" t="s">
        <v>411</v>
      </c>
    </row>
    <row r="249" spans="1:2" x14ac:dyDescent="0.2">
      <c r="A249" s="108">
        <v>5235600000</v>
      </c>
      <c r="B249" s="108" t="s">
        <v>412</v>
      </c>
    </row>
    <row r="250" spans="1:2" x14ac:dyDescent="0.2">
      <c r="A250" s="108">
        <v>5235350000</v>
      </c>
      <c r="B250" s="108" t="s">
        <v>413</v>
      </c>
    </row>
    <row r="251" spans="1:2" x14ac:dyDescent="0.2">
      <c r="A251" s="108">
        <v>5235400100</v>
      </c>
      <c r="B251" s="108" t="s">
        <v>413</v>
      </c>
    </row>
    <row r="252" spans="1:2" x14ac:dyDescent="0.2">
      <c r="A252" s="108">
        <v>5235400200</v>
      </c>
      <c r="B252" s="108" t="s">
        <v>413</v>
      </c>
    </row>
    <row r="253" spans="1:2" x14ac:dyDescent="0.2">
      <c r="A253" s="108">
        <v>5235450000</v>
      </c>
      <c r="B253" s="108" t="s">
        <v>413</v>
      </c>
    </row>
    <row r="254" spans="1:2" x14ac:dyDescent="0.2">
      <c r="A254" s="108">
        <v>5230250000</v>
      </c>
      <c r="B254" s="108" t="s">
        <v>414</v>
      </c>
    </row>
    <row r="255" spans="1:2" x14ac:dyDescent="0.2">
      <c r="A255" s="108">
        <v>5230950000</v>
      </c>
      <c r="B255" s="108" t="s">
        <v>414</v>
      </c>
    </row>
    <row r="256" spans="1:2" x14ac:dyDescent="0.2">
      <c r="A256" s="108">
        <v>5295700000</v>
      </c>
      <c r="B256" s="108" t="s">
        <v>414</v>
      </c>
    </row>
    <row r="257" spans="1:2" x14ac:dyDescent="0.2">
      <c r="A257" s="108">
        <v>5225100000</v>
      </c>
      <c r="B257" s="108" t="s">
        <v>415</v>
      </c>
    </row>
    <row r="258" spans="1:2" x14ac:dyDescent="0.2">
      <c r="A258" s="108">
        <v>5205480100</v>
      </c>
      <c r="B258" s="108" t="s">
        <v>416</v>
      </c>
    </row>
    <row r="259" spans="1:2" x14ac:dyDescent="0.2">
      <c r="A259" s="108">
        <v>5205480200</v>
      </c>
      <c r="B259" s="108" t="s">
        <v>416</v>
      </c>
    </row>
    <row r="260" spans="1:2" x14ac:dyDescent="0.2">
      <c r="A260" s="108">
        <v>5205481000</v>
      </c>
      <c r="B260" s="108" t="s">
        <v>416</v>
      </c>
    </row>
    <row r="261" spans="1:2" x14ac:dyDescent="0.2">
      <c r="A261" s="108">
        <v>5205481100</v>
      </c>
      <c r="B261" s="108" t="s">
        <v>416</v>
      </c>
    </row>
    <row r="262" spans="1:2" x14ac:dyDescent="0.2">
      <c r="A262" s="108">
        <v>5205210100</v>
      </c>
      <c r="B262" s="108" t="s">
        <v>417</v>
      </c>
    </row>
    <row r="263" spans="1:2" x14ac:dyDescent="0.2">
      <c r="A263" s="108">
        <v>5205210200</v>
      </c>
      <c r="B263" s="108" t="s">
        <v>417</v>
      </c>
    </row>
    <row r="264" spans="1:2" x14ac:dyDescent="0.2">
      <c r="A264" s="108">
        <v>5255050100</v>
      </c>
      <c r="B264" s="108" t="s">
        <v>417</v>
      </c>
    </row>
    <row r="265" spans="1:2" x14ac:dyDescent="0.2">
      <c r="A265" s="108">
        <v>5255060100</v>
      </c>
      <c r="B265" s="108" t="s">
        <v>417</v>
      </c>
    </row>
    <row r="266" spans="1:2" x14ac:dyDescent="0.2">
      <c r="A266" s="108">
        <v>5255150100</v>
      </c>
      <c r="B266" s="108" t="s">
        <v>417</v>
      </c>
    </row>
    <row r="267" spans="1:2" x14ac:dyDescent="0.2">
      <c r="A267" s="108">
        <v>5255200100</v>
      </c>
      <c r="B267" s="108" t="s">
        <v>417</v>
      </c>
    </row>
    <row r="268" spans="1:2" x14ac:dyDescent="0.2">
      <c r="A268" s="108">
        <v>5255200200</v>
      </c>
      <c r="B268" s="108" t="s">
        <v>417</v>
      </c>
    </row>
    <row r="269" spans="1:2" x14ac:dyDescent="0.2">
      <c r="A269" s="108">
        <v>5255950100</v>
      </c>
      <c r="B269" s="108" t="s">
        <v>417</v>
      </c>
    </row>
    <row r="270" spans="1:2" x14ac:dyDescent="0.2">
      <c r="A270" s="108">
        <v>5240050000</v>
      </c>
      <c r="B270" s="108" t="s">
        <v>418</v>
      </c>
    </row>
    <row r="271" spans="1:2" x14ac:dyDescent="0.2">
      <c r="A271" s="108">
        <v>5240200400</v>
      </c>
      <c r="B271" s="108" t="s">
        <v>418</v>
      </c>
    </row>
    <row r="272" spans="1:2" x14ac:dyDescent="0.2">
      <c r="A272" s="108">
        <v>5220050000</v>
      </c>
      <c r="B272" s="108" t="s">
        <v>419</v>
      </c>
    </row>
    <row r="273" spans="1:2" x14ac:dyDescent="0.2">
      <c r="A273" s="108">
        <v>5220100000</v>
      </c>
      <c r="B273" s="108" t="s">
        <v>419</v>
      </c>
    </row>
    <row r="274" spans="1:2" x14ac:dyDescent="0.2">
      <c r="A274" s="108">
        <v>5220100100</v>
      </c>
      <c r="B274" s="108" t="s">
        <v>419</v>
      </c>
    </row>
    <row r="275" spans="1:2" x14ac:dyDescent="0.2">
      <c r="A275" s="108">
        <v>5220950000</v>
      </c>
      <c r="B275" s="108" t="s">
        <v>419</v>
      </c>
    </row>
    <row r="278" spans="1:2" x14ac:dyDescent="0.2">
      <c r="B278" s="108" t="s">
        <v>420</v>
      </c>
    </row>
    <row r="279" spans="1:2" x14ac:dyDescent="0.2">
      <c r="A279" s="108">
        <v>5105060000</v>
      </c>
      <c r="B279" s="108" t="s">
        <v>421</v>
      </c>
    </row>
    <row r="280" spans="1:2" x14ac:dyDescent="0.2">
      <c r="A280" s="108">
        <v>5105150000</v>
      </c>
      <c r="B280" s="108" t="s">
        <v>421</v>
      </c>
    </row>
    <row r="281" spans="1:2" x14ac:dyDescent="0.2">
      <c r="A281" s="108">
        <v>5105360000</v>
      </c>
      <c r="B281" s="108" t="s">
        <v>422</v>
      </c>
    </row>
    <row r="282" spans="1:2" x14ac:dyDescent="0.2">
      <c r="A282" s="108">
        <v>5105390000</v>
      </c>
      <c r="B282" s="108" t="s">
        <v>422</v>
      </c>
    </row>
    <row r="283" spans="1:2" x14ac:dyDescent="0.2">
      <c r="A283" s="108">
        <v>5105600000</v>
      </c>
      <c r="B283" s="108" t="s">
        <v>422</v>
      </c>
    </row>
    <row r="284" spans="1:2" x14ac:dyDescent="0.2">
      <c r="A284" s="108">
        <v>5105690000</v>
      </c>
      <c r="B284" s="108" t="s">
        <v>422</v>
      </c>
    </row>
    <row r="285" spans="1:2" x14ac:dyDescent="0.2">
      <c r="A285" s="108">
        <v>5105700000</v>
      </c>
      <c r="B285" s="108" t="s">
        <v>422</v>
      </c>
    </row>
    <row r="286" spans="1:2" x14ac:dyDescent="0.2">
      <c r="A286" s="108">
        <v>5105780000</v>
      </c>
      <c r="B286" s="108" t="s">
        <v>422</v>
      </c>
    </row>
    <row r="287" spans="1:2" x14ac:dyDescent="0.2">
      <c r="A287" s="108">
        <v>5105950000</v>
      </c>
      <c r="B287" s="108" t="s">
        <v>422</v>
      </c>
    </row>
    <row r="288" spans="1:2" x14ac:dyDescent="0.2">
      <c r="A288" s="108">
        <v>5105180000</v>
      </c>
      <c r="B288" s="108" t="s">
        <v>423</v>
      </c>
    </row>
    <row r="289" spans="1:2" x14ac:dyDescent="0.2">
      <c r="A289" s="108">
        <v>5105630000</v>
      </c>
      <c r="B289" s="108" t="s">
        <v>424</v>
      </c>
    </row>
    <row r="290" spans="1:2" x14ac:dyDescent="0.2">
      <c r="A290" s="108">
        <v>5105391000</v>
      </c>
      <c r="B290" s="108" t="s">
        <v>425</v>
      </c>
    </row>
    <row r="291" spans="1:2" x14ac:dyDescent="0.2">
      <c r="A291" s="108">
        <v>5105691000</v>
      </c>
      <c r="B291" s="108" t="s">
        <v>425</v>
      </c>
    </row>
    <row r="292" spans="1:2" x14ac:dyDescent="0.2">
      <c r="A292" s="108">
        <v>5105701000</v>
      </c>
      <c r="B292" s="108" t="s">
        <v>425</v>
      </c>
    </row>
    <row r="293" spans="1:2" x14ac:dyDescent="0.2">
      <c r="A293" s="108">
        <v>5135050000</v>
      </c>
      <c r="B293" s="108" t="s">
        <v>399</v>
      </c>
    </row>
    <row r="294" spans="1:2" x14ac:dyDescent="0.2">
      <c r="A294" s="108">
        <v>5135150000</v>
      </c>
      <c r="B294" s="108" t="s">
        <v>399</v>
      </c>
    </row>
    <row r="295" spans="1:2" x14ac:dyDescent="0.2">
      <c r="A295" s="108">
        <v>5135200000</v>
      </c>
      <c r="B295" s="108" t="s">
        <v>399</v>
      </c>
    </row>
    <row r="296" spans="1:2" x14ac:dyDescent="0.2">
      <c r="A296" s="108">
        <v>5135950500</v>
      </c>
      <c r="B296" s="108" t="s">
        <v>399</v>
      </c>
    </row>
    <row r="297" spans="1:2" x14ac:dyDescent="0.2">
      <c r="A297" s="108">
        <v>5120100000</v>
      </c>
      <c r="B297" s="108" t="s">
        <v>426</v>
      </c>
    </row>
    <row r="298" spans="1:2" x14ac:dyDescent="0.2">
      <c r="A298" s="108">
        <v>5105660000</v>
      </c>
      <c r="B298" s="108" t="s">
        <v>427</v>
      </c>
    </row>
    <row r="299" spans="1:2" x14ac:dyDescent="0.2">
      <c r="A299" s="108">
        <v>5155960000</v>
      </c>
      <c r="B299" s="108" t="s">
        <v>427</v>
      </c>
    </row>
    <row r="300" spans="1:2" x14ac:dyDescent="0.2">
      <c r="A300" s="108">
        <v>5195950300</v>
      </c>
      <c r="B300" s="108" t="s">
        <v>428</v>
      </c>
    </row>
    <row r="301" spans="1:2" x14ac:dyDescent="0.2">
      <c r="A301" s="108">
        <v>5110100000</v>
      </c>
      <c r="B301" s="108" t="s">
        <v>429</v>
      </c>
    </row>
    <row r="302" spans="1:2" x14ac:dyDescent="0.2">
      <c r="A302" s="108">
        <v>5110200000</v>
      </c>
      <c r="B302" s="108" t="s">
        <v>429</v>
      </c>
    </row>
    <row r="303" spans="1:2" x14ac:dyDescent="0.2">
      <c r="A303" s="108">
        <v>5110250000</v>
      </c>
      <c r="B303" s="108" t="s">
        <v>429</v>
      </c>
    </row>
    <row r="304" spans="1:2" x14ac:dyDescent="0.2">
      <c r="A304" s="108">
        <v>5110300000</v>
      </c>
      <c r="B304" s="108" t="s">
        <v>429</v>
      </c>
    </row>
    <row r="305" spans="1:2" x14ac:dyDescent="0.2">
      <c r="A305" s="108">
        <v>5110350000</v>
      </c>
      <c r="B305" s="108" t="s">
        <v>429</v>
      </c>
    </row>
    <row r="306" spans="1:2" x14ac:dyDescent="0.2">
      <c r="A306" s="108">
        <v>5110950000</v>
      </c>
      <c r="B306" s="108" t="s">
        <v>429</v>
      </c>
    </row>
    <row r="307" spans="1:2" x14ac:dyDescent="0.2">
      <c r="A307" s="108">
        <v>5130</v>
      </c>
      <c r="B307" s="108" t="s">
        <v>430</v>
      </c>
    </row>
    <row r="308" spans="1:2" x14ac:dyDescent="0.2">
      <c r="A308" s="108">
        <v>5145400000</v>
      </c>
      <c r="B308" s="108" t="s">
        <v>431</v>
      </c>
    </row>
    <row r="309" spans="1:2" x14ac:dyDescent="0.2">
      <c r="A309" s="108">
        <v>5195350000</v>
      </c>
      <c r="B309" s="108" t="s">
        <v>431</v>
      </c>
    </row>
    <row r="310" spans="1:2" x14ac:dyDescent="0.2">
      <c r="A310" s="108">
        <v>5195300000</v>
      </c>
      <c r="B310" s="108" t="s">
        <v>411</v>
      </c>
    </row>
    <row r="311" spans="1:2" x14ac:dyDescent="0.2">
      <c r="A311" s="108">
        <v>5135350000</v>
      </c>
      <c r="B311" s="108" t="s">
        <v>432</v>
      </c>
    </row>
    <row r="312" spans="1:2" x14ac:dyDescent="0.2">
      <c r="A312" s="108">
        <v>5145050000</v>
      </c>
      <c r="B312" s="108" t="s">
        <v>433</v>
      </c>
    </row>
    <row r="313" spans="1:2" x14ac:dyDescent="0.2">
      <c r="A313" s="108">
        <v>5145100000</v>
      </c>
      <c r="B313" s="108" t="s">
        <v>433</v>
      </c>
    </row>
    <row r="314" spans="1:2" x14ac:dyDescent="0.2">
      <c r="A314" s="108">
        <v>5145200000</v>
      </c>
      <c r="B314" s="108" t="s">
        <v>433</v>
      </c>
    </row>
    <row r="315" spans="1:2" x14ac:dyDescent="0.2">
      <c r="A315" s="108">
        <v>5145250000</v>
      </c>
      <c r="B315" s="108" t="s">
        <v>433</v>
      </c>
    </row>
    <row r="316" spans="1:2" x14ac:dyDescent="0.2">
      <c r="A316" s="108">
        <v>5150050000</v>
      </c>
      <c r="B316" s="108" t="s">
        <v>433</v>
      </c>
    </row>
    <row r="317" spans="1:2" x14ac:dyDescent="0.2">
      <c r="A317" s="108">
        <v>5150100000</v>
      </c>
      <c r="B317" s="108" t="s">
        <v>433</v>
      </c>
    </row>
    <row r="318" spans="1:2" x14ac:dyDescent="0.2">
      <c r="A318" s="108">
        <v>5150150000</v>
      </c>
      <c r="B318" s="108" t="s">
        <v>433</v>
      </c>
    </row>
    <row r="319" spans="1:2" x14ac:dyDescent="0.2">
      <c r="A319" s="108">
        <v>5150950000</v>
      </c>
      <c r="B319" s="108" t="s">
        <v>433</v>
      </c>
    </row>
    <row r="320" spans="1:2" x14ac:dyDescent="0.2">
      <c r="A320" s="108">
        <v>5195150000</v>
      </c>
      <c r="B320" s="108" t="s">
        <v>433</v>
      </c>
    </row>
    <row r="321" spans="1:2" x14ac:dyDescent="0.2">
      <c r="A321" s="108">
        <v>5195250000</v>
      </c>
      <c r="B321" s="108" t="s">
        <v>433</v>
      </c>
    </row>
    <row r="322" spans="1:2" x14ac:dyDescent="0.2">
      <c r="A322" s="108">
        <v>5195400000</v>
      </c>
      <c r="B322" s="108" t="s">
        <v>433</v>
      </c>
    </row>
    <row r="323" spans="1:2" x14ac:dyDescent="0.2">
      <c r="A323" s="122">
        <v>5140050000</v>
      </c>
      <c r="B323" s="108" t="s">
        <v>434</v>
      </c>
    </row>
    <row r="324" spans="1:2" x14ac:dyDescent="0.2">
      <c r="A324" s="122">
        <v>5140100000</v>
      </c>
      <c r="B324" s="108" t="s">
        <v>435</v>
      </c>
    </row>
    <row r="325" spans="1:2" x14ac:dyDescent="0.2">
      <c r="A325" s="108">
        <v>5105210000</v>
      </c>
      <c r="B325" s="108" t="s">
        <v>436</v>
      </c>
    </row>
    <row r="326" spans="1:2" x14ac:dyDescent="0.2">
      <c r="A326" s="108">
        <v>5155050000</v>
      </c>
      <c r="B326" s="108" t="s">
        <v>436</v>
      </c>
    </row>
    <row r="327" spans="1:2" x14ac:dyDescent="0.2">
      <c r="A327" s="108">
        <v>5155060000</v>
      </c>
      <c r="B327" s="108" t="s">
        <v>436</v>
      </c>
    </row>
    <row r="328" spans="1:2" x14ac:dyDescent="0.2">
      <c r="A328" s="108">
        <v>5155150000</v>
      </c>
      <c r="B328" s="108" t="s">
        <v>436</v>
      </c>
    </row>
    <row r="329" spans="1:2" x14ac:dyDescent="0.2">
      <c r="A329" s="108">
        <v>5155200000</v>
      </c>
      <c r="B329" s="108" t="s">
        <v>436</v>
      </c>
    </row>
    <row r="330" spans="1:2" x14ac:dyDescent="0.2">
      <c r="A330" s="108">
        <v>5155950000</v>
      </c>
      <c r="B330" s="108" t="s">
        <v>436</v>
      </c>
    </row>
    <row r="332" spans="1:2" x14ac:dyDescent="0.2">
      <c r="B332" s="108" t="s">
        <v>437</v>
      </c>
    </row>
    <row r="333" spans="1:2" x14ac:dyDescent="0.2">
      <c r="A333" s="108">
        <v>5135950300</v>
      </c>
      <c r="B333" s="108" t="s">
        <v>438</v>
      </c>
    </row>
    <row r="334" spans="1:2" x14ac:dyDescent="0.2">
      <c r="A334" s="108">
        <v>5198530000</v>
      </c>
      <c r="B334" s="108" t="s">
        <v>438</v>
      </c>
    </row>
    <row r="335" spans="1:2" x14ac:dyDescent="0.2">
      <c r="A335" s="108">
        <v>5398050000</v>
      </c>
      <c r="B335" s="108" t="s">
        <v>438</v>
      </c>
    </row>
    <row r="336" spans="1:2" x14ac:dyDescent="0.2">
      <c r="A336" s="108">
        <v>5398210000</v>
      </c>
      <c r="B336" s="108" t="s">
        <v>439</v>
      </c>
    </row>
    <row r="337" spans="1:2" x14ac:dyDescent="0.2">
      <c r="A337" s="108">
        <v>5110358000</v>
      </c>
      <c r="B337" s="108" t="s">
        <v>440</v>
      </c>
    </row>
    <row r="338" spans="1:2" x14ac:dyDescent="0.2">
      <c r="A338" s="108">
        <v>5210358000</v>
      </c>
      <c r="B338" s="108" t="s">
        <v>440</v>
      </c>
    </row>
    <row r="340" spans="1:2" x14ac:dyDescent="0.2">
      <c r="B340" s="108" t="s">
        <v>441</v>
      </c>
    </row>
    <row r="341" spans="1:2" x14ac:dyDescent="0.2">
      <c r="A341" s="108">
        <v>4210200100</v>
      </c>
      <c r="B341" s="108" t="s">
        <v>442</v>
      </c>
    </row>
    <row r="342" spans="1:2" x14ac:dyDescent="0.2">
      <c r="A342" s="108">
        <v>4210200200</v>
      </c>
      <c r="B342" s="108" t="s">
        <v>442</v>
      </c>
    </row>
    <row r="343" spans="1:2" x14ac:dyDescent="0.2">
      <c r="A343" s="108">
        <v>4210200400</v>
      </c>
      <c r="B343" s="108" t="s">
        <v>443</v>
      </c>
    </row>
    <row r="344" spans="1:2" x14ac:dyDescent="0.2">
      <c r="A344" s="108">
        <v>4210200500</v>
      </c>
      <c r="B344" s="108" t="s">
        <v>443</v>
      </c>
    </row>
    <row r="345" spans="1:2" x14ac:dyDescent="0.2">
      <c r="A345" s="108">
        <v>4210200501</v>
      </c>
      <c r="B345" s="108" t="s">
        <v>443</v>
      </c>
    </row>
    <row r="346" spans="1:2" x14ac:dyDescent="0.2">
      <c r="A346" s="108">
        <v>4210201000</v>
      </c>
      <c r="B346" s="108" t="s">
        <v>443</v>
      </c>
    </row>
    <row r="347" spans="1:2" x14ac:dyDescent="0.2">
      <c r="A347" s="108">
        <v>4210201001</v>
      </c>
      <c r="B347" s="108" t="s">
        <v>443</v>
      </c>
    </row>
    <row r="348" spans="1:2" x14ac:dyDescent="0.2">
      <c r="A348" s="108">
        <v>4210201100</v>
      </c>
      <c r="B348" s="108" t="s">
        <v>443</v>
      </c>
    </row>
    <row r="349" spans="1:2" x14ac:dyDescent="0.2">
      <c r="A349" s="108">
        <v>4210051000</v>
      </c>
      <c r="B349" s="108" t="s">
        <v>444</v>
      </c>
    </row>
    <row r="350" spans="1:2" x14ac:dyDescent="0.2">
      <c r="A350" s="108">
        <v>4210201000</v>
      </c>
      <c r="B350" s="108" t="s">
        <v>444</v>
      </c>
    </row>
    <row r="351" spans="1:2" x14ac:dyDescent="0.2">
      <c r="A351" s="108">
        <v>4210400000</v>
      </c>
      <c r="B351" s="108" t="s">
        <v>444</v>
      </c>
    </row>
    <row r="352" spans="1:2" x14ac:dyDescent="0.2">
      <c r="A352" s="108">
        <v>4245010000</v>
      </c>
      <c r="B352" s="108" t="s">
        <v>444</v>
      </c>
    </row>
    <row r="353" spans="1:2" x14ac:dyDescent="0.2">
      <c r="A353" s="108">
        <v>4250500100</v>
      </c>
      <c r="B353" s="108" t="s">
        <v>444</v>
      </c>
    </row>
    <row r="354" spans="1:2" x14ac:dyDescent="0.2">
      <c r="A354" s="108">
        <v>4250500200</v>
      </c>
      <c r="B354" s="108" t="s">
        <v>444</v>
      </c>
    </row>
    <row r="355" spans="1:2" x14ac:dyDescent="0.2">
      <c r="A355" s="108">
        <v>4250500300</v>
      </c>
      <c r="B355" s="108" t="s">
        <v>444</v>
      </c>
    </row>
    <row r="356" spans="1:2" x14ac:dyDescent="0.2">
      <c r="A356" s="108">
        <v>4250506600</v>
      </c>
      <c r="B356" s="108" t="s">
        <v>444</v>
      </c>
    </row>
    <row r="357" spans="1:2" x14ac:dyDescent="0.2">
      <c r="A357" s="108">
        <v>4255200000</v>
      </c>
      <c r="B357" s="108" t="s">
        <v>444</v>
      </c>
    </row>
    <row r="358" spans="1:2" x14ac:dyDescent="0.2">
      <c r="A358" s="108">
        <v>4295050000</v>
      </c>
      <c r="B358" s="108" t="s">
        <v>444</v>
      </c>
    </row>
    <row r="359" spans="1:2" x14ac:dyDescent="0.2">
      <c r="A359" s="108">
        <v>4295810000</v>
      </c>
      <c r="B359" s="108" t="s">
        <v>444</v>
      </c>
    </row>
    <row r="361" spans="1:2" x14ac:dyDescent="0.2">
      <c r="B361" s="108" t="s">
        <v>445</v>
      </c>
    </row>
    <row r="362" spans="1:2" x14ac:dyDescent="0.2">
      <c r="A362" s="108">
        <v>5305350000</v>
      </c>
      <c r="B362" s="108" t="s">
        <v>446</v>
      </c>
    </row>
    <row r="363" spans="1:2" x14ac:dyDescent="0.2">
      <c r="A363" s="108">
        <v>5310150000</v>
      </c>
      <c r="B363" s="108" t="s">
        <v>446</v>
      </c>
    </row>
    <row r="364" spans="1:2" x14ac:dyDescent="0.2">
      <c r="A364" s="108">
        <v>5310300000</v>
      </c>
      <c r="B364" s="108" t="s">
        <v>446</v>
      </c>
    </row>
    <row r="365" spans="1:2" x14ac:dyDescent="0.2">
      <c r="A365" s="108">
        <v>5310350000</v>
      </c>
      <c r="B365" s="108" t="s">
        <v>446</v>
      </c>
    </row>
    <row r="366" spans="1:2" x14ac:dyDescent="0.2">
      <c r="A366" s="108">
        <v>5313050000</v>
      </c>
      <c r="B366" s="108" t="s">
        <v>446</v>
      </c>
    </row>
    <row r="367" spans="1:2" x14ac:dyDescent="0.2">
      <c r="A367" s="108">
        <v>5315150200</v>
      </c>
      <c r="B367" s="108" t="s">
        <v>446</v>
      </c>
    </row>
    <row r="368" spans="1:2" x14ac:dyDescent="0.2">
      <c r="A368" s="108">
        <v>5315160000</v>
      </c>
      <c r="B368" s="108" t="s">
        <v>446</v>
      </c>
    </row>
    <row r="369" spans="1:3" x14ac:dyDescent="0.2">
      <c r="A369" s="108">
        <v>5315200000</v>
      </c>
      <c r="B369" s="108" t="s">
        <v>446</v>
      </c>
    </row>
    <row r="370" spans="1:3" x14ac:dyDescent="0.2">
      <c r="A370" s="108">
        <v>5315200100</v>
      </c>
      <c r="B370" s="108" t="s">
        <v>446</v>
      </c>
    </row>
    <row r="371" spans="1:3" x14ac:dyDescent="0.2">
      <c r="A371" s="108">
        <v>5315950000</v>
      </c>
      <c r="B371" s="108" t="s">
        <v>446</v>
      </c>
    </row>
    <row r="372" spans="1:3" x14ac:dyDescent="0.2">
      <c r="A372" s="108">
        <v>5395200000</v>
      </c>
      <c r="B372" s="108" t="s">
        <v>446</v>
      </c>
    </row>
    <row r="373" spans="1:3" x14ac:dyDescent="0.2">
      <c r="A373" s="108">
        <v>5395300000</v>
      </c>
      <c r="B373" s="108" t="s">
        <v>446</v>
      </c>
    </row>
    <row r="374" spans="1:3" x14ac:dyDescent="0.2">
      <c r="A374" s="108">
        <v>5395950000</v>
      </c>
      <c r="B374" s="108" t="s">
        <v>446</v>
      </c>
    </row>
    <row r="375" spans="1:3" x14ac:dyDescent="0.2">
      <c r="A375" s="108">
        <v>5305250500</v>
      </c>
      <c r="B375" s="108" t="s">
        <v>447</v>
      </c>
    </row>
    <row r="376" spans="1:3" x14ac:dyDescent="0.2">
      <c r="A376" s="108">
        <v>5305050000</v>
      </c>
      <c r="B376" s="108" t="s">
        <v>448</v>
      </c>
      <c r="C376" s="108">
        <v>5305050000</v>
      </c>
    </row>
    <row r="377" spans="1:3" x14ac:dyDescent="0.2">
      <c r="A377" s="108">
        <v>5305150000</v>
      </c>
      <c r="B377" s="108" t="s">
        <v>448</v>
      </c>
      <c r="C377" s="108">
        <v>5305200100</v>
      </c>
    </row>
    <row r="378" spans="1:3" x14ac:dyDescent="0.2">
      <c r="A378" s="108">
        <v>5305200100</v>
      </c>
      <c r="B378" s="108" t="s">
        <v>448</v>
      </c>
      <c r="C378" s="108">
        <v>5305202200</v>
      </c>
    </row>
    <row r="379" spans="1:3" x14ac:dyDescent="0.2">
      <c r="A379" s="108">
        <v>5305200200</v>
      </c>
      <c r="B379" s="108" t="s">
        <v>448</v>
      </c>
      <c r="C379" s="108">
        <v>5305150000</v>
      </c>
    </row>
    <row r="380" spans="1:3" x14ac:dyDescent="0.2">
      <c r="A380" s="108">
        <v>5305200300</v>
      </c>
      <c r="B380" s="108" t="s">
        <v>448</v>
      </c>
      <c r="C380" s="108">
        <v>5305200101</v>
      </c>
    </row>
    <row r="381" spans="1:3" x14ac:dyDescent="0.2">
      <c r="A381" s="108">
        <v>5305200400</v>
      </c>
      <c r="B381" s="108" t="s">
        <v>448</v>
      </c>
    </row>
    <row r="382" spans="1:3" x14ac:dyDescent="0.2">
      <c r="A382" s="108">
        <v>5305950000</v>
      </c>
      <c r="B382" s="108" t="s">
        <v>448</v>
      </c>
    </row>
    <row r="383" spans="1:3" x14ac:dyDescent="0.2">
      <c r="A383" s="108">
        <v>5315150000</v>
      </c>
      <c r="B383" s="108" t="s">
        <v>448</v>
      </c>
    </row>
    <row r="385" spans="1:2" x14ac:dyDescent="0.2">
      <c r="A385" s="108">
        <v>5405050100</v>
      </c>
      <c r="B385" s="108" t="s">
        <v>449</v>
      </c>
    </row>
    <row r="389" spans="1:2" x14ac:dyDescent="0.2">
      <c r="B389" s="108" t="s">
        <v>370</v>
      </c>
    </row>
    <row r="390" spans="1:2" x14ac:dyDescent="0.2">
      <c r="A390" s="108">
        <v>5205180100</v>
      </c>
      <c r="B390" s="108" t="s">
        <v>386</v>
      </c>
    </row>
    <row r="391" spans="1:2" x14ac:dyDescent="0.2">
      <c r="A391" s="108">
        <v>5205361000</v>
      </c>
      <c r="B391" s="108" t="s">
        <v>388</v>
      </c>
    </row>
    <row r="392" spans="1:2" x14ac:dyDescent="0.2">
      <c r="A392" s="108">
        <v>5205391000</v>
      </c>
      <c r="B392" s="108" t="s">
        <v>388</v>
      </c>
    </row>
    <row r="393" spans="1:2" x14ac:dyDescent="0.2">
      <c r="A393" s="108">
        <v>5205422000</v>
      </c>
      <c r="B393" s="108" t="s">
        <v>388</v>
      </c>
    </row>
    <row r="394" spans="1:2" x14ac:dyDescent="0.2">
      <c r="A394" s="108">
        <v>5205691000</v>
      </c>
      <c r="B394" s="108" t="s">
        <v>388</v>
      </c>
    </row>
    <row r="395" spans="1:2" x14ac:dyDescent="0.2">
      <c r="A395" s="108">
        <v>5205701000</v>
      </c>
      <c r="B395" s="108" t="s">
        <v>388</v>
      </c>
    </row>
    <row r="396" spans="1:2" x14ac:dyDescent="0.2">
      <c r="A396" s="108">
        <v>5205060100</v>
      </c>
      <c r="B396" s="108" t="s">
        <v>405</v>
      </c>
    </row>
    <row r="397" spans="1:2" x14ac:dyDescent="0.2">
      <c r="A397" s="108">
        <v>5205150100</v>
      </c>
      <c r="B397" s="108" t="s">
        <v>405</v>
      </c>
    </row>
    <row r="398" spans="1:2" x14ac:dyDescent="0.2">
      <c r="A398" s="108">
        <v>5205360100</v>
      </c>
      <c r="B398" s="108" t="s">
        <v>406</v>
      </c>
    </row>
    <row r="399" spans="1:2" x14ac:dyDescent="0.2">
      <c r="A399" s="108">
        <v>5205390100</v>
      </c>
      <c r="B399" s="108" t="s">
        <v>406</v>
      </c>
    </row>
    <row r="400" spans="1:2" x14ac:dyDescent="0.2">
      <c r="A400" s="108">
        <v>5205600100</v>
      </c>
      <c r="B400" s="108" t="s">
        <v>406</v>
      </c>
    </row>
    <row r="401" spans="1:2" x14ac:dyDescent="0.2">
      <c r="A401" s="108">
        <v>5205690100</v>
      </c>
      <c r="B401" s="108" t="s">
        <v>406</v>
      </c>
    </row>
    <row r="402" spans="1:2" x14ac:dyDescent="0.2">
      <c r="A402" s="108">
        <v>5205700100</v>
      </c>
      <c r="B402" s="108" t="s">
        <v>406</v>
      </c>
    </row>
    <row r="403" spans="1:2" x14ac:dyDescent="0.2">
      <c r="A403" s="108">
        <v>5205700100</v>
      </c>
      <c r="B403" s="108" t="s">
        <v>406</v>
      </c>
    </row>
    <row r="404" spans="1:2" x14ac:dyDescent="0.2">
      <c r="A404" s="108">
        <v>5205700200</v>
      </c>
      <c r="B404" s="108" t="s">
        <v>406</v>
      </c>
    </row>
    <row r="405" spans="1:2" x14ac:dyDescent="0.2">
      <c r="A405" s="108">
        <v>5205780100</v>
      </c>
      <c r="B405" s="108" t="s">
        <v>406</v>
      </c>
    </row>
    <row r="406" spans="1:2" x14ac:dyDescent="0.2">
      <c r="A406" s="108">
        <v>5105060000</v>
      </c>
      <c r="B406" s="108" t="s">
        <v>421</v>
      </c>
    </row>
    <row r="407" spans="1:2" x14ac:dyDescent="0.2">
      <c r="A407" s="108">
        <v>5105150000</v>
      </c>
      <c r="B407" s="108" t="s">
        <v>421</v>
      </c>
    </row>
    <row r="408" spans="1:2" x14ac:dyDescent="0.2">
      <c r="A408" s="108">
        <v>5105360000</v>
      </c>
      <c r="B408" s="108" t="s">
        <v>422</v>
      </c>
    </row>
    <row r="409" spans="1:2" x14ac:dyDescent="0.2">
      <c r="A409" s="108">
        <v>5105390000</v>
      </c>
      <c r="B409" s="108" t="s">
        <v>422</v>
      </c>
    </row>
    <row r="410" spans="1:2" x14ac:dyDescent="0.2">
      <c r="A410" s="108">
        <v>5105600000</v>
      </c>
      <c r="B410" s="108" t="s">
        <v>422</v>
      </c>
    </row>
    <row r="411" spans="1:2" x14ac:dyDescent="0.2">
      <c r="A411" s="108">
        <v>5105690000</v>
      </c>
      <c r="B411" s="108" t="s">
        <v>422</v>
      </c>
    </row>
    <row r="412" spans="1:2" x14ac:dyDescent="0.2">
      <c r="A412" s="108">
        <v>5105700000</v>
      </c>
      <c r="B412" s="108" t="s">
        <v>422</v>
      </c>
    </row>
    <row r="413" spans="1:2" x14ac:dyDescent="0.2">
      <c r="A413" s="108">
        <v>5105780000</v>
      </c>
      <c r="B413" s="108" t="s">
        <v>422</v>
      </c>
    </row>
    <row r="414" spans="1:2" x14ac:dyDescent="0.2">
      <c r="A414" s="108">
        <v>5105950000</v>
      </c>
      <c r="B414" s="108" t="s">
        <v>422</v>
      </c>
    </row>
    <row r="415" spans="1:2" x14ac:dyDescent="0.2">
      <c r="A415" s="108">
        <v>5105180000</v>
      </c>
      <c r="B415" s="108" t="s">
        <v>423</v>
      </c>
    </row>
    <row r="416" spans="1:2" x14ac:dyDescent="0.2">
      <c r="A416" s="108">
        <v>5105391000</v>
      </c>
      <c r="B416" s="108" t="s">
        <v>425</v>
      </c>
    </row>
    <row r="417" spans="1:3" x14ac:dyDescent="0.2">
      <c r="A417" s="108">
        <v>5105691000</v>
      </c>
      <c r="B417" s="108" t="s">
        <v>425</v>
      </c>
    </row>
    <row r="418" spans="1:3" x14ac:dyDescent="0.2">
      <c r="A418" s="108">
        <v>5105701000</v>
      </c>
      <c r="B418" s="108" t="s">
        <v>425</v>
      </c>
    </row>
    <row r="421" spans="1:3" x14ac:dyDescent="0.2">
      <c r="A421" s="108">
        <v>5160100000</v>
      </c>
      <c r="B421" s="108" t="s">
        <v>450</v>
      </c>
      <c r="C421" s="108" t="s">
        <v>451</v>
      </c>
    </row>
    <row r="427" spans="1:3" x14ac:dyDescent="0.2">
      <c r="A427" s="109" t="s">
        <v>452</v>
      </c>
    </row>
    <row r="428" spans="1:3" x14ac:dyDescent="0.2">
      <c r="A428" s="108">
        <v>1105050100</v>
      </c>
      <c r="B428" s="108" t="s">
        <v>453</v>
      </c>
      <c r="C428" s="110">
        <v>153078</v>
      </c>
    </row>
    <row r="429" spans="1:3" x14ac:dyDescent="0.2">
      <c r="A429" s="108">
        <v>1105100200</v>
      </c>
      <c r="B429" s="108" t="s">
        <v>454</v>
      </c>
      <c r="C429" s="110">
        <v>7650000</v>
      </c>
    </row>
    <row r="430" spans="1:3" x14ac:dyDescent="0.2">
      <c r="A430" s="108">
        <v>1110050101</v>
      </c>
      <c r="B430" s="108" t="s">
        <v>455</v>
      </c>
      <c r="C430" s="110">
        <v>87094833.519999996</v>
      </c>
    </row>
    <row r="431" spans="1:3" x14ac:dyDescent="0.2">
      <c r="A431" s="108">
        <v>1110050106</v>
      </c>
      <c r="B431" s="108" t="s">
        <v>456</v>
      </c>
      <c r="C431" s="110">
        <v>4020934.46</v>
      </c>
    </row>
    <row r="432" spans="1:3" x14ac:dyDescent="0.2">
      <c r="A432" s="108">
        <v>1110050108</v>
      </c>
      <c r="B432" s="108" t="s">
        <v>457</v>
      </c>
      <c r="C432" s="110">
        <v>2182803.0099999998</v>
      </c>
    </row>
    <row r="433" spans="1:3" x14ac:dyDescent="0.2">
      <c r="A433" s="108">
        <v>1110050110</v>
      </c>
      <c r="B433" s="108" t="s">
        <v>458</v>
      </c>
      <c r="C433" s="110">
        <v>562187.67000000004</v>
      </c>
    </row>
    <row r="434" spans="1:3" x14ac:dyDescent="0.2">
      <c r="A434" s="108">
        <v>1110050111</v>
      </c>
      <c r="B434" s="108" t="s">
        <v>459</v>
      </c>
      <c r="C434" s="110">
        <v>4855691.87</v>
      </c>
    </row>
    <row r="435" spans="1:3" x14ac:dyDescent="0.2">
      <c r="A435" s="108">
        <v>1110100101</v>
      </c>
      <c r="B435" s="108" t="s">
        <v>460</v>
      </c>
      <c r="C435" s="110">
        <v>6300643.9299999997</v>
      </c>
    </row>
    <row r="436" spans="1:3" x14ac:dyDescent="0.2">
      <c r="A436" s="108">
        <v>1125100200</v>
      </c>
      <c r="B436" s="108" t="s">
        <v>461</v>
      </c>
      <c r="C436" s="110">
        <v>1355004.36</v>
      </c>
    </row>
    <row r="437" spans="1:3" x14ac:dyDescent="0.2">
      <c r="A437" s="108">
        <v>1130050100</v>
      </c>
      <c r="B437" s="108" t="s">
        <v>462</v>
      </c>
      <c r="C437" s="110">
        <v>377428.44</v>
      </c>
    </row>
    <row r="438" spans="1:3" x14ac:dyDescent="0.2">
      <c r="A438" s="109"/>
      <c r="C438" s="110">
        <f>SUM(C428:C437)</f>
        <v>114552605.26000001</v>
      </c>
    </row>
    <row r="439" spans="1:3" x14ac:dyDescent="0.2">
      <c r="A439" s="109"/>
    </row>
    <row r="440" spans="1:3" x14ac:dyDescent="0.2">
      <c r="A440" s="108">
        <v>1101</v>
      </c>
      <c r="B440" s="108" t="s">
        <v>463</v>
      </c>
    </row>
    <row r="441" spans="1:3" x14ac:dyDescent="0.2">
      <c r="A441" s="108">
        <v>1102</v>
      </c>
      <c r="B441" s="108" t="s">
        <v>464</v>
      </c>
    </row>
    <row r="442" spans="1:3" x14ac:dyDescent="0.2">
      <c r="A442" s="108">
        <v>1103</v>
      </c>
      <c r="B442" s="108" t="s">
        <v>465</v>
      </c>
    </row>
    <row r="443" spans="1:3" x14ac:dyDescent="0.2">
      <c r="A443" s="108">
        <v>1104</v>
      </c>
      <c r="B443" s="108" t="s">
        <v>466</v>
      </c>
    </row>
    <row r="444" spans="1:3" x14ac:dyDescent="0.2">
      <c r="A444" s="108" t="s">
        <v>467</v>
      </c>
      <c r="B444" s="108" t="s">
        <v>468</v>
      </c>
    </row>
    <row r="445" spans="1:3" x14ac:dyDescent="0.2">
      <c r="A445" s="108">
        <v>1106</v>
      </c>
      <c r="B445" s="108" t="s">
        <v>469</v>
      </c>
    </row>
    <row r="446" spans="1:3" x14ac:dyDescent="0.2">
      <c r="B446" s="108" t="s">
        <v>470</v>
      </c>
    </row>
    <row r="448" spans="1:3" x14ac:dyDescent="0.2">
      <c r="B448" s="108" t="s">
        <v>471</v>
      </c>
    </row>
    <row r="450" spans="1:2" x14ac:dyDescent="0.2">
      <c r="B450" s="108" t="s">
        <v>85</v>
      </c>
    </row>
    <row r="451" spans="1:2" x14ac:dyDescent="0.2">
      <c r="A451" s="108">
        <v>1201</v>
      </c>
      <c r="B451" s="108" t="s">
        <v>472</v>
      </c>
    </row>
    <row r="452" spans="1:2" x14ac:dyDescent="0.2">
      <c r="A452" s="108">
        <v>1202</v>
      </c>
      <c r="B452" s="108" t="s">
        <v>473</v>
      </c>
    </row>
    <row r="453" spans="1:2" x14ac:dyDescent="0.2">
      <c r="A453" s="108">
        <v>1203</v>
      </c>
      <c r="B453" s="108" t="s">
        <v>474</v>
      </c>
    </row>
    <row r="454" spans="1:2" x14ac:dyDescent="0.2">
      <c r="A454" s="108">
        <v>1204</v>
      </c>
      <c r="B454" s="108" t="s">
        <v>475</v>
      </c>
    </row>
    <row r="455" spans="1:2" x14ac:dyDescent="0.2">
      <c r="A455" s="108">
        <v>1205</v>
      </c>
      <c r="B455" s="108" t="s">
        <v>476</v>
      </c>
    </row>
    <row r="456" spans="1:2" x14ac:dyDescent="0.2">
      <c r="A456" s="108">
        <v>1206</v>
      </c>
      <c r="B456" s="108" t="s">
        <v>477</v>
      </c>
    </row>
    <row r="458" spans="1:2" x14ac:dyDescent="0.2">
      <c r="B458" s="108" t="s">
        <v>478</v>
      </c>
    </row>
    <row r="460" spans="1:2" x14ac:dyDescent="0.2">
      <c r="B460" s="108" t="s">
        <v>479</v>
      </c>
    </row>
    <row r="461" spans="1:2" x14ac:dyDescent="0.2">
      <c r="A461" s="108">
        <v>1208</v>
      </c>
      <c r="B461" s="108" t="s">
        <v>480</v>
      </c>
    </row>
    <row r="463" spans="1:2" x14ac:dyDescent="0.2">
      <c r="B463" s="108" t="s">
        <v>86</v>
      </c>
    </row>
    <row r="464" spans="1:2" x14ac:dyDescent="0.2">
      <c r="A464" s="108" t="s">
        <v>481</v>
      </c>
      <c r="B464" s="108" t="s">
        <v>482</v>
      </c>
    </row>
    <row r="465" spans="1:2" x14ac:dyDescent="0.2">
      <c r="A465" s="108">
        <v>1210</v>
      </c>
      <c r="B465" s="108" t="s">
        <v>483</v>
      </c>
    </row>
    <row r="466" spans="1:2" x14ac:dyDescent="0.2">
      <c r="A466" s="108">
        <v>1211</v>
      </c>
      <c r="B466" s="108" t="s">
        <v>484</v>
      </c>
    </row>
    <row r="467" spans="1:2" x14ac:dyDescent="0.2">
      <c r="A467" s="108">
        <v>1212</v>
      </c>
      <c r="B467" s="108" t="s">
        <v>485</v>
      </c>
    </row>
    <row r="468" spans="1:2" x14ac:dyDescent="0.2">
      <c r="B468" s="108" t="s">
        <v>486</v>
      </c>
    </row>
    <row r="470" spans="1:2" x14ac:dyDescent="0.2">
      <c r="B470" s="108" t="s">
        <v>87</v>
      </c>
    </row>
    <row r="471" spans="1:2" x14ac:dyDescent="0.2">
      <c r="A471" s="108">
        <v>1214</v>
      </c>
      <c r="B471" s="108" t="s">
        <v>487</v>
      </c>
    </row>
    <row r="472" spans="1:2" x14ac:dyDescent="0.2">
      <c r="A472" s="108">
        <v>1242</v>
      </c>
      <c r="B472" s="108" t="s">
        <v>488</v>
      </c>
    </row>
    <row r="473" spans="1:2" x14ac:dyDescent="0.2">
      <c r="A473" s="108">
        <v>1243</v>
      </c>
      <c r="B473" s="108" t="s">
        <v>489</v>
      </c>
    </row>
    <row r="474" spans="1:2" x14ac:dyDescent="0.2">
      <c r="A474" s="108">
        <v>1244</v>
      </c>
      <c r="B474" s="108" t="s">
        <v>490</v>
      </c>
    </row>
    <row r="475" spans="1:2" x14ac:dyDescent="0.2">
      <c r="A475" s="108">
        <v>1245</v>
      </c>
      <c r="B475" s="108" t="s">
        <v>491</v>
      </c>
    </row>
    <row r="476" spans="1:2" x14ac:dyDescent="0.2">
      <c r="A476" s="108">
        <v>1246</v>
      </c>
      <c r="B476" s="108" t="s">
        <v>492</v>
      </c>
    </row>
    <row r="477" spans="1:2" x14ac:dyDescent="0.2">
      <c r="A477" s="108">
        <v>1215</v>
      </c>
      <c r="B477" s="108" t="s">
        <v>493</v>
      </c>
    </row>
    <row r="478" spans="1:2" x14ac:dyDescent="0.2">
      <c r="A478" s="108">
        <v>1216</v>
      </c>
      <c r="B478" s="108" t="s">
        <v>494</v>
      </c>
    </row>
    <row r="479" spans="1:2" x14ac:dyDescent="0.2">
      <c r="A479" s="108">
        <v>1217</v>
      </c>
      <c r="B479" s="108" t="s">
        <v>495</v>
      </c>
    </row>
    <row r="480" spans="1:2" x14ac:dyDescent="0.2">
      <c r="A480" s="108">
        <v>1218</v>
      </c>
      <c r="B480" s="108" t="s">
        <v>496</v>
      </c>
    </row>
    <row r="481" spans="1:2" x14ac:dyDescent="0.2">
      <c r="A481" s="108">
        <v>1219</v>
      </c>
      <c r="B481" s="108" t="s">
        <v>497</v>
      </c>
    </row>
    <row r="482" spans="1:2" x14ac:dyDescent="0.2">
      <c r="A482" s="108">
        <v>1220</v>
      </c>
      <c r="B482" s="108" t="s">
        <v>498</v>
      </c>
    </row>
    <row r="483" spans="1:2" x14ac:dyDescent="0.2">
      <c r="A483" s="108">
        <v>1221</v>
      </c>
      <c r="B483" s="108" t="s">
        <v>499</v>
      </c>
    </row>
    <row r="484" spans="1:2" x14ac:dyDescent="0.2">
      <c r="A484" s="108">
        <v>1222</v>
      </c>
      <c r="B484" s="108" t="s">
        <v>500</v>
      </c>
    </row>
    <row r="485" spans="1:2" x14ac:dyDescent="0.2">
      <c r="A485" s="108">
        <v>1223</v>
      </c>
      <c r="B485" s="108" t="s">
        <v>501</v>
      </c>
    </row>
    <row r="486" spans="1:2" x14ac:dyDescent="0.2">
      <c r="A486" s="108">
        <v>1224</v>
      </c>
      <c r="B486" s="108" t="s">
        <v>502</v>
      </c>
    </row>
    <row r="487" spans="1:2" x14ac:dyDescent="0.2">
      <c r="A487" s="108">
        <v>1225</v>
      </c>
      <c r="B487" s="108" t="s">
        <v>503</v>
      </c>
    </row>
    <row r="488" spans="1:2" x14ac:dyDescent="0.2">
      <c r="A488" s="108">
        <v>1226</v>
      </c>
      <c r="B488" s="108" t="s">
        <v>504</v>
      </c>
    </row>
    <row r="489" spans="1:2" x14ac:dyDescent="0.2">
      <c r="A489" s="108">
        <v>1227</v>
      </c>
      <c r="B489" s="108" t="s">
        <v>505</v>
      </c>
    </row>
    <row r="490" spans="1:2" x14ac:dyDescent="0.2">
      <c r="A490" s="108">
        <v>1228</v>
      </c>
      <c r="B490" s="108" t="s">
        <v>506</v>
      </c>
    </row>
    <row r="491" spans="1:2" x14ac:dyDescent="0.2">
      <c r="A491" s="108">
        <v>1229</v>
      </c>
      <c r="B491" s="108" t="s">
        <v>507</v>
      </c>
    </row>
    <row r="492" spans="1:2" x14ac:dyDescent="0.2">
      <c r="A492" s="108">
        <v>1230</v>
      </c>
      <c r="B492" s="108" t="s">
        <v>508</v>
      </c>
    </row>
    <row r="493" spans="1:2" x14ac:dyDescent="0.2">
      <c r="A493" s="108">
        <v>1231</v>
      </c>
      <c r="B493" s="108" t="s">
        <v>509</v>
      </c>
    </row>
    <row r="494" spans="1:2" x14ac:dyDescent="0.2">
      <c r="A494" s="108">
        <v>1232</v>
      </c>
      <c r="B494" s="108" t="s">
        <v>510</v>
      </c>
    </row>
    <row r="495" spans="1:2" x14ac:dyDescent="0.2">
      <c r="A495" s="108">
        <v>1233</v>
      </c>
      <c r="B495" s="108" t="s">
        <v>511</v>
      </c>
    </row>
    <row r="496" spans="1:2" x14ac:dyDescent="0.2">
      <c r="A496" s="108">
        <v>1234</v>
      </c>
      <c r="B496" s="108" t="s">
        <v>512</v>
      </c>
    </row>
    <row r="497" spans="1:2" x14ac:dyDescent="0.2">
      <c r="A497" s="108">
        <v>1235</v>
      </c>
      <c r="B497" s="108" t="s">
        <v>513</v>
      </c>
    </row>
    <row r="498" spans="1:2" x14ac:dyDescent="0.2">
      <c r="A498" s="108">
        <v>1236</v>
      </c>
      <c r="B498" s="108" t="s">
        <v>514</v>
      </c>
    </row>
    <row r="499" spans="1:2" x14ac:dyDescent="0.2">
      <c r="A499" s="108">
        <v>1237</v>
      </c>
      <c r="B499" s="108" t="s">
        <v>515</v>
      </c>
    </row>
    <row r="500" spans="1:2" x14ac:dyDescent="0.2">
      <c r="A500" s="108">
        <v>1238</v>
      </c>
      <c r="B500" s="108" t="s">
        <v>516</v>
      </c>
    </row>
    <row r="501" spans="1:2" x14ac:dyDescent="0.2">
      <c r="A501" s="108">
        <v>1239</v>
      </c>
      <c r="B501" s="108" t="s">
        <v>517</v>
      </c>
    </row>
    <row r="502" spans="1:2" x14ac:dyDescent="0.2">
      <c r="A502" s="108">
        <v>1240</v>
      </c>
      <c r="B502" s="108" t="s">
        <v>518</v>
      </c>
    </row>
    <row r="503" spans="1:2" x14ac:dyDescent="0.2">
      <c r="A503" s="108">
        <v>1241</v>
      </c>
      <c r="B503" s="108" t="s">
        <v>519</v>
      </c>
    </row>
    <row r="504" spans="1:2" x14ac:dyDescent="0.2">
      <c r="B504" s="108" t="s">
        <v>520</v>
      </c>
    </row>
    <row r="506" spans="1:2" x14ac:dyDescent="0.2">
      <c r="B506" s="108" t="s">
        <v>521</v>
      </c>
    </row>
    <row r="508" spans="1:2" x14ac:dyDescent="0.2">
      <c r="B508" s="108" t="s">
        <v>522</v>
      </c>
    </row>
    <row r="510" spans="1:2" x14ac:dyDescent="0.2">
      <c r="B510" s="108" t="s">
        <v>523</v>
      </c>
    </row>
    <row r="512" spans="1:2" x14ac:dyDescent="0.2">
      <c r="B512" s="108" t="s">
        <v>524</v>
      </c>
    </row>
    <row r="513" spans="1:2" x14ac:dyDescent="0.2">
      <c r="A513" s="108">
        <v>2101</v>
      </c>
      <c r="B513" s="108" t="s">
        <v>525</v>
      </c>
    </row>
    <row r="514" spans="1:2" x14ac:dyDescent="0.2">
      <c r="A514" s="108">
        <v>2102</v>
      </c>
      <c r="B514" s="108" t="s">
        <v>526</v>
      </c>
    </row>
    <row r="515" spans="1:2" x14ac:dyDescent="0.2">
      <c r="A515" s="108">
        <v>2103</v>
      </c>
      <c r="B515" s="108" t="s">
        <v>527</v>
      </c>
    </row>
    <row r="516" spans="1:2" x14ac:dyDescent="0.2">
      <c r="A516" s="108">
        <v>1207</v>
      </c>
      <c r="B516" s="108" t="s">
        <v>528</v>
      </c>
    </row>
    <row r="517" spans="1:2" x14ac:dyDescent="0.2">
      <c r="B517" s="108" t="s">
        <v>529</v>
      </c>
    </row>
    <row r="519" spans="1:2" x14ac:dyDescent="0.2">
      <c r="B519" s="108" t="s">
        <v>88</v>
      </c>
    </row>
    <row r="520" spans="1:2" x14ac:dyDescent="0.2">
      <c r="A520" s="108">
        <v>3101</v>
      </c>
      <c r="B520" s="108" t="s">
        <v>530</v>
      </c>
    </row>
    <row r="521" spans="1:2" x14ac:dyDescent="0.2">
      <c r="A521" s="108" t="s">
        <v>531</v>
      </c>
      <c r="B521" s="108" t="s">
        <v>532</v>
      </c>
    </row>
    <row r="522" spans="1:2" x14ac:dyDescent="0.2">
      <c r="A522" s="108">
        <v>3103</v>
      </c>
      <c r="B522" s="108" t="s">
        <v>533</v>
      </c>
    </row>
    <row r="523" spans="1:2" x14ac:dyDescent="0.2">
      <c r="A523" s="108">
        <v>3104</v>
      </c>
      <c r="B523" s="108" t="s">
        <v>534</v>
      </c>
    </row>
    <row r="524" spans="1:2" x14ac:dyDescent="0.2">
      <c r="B524" s="108" t="s">
        <v>535</v>
      </c>
    </row>
    <row r="526" spans="1:2" x14ac:dyDescent="0.2">
      <c r="B526" s="108" t="s">
        <v>536</v>
      </c>
    </row>
    <row r="534" spans="1:12" x14ac:dyDescent="0.2">
      <c r="B534" s="108" t="s">
        <v>537</v>
      </c>
    </row>
    <row r="535" spans="1:12" x14ac:dyDescent="0.2">
      <c r="B535" s="108" t="s">
        <v>538</v>
      </c>
    </row>
    <row r="536" spans="1:12" x14ac:dyDescent="0.2">
      <c r="A536" s="108">
        <v>5101</v>
      </c>
      <c r="B536" s="108" t="s">
        <v>539</v>
      </c>
    </row>
    <row r="537" spans="1:12" x14ac:dyDescent="0.2">
      <c r="A537" s="108">
        <v>5102</v>
      </c>
      <c r="B537" s="108" t="s">
        <v>540</v>
      </c>
    </row>
    <row r="538" spans="1:12" x14ac:dyDescent="0.2">
      <c r="A538" s="108">
        <v>5103</v>
      </c>
      <c r="B538" s="108" t="s">
        <v>541</v>
      </c>
    </row>
    <row r="539" spans="1:12" x14ac:dyDescent="0.2">
      <c r="A539" s="108">
        <v>5104</v>
      </c>
      <c r="B539" s="108" t="s">
        <v>542</v>
      </c>
    </row>
    <row r="540" spans="1:12" x14ac:dyDescent="0.2">
      <c r="A540" s="108">
        <v>5105</v>
      </c>
      <c r="B540" s="108" t="s">
        <v>543</v>
      </c>
      <c r="E540" s="108" t="s">
        <v>544</v>
      </c>
      <c r="F540" s="108" t="s">
        <v>545</v>
      </c>
    </row>
    <row r="541" spans="1:12" x14ac:dyDescent="0.2">
      <c r="B541" s="108" t="s">
        <v>546</v>
      </c>
    </row>
    <row r="542" spans="1:12" x14ac:dyDescent="0.2">
      <c r="E542" s="108" t="s">
        <v>547</v>
      </c>
      <c r="G542" s="108"/>
      <c r="H542" s="108"/>
      <c r="I542" s="108"/>
      <c r="J542" s="108"/>
      <c r="K542" s="108"/>
      <c r="L542" s="108"/>
    </row>
    <row r="543" spans="1:12" x14ac:dyDescent="0.2">
      <c r="B543" s="108" t="s">
        <v>536</v>
      </c>
      <c r="E543" s="108" t="s">
        <v>548</v>
      </c>
      <c r="F543" s="108" t="s">
        <v>549</v>
      </c>
      <c r="G543" s="108" t="s">
        <v>101</v>
      </c>
      <c r="H543" s="108"/>
      <c r="I543" s="108"/>
      <c r="J543" s="108"/>
      <c r="K543" s="108"/>
      <c r="L543" s="108"/>
    </row>
    <row r="544" spans="1:12" x14ac:dyDescent="0.2">
      <c r="A544" s="108">
        <v>6190</v>
      </c>
      <c r="B544" s="108" t="s">
        <v>550</v>
      </c>
      <c r="E544" s="108" t="s">
        <v>551</v>
      </c>
      <c r="F544" s="108" t="s">
        <v>552</v>
      </c>
      <c r="G544" s="119">
        <v>15856000</v>
      </c>
      <c r="H544" s="108"/>
      <c r="I544" s="108"/>
      <c r="J544" s="108"/>
      <c r="K544" s="108"/>
      <c r="L544" s="108"/>
    </row>
    <row r="545" spans="1:12" x14ac:dyDescent="0.2">
      <c r="A545" s="108">
        <v>7101</v>
      </c>
      <c r="B545" s="108" t="s">
        <v>553</v>
      </c>
      <c r="E545" s="108" t="s">
        <v>554</v>
      </c>
      <c r="F545" s="108" t="s">
        <v>555</v>
      </c>
      <c r="G545" s="119">
        <v>89381000</v>
      </c>
      <c r="H545" s="108"/>
      <c r="I545" s="108"/>
      <c r="J545" s="108"/>
      <c r="K545" s="108"/>
      <c r="L545" s="108"/>
    </row>
    <row r="546" spans="1:12" x14ac:dyDescent="0.2">
      <c r="A546" s="108">
        <v>7102</v>
      </c>
      <c r="B546" s="108" t="s">
        <v>555</v>
      </c>
      <c r="E546" s="108" t="s">
        <v>556</v>
      </c>
      <c r="F546" s="108" t="s">
        <v>557</v>
      </c>
      <c r="G546" s="119">
        <v>42000000</v>
      </c>
      <c r="H546" s="108"/>
      <c r="I546" s="108"/>
      <c r="J546" s="108"/>
      <c r="K546" s="108"/>
      <c r="L546" s="108"/>
    </row>
    <row r="547" spans="1:12" x14ac:dyDescent="0.2">
      <c r="A547" s="108">
        <v>7103</v>
      </c>
      <c r="B547" s="108" t="s">
        <v>558</v>
      </c>
      <c r="E547" s="108" t="s">
        <v>342</v>
      </c>
      <c r="G547" s="119">
        <v>147237000</v>
      </c>
      <c r="H547" s="108"/>
      <c r="I547" s="108"/>
      <c r="J547" s="108"/>
      <c r="K547" s="108"/>
      <c r="L547" s="108"/>
    </row>
    <row r="548" spans="1:12" x14ac:dyDescent="0.2">
      <c r="A548" s="108">
        <v>7104</v>
      </c>
      <c r="B548" s="108" t="s">
        <v>559</v>
      </c>
      <c r="G548" s="108"/>
      <c r="H548" s="108"/>
      <c r="I548" s="108"/>
      <c r="J548" s="108"/>
      <c r="K548" s="108"/>
      <c r="L548" s="108"/>
    </row>
    <row r="549" spans="1:12" x14ac:dyDescent="0.2">
      <c r="A549" s="108">
        <v>7105</v>
      </c>
      <c r="B549" s="108" t="s">
        <v>560</v>
      </c>
      <c r="G549" s="108"/>
      <c r="H549" s="108"/>
      <c r="I549" s="108"/>
      <c r="J549" s="108"/>
      <c r="K549" s="108"/>
      <c r="L549" s="108"/>
    </row>
    <row r="550" spans="1:12" x14ac:dyDescent="0.2">
      <c r="A550" s="108" t="s">
        <v>561</v>
      </c>
      <c r="B550" s="108" t="s">
        <v>562</v>
      </c>
      <c r="G550" s="108"/>
      <c r="H550" s="108"/>
      <c r="I550" s="108"/>
      <c r="J550" s="108"/>
      <c r="K550" s="108"/>
      <c r="L550" s="108"/>
    </row>
    <row r="551" spans="1:12" x14ac:dyDescent="0.2">
      <c r="A551" s="108">
        <v>4101</v>
      </c>
      <c r="B551" s="108" t="s">
        <v>563</v>
      </c>
      <c r="G551" s="108"/>
      <c r="H551" s="108"/>
      <c r="I551" s="108"/>
      <c r="J551" s="108"/>
      <c r="K551" s="108"/>
    </row>
    <row r="552" spans="1:12" x14ac:dyDescent="0.2">
      <c r="A552" s="108">
        <v>4102</v>
      </c>
      <c r="B552" s="108" t="s">
        <v>552</v>
      </c>
      <c r="G552" s="108"/>
      <c r="H552" s="108"/>
      <c r="I552" s="108"/>
      <c r="J552" s="108"/>
      <c r="K552" s="108"/>
    </row>
    <row r="553" spans="1:12" x14ac:dyDescent="0.2">
      <c r="G553" s="108"/>
      <c r="H553" s="108"/>
      <c r="I553" s="108"/>
      <c r="J553" s="108"/>
      <c r="K553" s="108"/>
    </row>
    <row r="554" spans="1:12" x14ac:dyDescent="0.2">
      <c r="G554" s="108"/>
      <c r="H554" s="108"/>
      <c r="I554" s="108"/>
      <c r="J554" s="108"/>
      <c r="K554" s="108"/>
    </row>
    <row r="555" spans="1:12" x14ac:dyDescent="0.2">
      <c r="B555" s="108" t="s">
        <v>564</v>
      </c>
      <c r="G555" s="108"/>
      <c r="H555" s="108"/>
      <c r="I555" s="108"/>
      <c r="J555" s="108"/>
      <c r="K555" s="108"/>
    </row>
    <row r="556" spans="1:12" x14ac:dyDescent="0.2">
      <c r="A556" s="109" t="s">
        <v>565</v>
      </c>
      <c r="G556" s="108"/>
    </row>
    <row r="557" spans="1:12" x14ac:dyDescent="0.2">
      <c r="A557" s="123">
        <v>1110050100</v>
      </c>
      <c r="B557" s="124" t="s">
        <v>566</v>
      </c>
      <c r="G557" s="108"/>
    </row>
    <row r="558" spans="1:12" x14ac:dyDescent="0.2">
      <c r="A558" s="123">
        <v>1110050200</v>
      </c>
      <c r="B558" s="108" t="s">
        <v>567</v>
      </c>
      <c r="G558" s="108"/>
    </row>
    <row r="559" spans="1:12" x14ac:dyDescent="0.2">
      <c r="G559" s="108"/>
    </row>
    <row r="563" spans="1:2" x14ac:dyDescent="0.2">
      <c r="A563" s="108">
        <v>4170250000</v>
      </c>
      <c r="B563" s="108" t="s">
        <v>568</v>
      </c>
    </row>
    <row r="565" spans="1:2" x14ac:dyDescent="0.2">
      <c r="A565" s="108">
        <v>4218050000</v>
      </c>
      <c r="B565" s="108" t="s">
        <v>569</v>
      </c>
    </row>
    <row r="568" spans="1:2" x14ac:dyDescent="0.2">
      <c r="A568" s="108">
        <v>5210350000</v>
      </c>
      <c r="B568" s="108" t="s">
        <v>570</v>
      </c>
    </row>
    <row r="569" spans="1:2" x14ac:dyDescent="0.2">
      <c r="A569" s="108">
        <v>5140950000</v>
      </c>
    </row>
    <row r="571" spans="1:2" x14ac:dyDescent="0.2">
      <c r="A571" s="123">
        <v>5305950000</v>
      </c>
      <c r="B571" s="108" t="s">
        <v>571</v>
      </c>
    </row>
    <row r="572" spans="1:2" x14ac:dyDescent="0.2">
      <c r="A572" s="123">
        <v>5313050000</v>
      </c>
      <c r="B572" s="108" t="s">
        <v>569</v>
      </c>
    </row>
    <row r="573" spans="1:2" x14ac:dyDescent="0.2">
      <c r="A573" s="108">
        <v>5310950000</v>
      </c>
      <c r="B573" s="108" t="s">
        <v>572</v>
      </c>
    </row>
    <row r="577" spans="1:3" x14ac:dyDescent="0.2">
      <c r="A577" s="108">
        <v>1101</v>
      </c>
      <c r="B577" s="108" t="s">
        <v>573</v>
      </c>
    </row>
    <row r="578" spans="1:3" x14ac:dyDescent="0.2">
      <c r="A578" s="108">
        <v>1102</v>
      </c>
      <c r="B578" s="108" t="s">
        <v>574</v>
      </c>
    </row>
    <row r="579" spans="1:3" x14ac:dyDescent="0.2">
      <c r="A579" s="108">
        <v>1103</v>
      </c>
      <c r="B579" s="108" t="s">
        <v>575</v>
      </c>
    </row>
    <row r="580" spans="1:3" x14ac:dyDescent="0.2">
      <c r="A580" s="108">
        <v>1104</v>
      </c>
      <c r="B580" s="108" t="s">
        <v>576</v>
      </c>
    </row>
    <row r="581" spans="1:3" x14ac:dyDescent="0.2">
      <c r="A581" s="108">
        <v>1106</v>
      </c>
      <c r="B581" s="108" t="s">
        <v>577</v>
      </c>
    </row>
    <row r="582" spans="1:3" x14ac:dyDescent="0.2">
      <c r="A582" s="108">
        <v>9999</v>
      </c>
      <c r="B582" s="108" t="s">
        <v>578</v>
      </c>
      <c r="C582" s="108" t="s">
        <v>579</v>
      </c>
    </row>
    <row r="584" spans="1:3" x14ac:dyDescent="0.2">
      <c r="A584" s="108">
        <v>1218</v>
      </c>
      <c r="B584" s="108" t="s">
        <v>580</v>
      </c>
    </row>
    <row r="585" spans="1:3" x14ac:dyDescent="0.2">
      <c r="A585" s="108">
        <v>1223</v>
      </c>
      <c r="B585" s="108" t="s">
        <v>581</v>
      </c>
    </row>
    <row r="586" spans="1:3" x14ac:dyDescent="0.2">
      <c r="A586" s="108">
        <v>1231</v>
      </c>
      <c r="B586" s="108" t="s">
        <v>582</v>
      </c>
    </row>
    <row r="587" spans="1:3" x14ac:dyDescent="0.2">
      <c r="A587" s="108">
        <v>1235</v>
      </c>
      <c r="B587" s="108" t="s">
        <v>583</v>
      </c>
    </row>
    <row r="588" spans="1:3" x14ac:dyDescent="0.2">
      <c r="A588" s="108">
        <v>1201</v>
      </c>
      <c r="B588" s="108" t="s">
        <v>584</v>
      </c>
    </row>
    <row r="591" spans="1:3" x14ac:dyDescent="0.2">
      <c r="A591" s="108">
        <v>5103</v>
      </c>
      <c r="B591" s="108" t="s">
        <v>541</v>
      </c>
      <c r="C591" s="108" t="s">
        <v>585</v>
      </c>
    </row>
    <row r="592" spans="1:3" x14ac:dyDescent="0.2">
      <c r="A592" s="108">
        <v>5104</v>
      </c>
      <c r="B592" s="108" t="s">
        <v>542</v>
      </c>
      <c r="C592" s="108" t="s">
        <v>579</v>
      </c>
    </row>
    <row r="593" spans="1:3" x14ac:dyDescent="0.2">
      <c r="A593" s="108">
        <v>5105</v>
      </c>
      <c r="B593" s="108" t="s">
        <v>586</v>
      </c>
      <c r="C593" s="108" t="s">
        <v>579</v>
      </c>
    </row>
    <row r="594" spans="1:3" x14ac:dyDescent="0.2">
      <c r="A594" s="108">
        <v>5106</v>
      </c>
      <c r="B594" s="108" t="s">
        <v>587</v>
      </c>
      <c r="C594" s="108" t="s">
        <v>585</v>
      </c>
    </row>
    <row r="595" spans="1:3" x14ac:dyDescent="0.2">
      <c r="A595" s="108">
        <v>7101</v>
      </c>
      <c r="B595" s="108" t="s">
        <v>588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99D51-10CA-4569-A07A-F679F8075730}">
  <sheetPr>
    <tabColor theme="2" tint="-0.749992370372631"/>
  </sheetPr>
  <dimension ref="A1:AG47"/>
  <sheetViews>
    <sheetView showGridLines="0" tabSelected="1" zoomScaleNormal="100" workbookViewId="0">
      <selection activeCell="I5" sqref="I5"/>
    </sheetView>
  </sheetViews>
  <sheetFormatPr baseColWidth="10" defaultRowHeight="12.75" x14ac:dyDescent="0.2"/>
  <cols>
    <col min="1" max="1" width="4.140625" style="10" customWidth="1"/>
    <col min="2" max="2" width="26.28515625" style="10" customWidth="1"/>
    <col min="3" max="3" width="9.42578125" style="10" customWidth="1"/>
    <col min="4" max="4" width="6.42578125" style="10" customWidth="1"/>
    <col min="5" max="5" width="10.28515625" style="10" customWidth="1"/>
    <col min="6" max="7" width="7.140625" style="10" customWidth="1"/>
    <col min="8" max="8" width="11" style="10" customWidth="1"/>
    <col min="9" max="9" width="6.42578125" style="10" customWidth="1"/>
    <col min="10" max="10" width="9.5703125" style="10" customWidth="1"/>
    <col min="11" max="11" width="10.5703125" style="10" customWidth="1"/>
    <col min="12" max="12" width="5.42578125" style="10" customWidth="1"/>
    <col min="13" max="13" width="9.140625" style="10" bestFit="1" customWidth="1"/>
    <col min="14" max="14" width="5.42578125" style="10" customWidth="1"/>
    <col min="15" max="15" width="7.140625" style="10" customWidth="1"/>
    <col min="16" max="16" width="10.7109375" style="10" customWidth="1"/>
    <col min="17" max="17" width="5.140625" style="10" customWidth="1"/>
    <col min="18" max="18" width="7.140625" style="10" customWidth="1"/>
    <col min="19" max="19" width="10.85546875" style="11" customWidth="1"/>
    <col min="20" max="20" width="17.42578125" style="10" customWidth="1"/>
    <col min="21" max="28" width="11.42578125" style="10"/>
    <col min="29" max="29" width="5.7109375" style="10" bestFit="1" customWidth="1"/>
    <col min="30" max="31" width="11.42578125" style="10"/>
    <col min="32" max="32" width="13.42578125" style="10" customWidth="1"/>
    <col min="33" max="16384" width="11.42578125" style="10"/>
  </cols>
  <sheetData>
    <row r="1" spans="1:33" s="7" customFormat="1" ht="12.75" customHeight="1" x14ac:dyDescent="0.2">
      <c r="B1" s="8"/>
      <c r="S1" s="9"/>
    </row>
    <row r="2" spans="1:33" ht="11.25" customHeight="1" x14ac:dyDescent="0.2">
      <c r="A2" s="7"/>
      <c r="X2" s="12"/>
      <c r="Y2" s="12"/>
      <c r="Z2" s="12"/>
      <c r="AA2" s="12"/>
      <c r="AB2" s="12"/>
    </row>
    <row r="3" spans="1:33" ht="18" x14ac:dyDescent="0.25">
      <c r="B3" s="13" t="s">
        <v>4</v>
      </c>
      <c r="S3" s="14"/>
      <c r="T3" s="15" t="str">
        <f>+B3</f>
        <v>MUSICAR S.A. COLOMBIA CONSOLIDADO</v>
      </c>
    </row>
    <row r="4" spans="1:33" x14ac:dyDescent="0.2">
      <c r="B4" s="2" t="s">
        <v>5</v>
      </c>
      <c r="S4" s="14"/>
      <c r="T4" s="16" t="s">
        <v>6</v>
      </c>
    </row>
    <row r="5" spans="1:33" x14ac:dyDescent="0.2">
      <c r="B5" s="3" t="s">
        <v>7</v>
      </c>
      <c r="S5" s="14"/>
      <c r="T5" s="16" t="s">
        <v>7</v>
      </c>
    </row>
    <row r="6" spans="1:33" ht="13.5" thickBot="1" x14ac:dyDescent="0.25">
      <c r="B6" s="17" t="str">
        <f>+'COLOMB$ '!B6</f>
        <v>SEPTIEMBRE de 2022</v>
      </c>
      <c r="K6" s="18" t="s">
        <v>8</v>
      </c>
      <c r="L6" s="18"/>
      <c r="M6" s="18"/>
      <c r="N6" s="18"/>
      <c r="O6" s="18"/>
      <c r="P6" s="18"/>
      <c r="Q6" s="18"/>
      <c r="R6" s="18"/>
      <c r="S6" s="14"/>
      <c r="T6" s="10" t="str">
        <f>+B6</f>
        <v>SEPTIEMBRE de 2022</v>
      </c>
      <c r="X6" s="18" t="s">
        <v>8</v>
      </c>
      <c r="Y6" s="18"/>
      <c r="Z6" s="18"/>
      <c r="AA6" s="18"/>
      <c r="AB6" s="18"/>
      <c r="AC6" s="18"/>
    </row>
    <row r="7" spans="1:33" ht="17.25" customHeight="1" x14ac:dyDescent="0.2">
      <c r="C7" s="19" t="str">
        <f>+'COLOMB$ '!D7:D7</f>
        <v>Ppto 2022</v>
      </c>
      <c r="E7" s="10" t="str">
        <f>+'COLOMB$ '!F7:F7</f>
        <v>Real 2022</v>
      </c>
      <c r="G7" s="7" t="s">
        <v>9</v>
      </c>
      <c r="H7" s="10" t="str">
        <f>+'COLOMB$ '!I7:I7</f>
        <v>Real 2021</v>
      </c>
      <c r="J7" s="7" t="s">
        <v>10</v>
      </c>
      <c r="K7" s="10" t="str">
        <f>+C7</f>
        <v>Ppto 2022</v>
      </c>
      <c r="M7" s="20" t="str">
        <f>+E7</f>
        <v>Real 2022</v>
      </c>
      <c r="N7" s="20"/>
      <c r="O7" s="7" t="s">
        <v>9</v>
      </c>
      <c r="P7" s="10" t="str">
        <f>+H7</f>
        <v>Real 2021</v>
      </c>
      <c r="R7" s="7" t="s">
        <v>10</v>
      </c>
      <c r="S7" s="21"/>
      <c r="T7" s="12"/>
      <c r="U7" s="12" t="str">
        <f>+C7</f>
        <v>Ppto 2022</v>
      </c>
      <c r="V7" s="12" t="str">
        <f>+M7</f>
        <v>Real 2022</v>
      </c>
      <c r="W7" s="12" t="str">
        <f>+H7</f>
        <v>Real 2021</v>
      </c>
      <c r="X7" s="12" t="str">
        <f>+U7</f>
        <v>Ppto 2022</v>
      </c>
      <c r="Y7" s="12" t="str">
        <f>+V7</f>
        <v>Real 2022</v>
      </c>
      <c r="Z7" s="12" t="s">
        <v>11</v>
      </c>
      <c r="AA7" s="12" t="s">
        <v>9</v>
      </c>
      <c r="AB7" s="12" t="str">
        <f>+W7</f>
        <v>Real 2021</v>
      </c>
      <c r="AC7" s="12" t="s">
        <v>10</v>
      </c>
    </row>
    <row r="8" spans="1:33" ht="15.75" customHeight="1" thickBot="1" x14ac:dyDescent="0.25">
      <c r="B8" s="22" t="s">
        <v>12</v>
      </c>
      <c r="C8" s="23" t="s">
        <v>13</v>
      </c>
      <c r="D8" s="23" t="s">
        <v>14</v>
      </c>
      <c r="E8" s="23" t="s">
        <v>13</v>
      </c>
      <c r="F8" s="23" t="s">
        <v>14</v>
      </c>
      <c r="G8" s="23" t="s">
        <v>15</v>
      </c>
      <c r="H8" s="23" t="s">
        <v>13</v>
      </c>
      <c r="I8" s="23" t="s">
        <v>14</v>
      </c>
      <c r="J8" s="23" t="s">
        <v>15</v>
      </c>
      <c r="K8" s="23" t="s">
        <v>13</v>
      </c>
      <c r="L8" s="23" t="s">
        <v>14</v>
      </c>
      <c r="M8" s="23" t="s">
        <v>13</v>
      </c>
      <c r="N8" s="23" t="s">
        <v>14</v>
      </c>
      <c r="O8" s="23" t="s">
        <v>15</v>
      </c>
      <c r="P8" s="23" t="s">
        <v>13</v>
      </c>
      <c r="Q8" s="23" t="s">
        <v>14</v>
      </c>
      <c r="R8" s="23" t="s">
        <v>15</v>
      </c>
      <c r="S8" s="9"/>
      <c r="T8" s="24"/>
      <c r="U8" s="25"/>
      <c r="V8" s="25"/>
      <c r="W8" s="25"/>
      <c r="X8" s="25"/>
      <c r="Y8" s="25"/>
      <c r="Z8" s="25"/>
      <c r="AA8" s="25" t="s">
        <v>15</v>
      </c>
      <c r="AB8" s="25"/>
      <c r="AC8" s="25" t="s">
        <v>15</v>
      </c>
    </row>
    <row r="9" spans="1:33" x14ac:dyDescent="0.2">
      <c r="S9" s="14"/>
      <c r="U9" s="12"/>
      <c r="V9" s="12"/>
      <c r="W9" s="12"/>
      <c r="X9" s="12"/>
      <c r="Y9" s="12"/>
      <c r="Z9" s="12"/>
      <c r="AB9" s="12"/>
    </row>
    <row r="10" spans="1:33" x14ac:dyDescent="0.2">
      <c r="B10" s="16" t="str">
        <f>+'COLOMB$ '!B10</f>
        <v>Musical Experience  (Ambiental)</v>
      </c>
      <c r="C10" s="26">
        <f>+'COLOMB$ '!C10+'PROY SAT$'!C10</f>
        <v>360668</v>
      </c>
      <c r="D10" s="27">
        <f t="shared" ref="D10:D20" si="0">+C10/$C$20</f>
        <v>0.39721626583581959</v>
      </c>
      <c r="E10" s="26">
        <f>+'COLOMB$ '!E10+'PROY SAT$'!E10</f>
        <v>323654.77299999999</v>
      </c>
      <c r="F10" s="27">
        <f t="shared" ref="F10:F20" si="1">+E10/$E$20</f>
        <v>0.35944262353658379</v>
      </c>
      <c r="G10" s="27">
        <f t="shared" ref="G10:G20" si="2">IF(C10=0,"",(E10-C10)/ABS(C10)+1)</f>
        <v>0.89737590526467548</v>
      </c>
      <c r="H10" s="26">
        <f>+'COLOMB$ '!H10+'PROY SAT$'!H10</f>
        <v>341770.49599999998</v>
      </c>
      <c r="I10" s="27">
        <f t="shared" ref="I10:I19" si="3">+H10/$H$20</f>
        <v>0.43404397770582576</v>
      </c>
      <c r="J10" s="28">
        <f t="shared" ref="J10:J20" si="4">IF(H10=0,"",(E10-H10)/ABS(H10))</f>
        <v>-5.3005520406302124E-2</v>
      </c>
      <c r="K10" s="26">
        <f>+'COLOMB$ '!K10+'PROY SAT$'!K10</f>
        <v>3279841</v>
      </c>
      <c r="L10" s="27">
        <f t="shared" ref="L10:L20" si="5">+K10/$K$20</f>
        <v>0.41029882461201739</v>
      </c>
      <c r="M10" s="26">
        <f>+'COLOMB$ '!M10+'PROY SAT$'!M10</f>
        <v>3215643.3459999999</v>
      </c>
      <c r="N10" s="27">
        <f t="shared" ref="N10:N20" si="6">+M10/$M$20</f>
        <v>0.40801916944164984</v>
      </c>
      <c r="O10" s="27">
        <f t="shared" ref="O10:O20" si="7">IF(K10=0,"",(M10-K10)/ABS(K10)+1)</f>
        <v>0.98042659567948565</v>
      </c>
      <c r="P10" s="26">
        <f>+'COLOMB$ '!P10+'PROY SAT$'!P10</f>
        <v>3059301.054</v>
      </c>
      <c r="Q10" s="27">
        <f t="shared" ref="Q10:Q20" si="8">+P10/$P$20</f>
        <v>0.43850486578082754</v>
      </c>
      <c r="R10" s="28">
        <f t="shared" ref="R10:R20" si="9">IF(P10=0,"",(M10-P10)/ABS(P10))</f>
        <v>5.1103925125506752E-2</v>
      </c>
      <c r="S10" s="21"/>
      <c r="T10" s="16" t="s">
        <v>16</v>
      </c>
      <c r="U10" s="26">
        <f>+'COLOMB$ '!U10</f>
        <v>139398</v>
      </c>
      <c r="V10" s="26">
        <f>+'COLOMB$ '!V10</f>
        <v>92240.898059999876</v>
      </c>
      <c r="W10" s="26">
        <f>+'COLOMB$ '!W10</f>
        <v>991870</v>
      </c>
      <c r="X10" s="26">
        <f>+'COLOMB$ '!X10</f>
        <v>484392</v>
      </c>
      <c r="Y10" s="26">
        <f>+'COLOMB$ '!Y10</f>
        <v>484392</v>
      </c>
      <c r="Z10" s="29">
        <f>+Y10-X10</f>
        <v>0</v>
      </c>
      <c r="AA10" s="30">
        <f>IF(X10=0,"",(Y10-X10)/ABS(X10)+1)</f>
        <v>1</v>
      </c>
      <c r="AB10" s="26">
        <f>+'COLOMB$ '!AB10</f>
        <v>590384</v>
      </c>
      <c r="AC10" s="28">
        <f>IF(W10=0,"",(Y10-AB10)/ABS(AB10))</f>
        <v>-0.17953061058565273</v>
      </c>
    </row>
    <row r="11" spans="1:33" x14ac:dyDescent="0.2">
      <c r="B11" s="16" t="str">
        <f>+'COLOMB$ '!B11</f>
        <v>Instalaciones</v>
      </c>
      <c r="C11" s="26">
        <f>+'COLOMB$ '!C11+'PROY SAT$'!C11</f>
        <v>59923</v>
      </c>
      <c r="D11" s="27">
        <f t="shared" si="0"/>
        <v>6.5995292894517443E-2</v>
      </c>
      <c r="E11" s="26">
        <f>+'COLOMB$ '!E11+'PROY SAT$'!E11</f>
        <v>35452.968000000001</v>
      </c>
      <c r="F11" s="27">
        <f t="shared" si="1"/>
        <v>3.9373149705036338E-2</v>
      </c>
      <c r="G11" s="27">
        <f t="shared" si="2"/>
        <v>0.59164207399496016</v>
      </c>
      <c r="H11" s="26">
        <f>+'COLOMB$ '!H11+'PROY SAT$'!H11</f>
        <v>47602.936999999998</v>
      </c>
      <c r="I11" s="27">
        <f t="shared" si="3"/>
        <v>6.0455095942394711E-2</v>
      </c>
      <c r="J11" s="28">
        <f t="shared" si="4"/>
        <v>-0.25523570110810595</v>
      </c>
      <c r="K11" s="26">
        <f>+'COLOMB$ '!K11+'PROY SAT$'!K11</f>
        <v>403122</v>
      </c>
      <c r="L11" s="27">
        <f t="shared" si="5"/>
        <v>5.0429421052802764E-2</v>
      </c>
      <c r="M11" s="26">
        <f>+'COLOMB$ '!M11+'PROY SAT$'!M11</f>
        <v>336757.14299999998</v>
      </c>
      <c r="N11" s="27">
        <f t="shared" si="6"/>
        <v>4.2729667132184165E-2</v>
      </c>
      <c r="O11" s="27">
        <f t="shared" si="7"/>
        <v>0.83537277300668278</v>
      </c>
      <c r="P11" s="26">
        <f>+'COLOMB$ '!P11+'PROY SAT$'!P11</f>
        <v>280960.234</v>
      </c>
      <c r="Q11" s="27">
        <f t="shared" si="8"/>
        <v>4.0271430475544136E-2</v>
      </c>
      <c r="R11" s="28">
        <f t="shared" si="9"/>
        <v>0.19859361663259431</v>
      </c>
      <c r="S11" s="21"/>
      <c r="T11" s="16" t="s">
        <v>17</v>
      </c>
      <c r="U11" s="26">
        <f>+'COLOMB$ '!U11</f>
        <v>1070284</v>
      </c>
      <c r="V11" s="26">
        <f>+'COLOMB$ '!V11</f>
        <v>1162202.9686700001</v>
      </c>
      <c r="W11" s="26">
        <f>+'COLOMB$ '!W11</f>
        <v>1011562.11485</v>
      </c>
      <c r="X11" s="26">
        <f>+'COLOMB$ '!X11</f>
        <v>9156937</v>
      </c>
      <c r="Y11" s="26">
        <f>+'COLOMB$ '!Y11</f>
        <v>9184674.1464099996</v>
      </c>
      <c r="Z11" s="29">
        <f>+Y11-X11</f>
        <v>27737.146409999579</v>
      </c>
      <c r="AA11" s="30">
        <f>IF(X11=0,"",(Y11-X11)/ABS(X11)+1)</f>
        <v>1.0030290856440314</v>
      </c>
      <c r="AB11" s="26">
        <f>+'COLOMB$ '!AB11</f>
        <v>8585671.7263399996</v>
      </c>
      <c r="AC11" s="28">
        <f>IF(AB11=0,"",(Y11-AB11)/ABS(AB11))</f>
        <v>6.9767682618509547E-2</v>
      </c>
    </row>
    <row r="12" spans="1:33" x14ac:dyDescent="0.2">
      <c r="B12" s="16" t="str">
        <f>+'COLOMB$ '!B12</f>
        <v>Voice Experience (Publihold)</v>
      </c>
      <c r="C12" s="26">
        <f>+'COLOMB$ '!C12+'PROY SAT$'!C12</f>
        <v>76921</v>
      </c>
      <c r="D12" s="27">
        <f t="shared" si="0"/>
        <v>8.4715784001788572E-2</v>
      </c>
      <c r="E12" s="26">
        <f>+'COLOMB$ '!E12+'PROY SAT$'!E12</f>
        <v>85112.79</v>
      </c>
      <c r="F12" s="27">
        <f t="shared" si="1"/>
        <v>9.4524064176610537E-2</v>
      </c>
      <c r="G12" s="27">
        <f t="shared" si="2"/>
        <v>1.1064961453959257</v>
      </c>
      <c r="H12" s="26">
        <f>+'COLOMB$ '!H12+'PROY SAT$'!H12</f>
        <v>81500.448000000004</v>
      </c>
      <c r="I12" s="27">
        <f t="shared" si="3"/>
        <v>0.10350448341429336</v>
      </c>
      <c r="J12" s="28">
        <f t="shared" si="4"/>
        <v>4.4322971083545326E-2</v>
      </c>
      <c r="K12" s="26">
        <f>+'COLOMB$ '!K12+'PROY SAT$'!K12</f>
        <v>734064</v>
      </c>
      <c r="L12" s="27">
        <f t="shared" si="5"/>
        <v>9.182932843085867E-2</v>
      </c>
      <c r="M12" s="26">
        <f>+'COLOMB$ '!M12+'PROY SAT$'!M12</f>
        <v>795902.58679999993</v>
      </c>
      <c r="N12" s="27">
        <f t="shared" si="6"/>
        <v>0.1009886599602382</v>
      </c>
      <c r="O12" s="27">
        <f t="shared" si="7"/>
        <v>1.0842414105582074</v>
      </c>
      <c r="P12" s="26">
        <f>+'COLOMB$ '!P12+'PROY SAT$'!P12</f>
        <v>855712.25520000001</v>
      </c>
      <c r="Q12" s="27">
        <f t="shared" si="8"/>
        <v>0.12265350189150925</v>
      </c>
      <c r="R12" s="28">
        <f t="shared" si="9"/>
        <v>-6.9894603047400736E-2</v>
      </c>
      <c r="S12" s="21"/>
      <c r="AC12" s="2"/>
    </row>
    <row r="13" spans="1:33" x14ac:dyDescent="0.2">
      <c r="B13" s="16" t="str">
        <f>+'COLOMB$ '!B13</f>
        <v>Service &amp; Equipment Experience</v>
      </c>
      <c r="C13" s="26">
        <f>+'COLOMB$ '!C13+'PROY SAT$'!C13</f>
        <v>115136</v>
      </c>
      <c r="D13" s="27">
        <f t="shared" si="0"/>
        <v>0.12680329827784256</v>
      </c>
      <c r="E13" s="26">
        <f>+'COLOMB$ '!E13+'PROY SAT$'!E13</f>
        <v>158715.66899999999</v>
      </c>
      <c r="F13" s="27">
        <f t="shared" si="1"/>
        <v>0.17626551875916271</v>
      </c>
      <c r="G13" s="27">
        <f t="shared" si="2"/>
        <v>1.3785060189688716</v>
      </c>
      <c r="H13" s="26">
        <f>+'COLOMB$ '!H13+'PROY SAT$'!H13</f>
        <v>69775.243000000002</v>
      </c>
      <c r="I13" s="27">
        <f t="shared" si="3"/>
        <v>8.8613629238231781E-2</v>
      </c>
      <c r="J13" s="28">
        <f t="shared" si="4"/>
        <v>1.2746702437138053</v>
      </c>
      <c r="K13" s="26">
        <f>+'COLOMB$ '!K13+'PROY SAT$'!K13</f>
        <v>842376</v>
      </c>
      <c r="L13" s="27">
        <f t="shared" si="5"/>
        <v>0.10537885302408646</v>
      </c>
      <c r="M13" s="26">
        <f>+'COLOMB$ '!M13+'PROY SAT$'!M13</f>
        <v>789875.71799999999</v>
      </c>
      <c r="N13" s="27">
        <f t="shared" si="6"/>
        <v>0.10022393647025023</v>
      </c>
      <c r="O13" s="27">
        <f t="shared" si="7"/>
        <v>0.93767595230633349</v>
      </c>
      <c r="P13" s="26">
        <f>+'COLOMB$ '!P13+'PROY SAT$'!P13</f>
        <v>500886.13500000001</v>
      </c>
      <c r="Q13" s="27">
        <f t="shared" si="8"/>
        <v>7.1794505843900014E-2</v>
      </c>
      <c r="R13" s="28">
        <f t="shared" si="9"/>
        <v>0.57695664305022132</v>
      </c>
      <c r="S13" s="21"/>
      <c r="T13" s="16" t="s">
        <v>18</v>
      </c>
      <c r="U13" s="26">
        <f>+'COLOMB$ '!U13</f>
        <v>104312</v>
      </c>
      <c r="V13" s="26">
        <f>+'COLOMB$ '!V13</f>
        <v>124862.963</v>
      </c>
      <c r="W13" s="26">
        <f>+'COLOMB$ '!W13</f>
        <v>284336.25579999998</v>
      </c>
      <c r="X13" s="26">
        <f>+'COLOMB$ '!X13</f>
        <v>1222034</v>
      </c>
      <c r="Y13" s="26">
        <f>+'COLOMB$ '!Y13</f>
        <v>1156799.13943</v>
      </c>
      <c r="Z13" s="29">
        <f>+X13-Y13</f>
        <v>65234.860570000019</v>
      </c>
      <c r="AA13" s="30">
        <f>IF(X13=0,"",(Y13-X13)/ABS(X13)+1)</f>
        <v>0.94661780231155601</v>
      </c>
      <c r="AB13" s="26">
        <f>+'COLOMB$ '!AB13</f>
        <v>1925539.67763</v>
      </c>
      <c r="AC13" s="28">
        <f>IF(AB13=0,"",(Y13-AB13)/ABS(AB13))</f>
        <v>-0.39923380812707226</v>
      </c>
      <c r="AE13" s="31"/>
      <c r="AF13" s="31"/>
    </row>
    <row r="14" spans="1:33" x14ac:dyDescent="0.2">
      <c r="B14" s="16" t="str">
        <f>+'COLOMB$ '!B14</f>
        <v>POP Satelital</v>
      </c>
      <c r="C14" s="26">
        <f>+'COLOMB$ '!C14+'PROY SAT$'!C14</f>
        <v>0</v>
      </c>
      <c r="D14" s="27">
        <f t="shared" si="0"/>
        <v>0</v>
      </c>
      <c r="E14" s="26">
        <f>+'COLOMB$ '!E14+'PROY SAT$'!E14</f>
        <v>0</v>
      </c>
      <c r="F14" s="27">
        <f t="shared" si="1"/>
        <v>0</v>
      </c>
      <c r="G14" s="27" t="str">
        <f t="shared" si="2"/>
        <v/>
      </c>
      <c r="H14" s="26">
        <f>+'COLOMB$ '!H14+'PROY SAT$'!H14</f>
        <v>0</v>
      </c>
      <c r="I14" s="27">
        <f t="shared" si="3"/>
        <v>0</v>
      </c>
      <c r="J14" s="28" t="str">
        <f t="shared" si="4"/>
        <v/>
      </c>
      <c r="K14" s="26">
        <f>+'COLOMB$ '!K14+'PROY SAT$'!K14</f>
        <v>0</v>
      </c>
      <c r="L14" s="27">
        <f t="shared" si="5"/>
        <v>0</v>
      </c>
      <c r="M14" s="26">
        <f>+'COLOMB$ '!M14+'PROY SAT$'!M14</f>
        <v>0</v>
      </c>
      <c r="N14" s="27">
        <f t="shared" si="6"/>
        <v>0</v>
      </c>
      <c r="O14" s="27" t="str">
        <f t="shared" si="7"/>
        <v/>
      </c>
      <c r="P14" s="26">
        <f>+'COLOMB$ '!P14+'PROY SAT$'!P14</f>
        <v>0</v>
      </c>
      <c r="Q14" s="27">
        <f t="shared" si="8"/>
        <v>0</v>
      </c>
      <c r="R14" s="28" t="str">
        <f t="shared" si="9"/>
        <v/>
      </c>
      <c r="S14" s="21"/>
      <c r="T14" s="16" t="s">
        <v>19</v>
      </c>
      <c r="U14" s="26">
        <f>+'COLOMB$ '!U14</f>
        <v>8353</v>
      </c>
      <c r="V14" s="26">
        <f>+'COLOMB$ '!V14</f>
        <v>11276.246999999999</v>
      </c>
      <c r="W14" s="26">
        <f>+'COLOMB$ '!W14</f>
        <v>8339.6790000000001</v>
      </c>
      <c r="X14" s="26">
        <f>+'COLOMB$ '!X14</f>
        <v>75177</v>
      </c>
      <c r="Y14" s="26">
        <f>+'COLOMB$ '!Y14</f>
        <v>90231.156959999993</v>
      </c>
      <c r="Z14" s="29">
        <f>+X14-Y14</f>
        <v>-15054.156959999993</v>
      </c>
      <c r="AA14" s="30">
        <f>IF(X14=0,"",(Y14-X14)/ABS(X14)+1)</f>
        <v>1.2002495039706291</v>
      </c>
      <c r="AB14" s="26">
        <f>+'COLOMB$ '!AB14</f>
        <v>65145.099000000002</v>
      </c>
      <c r="AC14" s="28">
        <f>IF(AB14=0,"",(Y14-AB14)/ABS(AB14))</f>
        <v>0.38507974268332895</v>
      </c>
      <c r="AE14" s="31"/>
    </row>
    <row r="15" spans="1:33" x14ac:dyDescent="0.2">
      <c r="B15" s="16" t="str">
        <f>+'COLOMB$ '!B15</f>
        <v>Voice Experience (Audicóm)</v>
      </c>
      <c r="C15" s="26">
        <f>+'COLOMB$ '!C15+'PROY SAT$'!C15</f>
        <v>119663</v>
      </c>
      <c r="D15" s="27">
        <f t="shared" si="0"/>
        <v>0.13178904149719875</v>
      </c>
      <c r="E15" s="26">
        <f>+'COLOMB$ '!E15+'PROY SAT$'!E15</f>
        <v>113720.287</v>
      </c>
      <c r="F15" s="27">
        <f t="shared" si="1"/>
        <v>0.12629481076311291</v>
      </c>
      <c r="G15" s="27">
        <f t="shared" si="2"/>
        <v>0.95033792400324246</v>
      </c>
      <c r="H15" s="26">
        <f>+'COLOMB$ '!H15+'PROY SAT$'!H15</f>
        <v>109818.008</v>
      </c>
      <c r="I15" s="27">
        <f t="shared" si="3"/>
        <v>0.13946740743838285</v>
      </c>
      <c r="J15" s="28">
        <f t="shared" si="4"/>
        <v>3.5534053759197624E-2</v>
      </c>
      <c r="K15" s="26">
        <f>+'COLOMB$ '!K15+'PROY SAT$'!K15</f>
        <v>1117270</v>
      </c>
      <c r="L15" s="27">
        <f t="shared" si="5"/>
        <v>0.1397673142613525</v>
      </c>
      <c r="M15" s="26">
        <f>+'COLOMB$ '!M15+'PROY SAT$'!M15</f>
        <v>1100554.098</v>
      </c>
      <c r="N15" s="27">
        <f t="shared" si="6"/>
        <v>0.13964458140239416</v>
      </c>
      <c r="O15" s="27">
        <f t="shared" si="7"/>
        <v>0.98503861913413948</v>
      </c>
      <c r="P15" s="26">
        <f>+'COLOMB$ '!P15+'PROY SAT$'!P15</f>
        <v>1042170.9889999999</v>
      </c>
      <c r="Q15" s="27">
        <f t="shared" si="8"/>
        <v>0.14937956140491601</v>
      </c>
      <c r="R15" s="28">
        <f t="shared" si="9"/>
        <v>5.6020662267734701E-2</v>
      </c>
      <c r="S15" s="21"/>
      <c r="T15" s="16" t="s">
        <v>20</v>
      </c>
      <c r="U15" s="26">
        <f>+'COLOMB$ '!U15</f>
        <v>380245</v>
      </c>
      <c r="V15" s="26">
        <f>+'COLOMB$ '!V15</f>
        <v>356554.50599999999</v>
      </c>
      <c r="W15" s="26">
        <f>+'COLOMB$ '!W15</f>
        <v>323220.29499999998</v>
      </c>
      <c r="X15" s="26">
        <f>+'COLOMB$ '!X15</f>
        <v>3544663</v>
      </c>
      <c r="Y15" s="26">
        <f>+'COLOMB$ '!Y15</f>
        <v>3461607.6132800002</v>
      </c>
      <c r="Z15" s="29">
        <f>+X15-Y15</f>
        <v>83055.386719999835</v>
      </c>
      <c r="AA15" s="30">
        <f>IF(X15=0,"",(Y15-X15)/ABS(X15)+1)</f>
        <v>0.97656889054897467</v>
      </c>
      <c r="AB15" s="26">
        <f>+'COLOMB$ '!AB15</f>
        <v>2979415.1609999998</v>
      </c>
      <c r="AC15" s="28">
        <f>IF(AB15=0,"",(Y15-AB15)/ABS(AB15))</f>
        <v>0.16184130986235534</v>
      </c>
      <c r="AE15" s="31"/>
      <c r="AF15" s="31"/>
      <c r="AG15" s="31"/>
    </row>
    <row r="16" spans="1:33" x14ac:dyDescent="0.2">
      <c r="B16" s="16" t="str">
        <f>+'COLOMB$ '!B16</f>
        <v>Fact. Servicio Satelital</v>
      </c>
      <c r="C16" s="26">
        <f>+'COLOMB$ '!C16+'PROY SAT$'!C16</f>
        <v>0</v>
      </c>
      <c r="D16" s="27">
        <f t="shared" si="0"/>
        <v>0</v>
      </c>
      <c r="E16" s="26">
        <f>+'COLOMB$ '!E16+'PROY SAT$'!E16</f>
        <v>0</v>
      </c>
      <c r="F16" s="27">
        <f t="shared" si="1"/>
        <v>0</v>
      </c>
      <c r="G16" s="27" t="str">
        <f t="shared" si="2"/>
        <v/>
      </c>
      <c r="H16" s="26">
        <f>+'COLOMB$ '!H16+'PROY SAT$'!H16</f>
        <v>0</v>
      </c>
      <c r="I16" s="27">
        <f t="shared" si="3"/>
        <v>0</v>
      </c>
      <c r="J16" s="28" t="str">
        <f t="shared" si="4"/>
        <v/>
      </c>
      <c r="K16" s="26">
        <f>+'COLOMB$ '!K16+'PROY SAT$'!K16</f>
        <v>0</v>
      </c>
      <c r="L16" s="27">
        <f t="shared" si="5"/>
        <v>0</v>
      </c>
      <c r="M16" s="26">
        <f>+'COLOMB$ '!M16+'PROY SAT$'!M16</f>
        <v>0</v>
      </c>
      <c r="N16" s="27">
        <f t="shared" si="6"/>
        <v>0</v>
      </c>
      <c r="O16" s="27" t="str">
        <f t="shared" si="7"/>
        <v/>
      </c>
      <c r="P16" s="26">
        <f>+'COLOMB$ '!P16+'PROY SAT$'!P16</f>
        <v>0</v>
      </c>
      <c r="Q16" s="27">
        <f t="shared" si="8"/>
        <v>0</v>
      </c>
      <c r="R16" s="28" t="str">
        <f t="shared" si="9"/>
        <v/>
      </c>
      <c r="S16" s="21"/>
      <c r="T16" s="16" t="s">
        <v>21</v>
      </c>
      <c r="U16" s="26">
        <f>+'COLOMB$ '!U16</f>
        <v>227574</v>
      </c>
      <c r="V16" s="26">
        <f>+'COLOMB$ '!V16</f>
        <v>213991.05386000001</v>
      </c>
      <c r="W16" s="26">
        <f>+'COLOMB$ '!W16</f>
        <v>186450.37100000001</v>
      </c>
      <c r="X16" s="26">
        <f>+'COLOMB$ '!X16</f>
        <v>2248413</v>
      </c>
      <c r="Y16" s="26">
        <f>+'COLOMB$ '!Y16</f>
        <v>2205998.9342399999</v>
      </c>
      <c r="Z16" s="29">
        <f>+X16-Y16</f>
        <v>42414.065760000143</v>
      </c>
      <c r="AA16" s="30">
        <f>IF(X16=0,"",(Y16-X16)/ABS(X16)+1)</f>
        <v>0.98113599869774804</v>
      </c>
      <c r="AB16" s="26">
        <f>+'COLOMB$ '!AB16</f>
        <v>1486805.9809999999</v>
      </c>
      <c r="AC16" s="28">
        <f>IF(AB16=0,"",(Y16-AB16)/ABS(AB16))</f>
        <v>0.48371674746444271</v>
      </c>
      <c r="AE16" s="31"/>
      <c r="AF16" s="11"/>
    </row>
    <row r="17" spans="2:32" x14ac:dyDescent="0.2">
      <c r="B17" s="16" t="str">
        <f>+'COLOMB$ '!B17</f>
        <v>Visual Experience</v>
      </c>
      <c r="C17" s="26">
        <f>+'COLOMB$ '!C17+'PROY SAT$'!C17</f>
        <v>18762</v>
      </c>
      <c r="D17" s="27">
        <f t="shared" si="0"/>
        <v>2.0663245920380092E-2</v>
      </c>
      <c r="E17" s="26">
        <f>+'COLOMB$ '!E17+'PROY SAT$'!E17</f>
        <v>17645.528999999999</v>
      </c>
      <c r="F17" s="27">
        <f t="shared" si="1"/>
        <v>1.9596668322425365E-2</v>
      </c>
      <c r="G17" s="27">
        <f t="shared" si="2"/>
        <v>0.94049296450271824</v>
      </c>
      <c r="H17" s="26">
        <f>+'COLOMB$ '!H17+'PROY SAT$'!H17</f>
        <v>12785.039000000001</v>
      </c>
      <c r="I17" s="27">
        <f t="shared" si="3"/>
        <v>1.623682923959625E-2</v>
      </c>
      <c r="J17" s="28">
        <f t="shared" si="4"/>
        <v>0.38017013479583422</v>
      </c>
      <c r="K17" s="26">
        <f>+'COLOMB$ '!K17+'PROY SAT$'!K17</f>
        <v>246524</v>
      </c>
      <c r="L17" s="27">
        <f t="shared" si="5"/>
        <v>3.0839454546318854E-2</v>
      </c>
      <c r="M17" s="26">
        <f>+'COLOMB$ '!M17+'PROY SAT$'!M17</f>
        <v>246385.924</v>
      </c>
      <c r="N17" s="27">
        <f t="shared" si="6"/>
        <v>3.1262851397262349E-2</v>
      </c>
      <c r="O17" s="27">
        <f t="shared" si="7"/>
        <v>0.99943990848761177</v>
      </c>
      <c r="P17" s="26">
        <f>+'COLOMB$ '!P17+'PROY SAT$'!P17</f>
        <v>210385.28599999999</v>
      </c>
      <c r="Q17" s="27">
        <f t="shared" si="8"/>
        <v>3.0155571475735846E-2</v>
      </c>
      <c r="R17" s="28">
        <f t="shared" si="9"/>
        <v>0.17111766076644735</v>
      </c>
      <c r="S17" s="21"/>
      <c r="T17" s="16" t="s">
        <v>22</v>
      </c>
      <c r="U17" s="26">
        <f>U13+U14+U15+U16</f>
        <v>720484</v>
      </c>
      <c r="V17" s="26">
        <f>V13+V14+V15+V16</f>
        <v>706684.76986</v>
      </c>
      <c r="W17" s="26">
        <f>W13+W14+W15+W16</f>
        <v>802346.60080000001</v>
      </c>
      <c r="X17" s="26">
        <f>X13+X14+X15+X16</f>
        <v>7090287</v>
      </c>
      <c r="Y17" s="26">
        <f>Y13+Y14+Y15+Y16</f>
        <v>6914636.8439099994</v>
      </c>
      <c r="Z17" s="29">
        <f>+Y17-X17</f>
        <v>-175650.15609000064</v>
      </c>
      <c r="AA17" s="30">
        <f>IF(X17=0,"",(Y17-X17)/ABS(X17)+1)</f>
        <v>0.97522665075616821</v>
      </c>
      <c r="AB17" s="26">
        <f>+'COLOMB$ '!AB17</f>
        <v>6456905.9186299993</v>
      </c>
      <c r="AC17" s="28">
        <f>IF(AB17=0,"",(Y17-AB17)/ABS(AB17))</f>
        <v>7.0890133919919288E-2</v>
      </c>
      <c r="AE17" s="31"/>
      <c r="AF17" s="31"/>
    </row>
    <row r="18" spans="2:32" x14ac:dyDescent="0.2">
      <c r="B18" s="16" t="str">
        <f>+'COLOMB$ '!B18</f>
        <v>Olfa Experience</v>
      </c>
      <c r="C18" s="26">
        <f>+'COLOMB$ '!C18+'PROY SAT$'!C18</f>
        <v>113210</v>
      </c>
      <c r="D18" s="27">
        <f t="shared" si="0"/>
        <v>0.12468212720638686</v>
      </c>
      <c r="E18" s="26">
        <f>+'COLOMB$ '!E18+'PROY SAT$'!E18</f>
        <v>113278.992</v>
      </c>
      <c r="F18" s="27">
        <f t="shared" si="1"/>
        <v>0.12580471994479034</v>
      </c>
      <c r="G18" s="27">
        <f t="shared" si="2"/>
        <v>1.0006094161293171</v>
      </c>
      <c r="H18" s="26">
        <f>+'COLOMB$ '!H18+'PROY SAT$'!H18</f>
        <v>90528.793999999994</v>
      </c>
      <c r="I18" s="27">
        <f t="shared" si="3"/>
        <v>0.11497036258118458</v>
      </c>
      <c r="J18" s="32">
        <f t="shared" si="4"/>
        <v>0.25130344716621328</v>
      </c>
      <c r="K18" s="26">
        <f>+'COLOMB$ '!K18+'PROY SAT$'!K18</f>
        <v>981544</v>
      </c>
      <c r="L18" s="27">
        <f t="shared" si="5"/>
        <v>0.12278837587095777</v>
      </c>
      <c r="M18" s="26">
        <f>+'COLOMB$ '!M18+'PROY SAT$'!M18</f>
        <v>923437.30099999998</v>
      </c>
      <c r="N18" s="27">
        <f t="shared" si="6"/>
        <v>0.11717099194291643</v>
      </c>
      <c r="O18" s="27">
        <f t="shared" si="7"/>
        <v>0.94080071907117768</v>
      </c>
      <c r="P18" s="26">
        <f>+'COLOMB$ '!P18+'PROY SAT$'!P18</f>
        <v>722667.85199999996</v>
      </c>
      <c r="Q18" s="27">
        <f t="shared" si="8"/>
        <v>0.10358358456780335</v>
      </c>
      <c r="R18" s="28">
        <f t="shared" si="9"/>
        <v>0.27781704754731507</v>
      </c>
      <c r="S18" s="21"/>
      <c r="AC18" s="2"/>
      <c r="AE18" s="31"/>
    </row>
    <row r="19" spans="2:32" x14ac:dyDescent="0.2">
      <c r="B19" s="16" t="str">
        <f>+'COLOMB$ '!B19</f>
        <v>Locutor virtual</v>
      </c>
      <c r="C19" s="26">
        <f>+'COLOMB$ '!C19+'PROY SAT$'!C19</f>
        <v>43706</v>
      </c>
      <c r="D19" s="27">
        <f t="shared" si="0"/>
        <v>4.8134944366066107E-2</v>
      </c>
      <c r="E19" s="26">
        <f>+'COLOMB$ '!E19+'PROY SAT$'!E19</f>
        <v>52854.142999999996</v>
      </c>
      <c r="F19" s="27">
        <f t="shared" si="1"/>
        <v>5.8698444792277996E-2</v>
      </c>
      <c r="G19" s="27">
        <f t="shared" si="2"/>
        <v>1.2093109184093715</v>
      </c>
      <c r="H19" s="26">
        <f>+'COLOMB$ '!H19+'PROY SAT$'!H19</f>
        <v>33628.868000000002</v>
      </c>
      <c r="I19" s="27">
        <f t="shared" si="3"/>
        <v>4.2708214440090694E-2</v>
      </c>
      <c r="J19" s="28">
        <f t="shared" si="4"/>
        <v>0.57168962690031655</v>
      </c>
      <c r="K19" s="26">
        <f>+'COLOMB$ '!K19+'PROY SAT$'!K19</f>
        <v>389045</v>
      </c>
      <c r="L19" s="27">
        <f t="shared" si="5"/>
        <v>4.86684282016056E-2</v>
      </c>
      <c r="M19" s="26">
        <f>+'COLOMB$ '!M19+'PROY SAT$'!M19</f>
        <v>472552.38699999999</v>
      </c>
      <c r="N19" s="27">
        <f t="shared" si="6"/>
        <v>5.9960142253104552E-2</v>
      </c>
      <c r="O19" s="27">
        <f t="shared" si="7"/>
        <v>1.2146471153722578</v>
      </c>
      <c r="P19" s="26">
        <f>+'COLOMB$ '!P19+'PROY SAT$'!P19</f>
        <v>304580.065</v>
      </c>
      <c r="Q19" s="27">
        <f t="shared" si="8"/>
        <v>4.3656978559763776E-2</v>
      </c>
      <c r="R19" s="28">
        <f t="shared" si="9"/>
        <v>0.55148823347975839</v>
      </c>
      <c r="S19" s="21"/>
      <c r="T19" s="16" t="s">
        <v>23</v>
      </c>
      <c r="U19" s="26">
        <f>U11-U17</f>
        <v>349800</v>
      </c>
      <c r="V19" s="26">
        <f>V11-V17</f>
        <v>455518.19881000009</v>
      </c>
      <c r="W19" s="26">
        <f>W11-W17</f>
        <v>209215.51405</v>
      </c>
      <c r="X19" s="26">
        <f>X11-X17</f>
        <v>2066650</v>
      </c>
      <c r="Y19" s="26">
        <f>Y11-Y17</f>
        <v>2270037.3025000002</v>
      </c>
      <c r="Z19" s="29">
        <f>+Y19-X19</f>
        <v>203387.30250000022</v>
      </c>
      <c r="AA19" s="30">
        <f>IF(X19=0,"",(Y19-X19)/ABS(X19)+1)</f>
        <v>1.0984140045484239</v>
      </c>
      <c r="AB19" s="26">
        <f>AB11-AB17</f>
        <v>2128765.8077100003</v>
      </c>
      <c r="AC19" s="28">
        <f>IF(AB19=0,"",(Y19-AB19)/ABS(AB19))</f>
        <v>6.6363098410515797E-2</v>
      </c>
      <c r="AE19" s="31"/>
    </row>
    <row r="20" spans="2:32" x14ac:dyDescent="0.2">
      <c r="B20" s="33" t="s">
        <v>24</v>
      </c>
      <c r="C20" s="34">
        <f>SUM(C10:C19)</f>
        <v>907989</v>
      </c>
      <c r="D20" s="35">
        <f t="shared" si="0"/>
        <v>1</v>
      </c>
      <c r="E20" s="34">
        <f>SUM(E10:E19)</f>
        <v>900435.15099999995</v>
      </c>
      <c r="F20" s="35">
        <f t="shared" si="1"/>
        <v>1</v>
      </c>
      <c r="G20" s="35">
        <f t="shared" si="2"/>
        <v>0.9916806822549612</v>
      </c>
      <c r="H20" s="34">
        <f>SUM(H10:H19)</f>
        <v>787409.83299999998</v>
      </c>
      <c r="I20" s="35">
        <f>+H22/$H$22</f>
        <v>1</v>
      </c>
      <c r="J20" s="36">
        <f t="shared" si="4"/>
        <v>0.14354064841859801</v>
      </c>
      <c r="K20" s="34">
        <f>SUM(K10:K19)</f>
        <v>7993786</v>
      </c>
      <c r="L20" s="35">
        <f t="shared" si="5"/>
        <v>1</v>
      </c>
      <c r="M20" s="34">
        <f>SUM(M10:M19)</f>
        <v>7881108.5038000001</v>
      </c>
      <c r="N20" s="35">
        <f t="shared" si="6"/>
        <v>1</v>
      </c>
      <c r="O20" s="35">
        <f t="shared" si="7"/>
        <v>0.98590436418988447</v>
      </c>
      <c r="P20" s="34">
        <f>SUM(P10:P19)</f>
        <v>6976663.8702000007</v>
      </c>
      <c r="Q20" s="35">
        <f t="shared" si="8"/>
        <v>1</v>
      </c>
      <c r="R20" s="36">
        <f t="shared" si="9"/>
        <v>0.12963855654035852</v>
      </c>
      <c r="S20" s="21"/>
      <c r="T20" s="16"/>
      <c r="U20" s="26"/>
      <c r="V20" s="26"/>
      <c r="W20" s="26"/>
      <c r="X20" s="26"/>
      <c r="Y20" s="26"/>
      <c r="Z20" s="29"/>
      <c r="AA20" s="30"/>
      <c r="AB20" s="26"/>
      <c r="AC20" s="28" t="str">
        <f>IF(AB20=0,"",(Y20-AB20)/ABS(AB20))</f>
        <v/>
      </c>
      <c r="AE20" s="31"/>
    </row>
    <row r="21" spans="2:32" x14ac:dyDescent="0.2">
      <c r="J21" s="28"/>
      <c r="R21" s="28"/>
      <c r="S21" s="21"/>
      <c r="T21" s="16" t="s">
        <v>25</v>
      </c>
      <c r="U21" s="26">
        <f>+U10+U19</f>
        <v>489198</v>
      </c>
      <c r="V21" s="26">
        <f>+V10+V19</f>
        <v>547759.09687000001</v>
      </c>
      <c r="W21" s="26">
        <f>+'COLOMB$ '!W21</f>
        <v>1201085.5140499999</v>
      </c>
      <c r="X21" s="26">
        <f>+X10+X19</f>
        <v>2551042</v>
      </c>
      <c r="Y21" s="26">
        <f>+Y10+Y19</f>
        <v>2754429.3025000002</v>
      </c>
      <c r="Z21" s="29">
        <f>+Y21-X21</f>
        <v>203387.30250000022</v>
      </c>
      <c r="AA21" s="30">
        <f>IF(X21=0,"",(Y21-X21)/ABS(X21)+1)</f>
        <v>1.0797271477694215</v>
      </c>
      <c r="AB21" s="26">
        <f>+'COLOMB$ '!AB21</f>
        <v>2719149.8077100003</v>
      </c>
      <c r="AC21" s="28">
        <f>IF(AB21=0,"",(Y21-AB21)/ABS(AB21))</f>
        <v>1.2974457931654533E-2</v>
      </c>
    </row>
    <row r="22" spans="2:32" x14ac:dyDescent="0.2">
      <c r="B22" s="16" t="s">
        <v>26</v>
      </c>
      <c r="C22" s="26">
        <f>+'COLOMB$ '!C22+'PROY SAT$'!C22</f>
        <v>90999</v>
      </c>
      <c r="D22" s="27">
        <f>+C22/$C$20</f>
        <v>0.10022037711910607</v>
      </c>
      <c r="E22" s="26">
        <f>+'COLOMB$ '!E22+'PROY SAT$'!E22</f>
        <v>130826.87229</v>
      </c>
      <c r="F22" s="27">
        <f>+E22/$E$20</f>
        <v>0.14529294213437477</v>
      </c>
      <c r="G22" s="27">
        <f>IF(C22=0,"",(E22-C22)/ABS(C22)+1)</f>
        <v>1.4376737358652294</v>
      </c>
      <c r="H22" s="26">
        <f>+'COLOMB$ '!H22+'PROY SAT$'!H22</f>
        <v>53958.620340000001</v>
      </c>
      <c r="I22" s="27">
        <f>+H22/$H$20</f>
        <v>6.8526729129632299E-2</v>
      </c>
      <c r="J22" s="28">
        <f>IF(H22=0,"",(E22-H22)/ABS(H22))</f>
        <v>1.4245777869345724</v>
      </c>
      <c r="K22" s="26">
        <f>+'COLOMB$ '!K22+'PROY SAT$'!K22</f>
        <v>676244</v>
      </c>
      <c r="L22" s="27">
        <f>+K22/$K$20</f>
        <v>8.4596210106199984E-2</v>
      </c>
      <c r="M22" s="26">
        <f>+'COLOMB$ '!M22+'PROY SAT$'!M22</f>
        <v>704091.48632000003</v>
      </c>
      <c r="N22" s="27">
        <f>+M22/$M$20</f>
        <v>8.9339143850197117E-2</v>
      </c>
      <c r="O22" s="27">
        <f>IF(K22=0,"",(M22-K22)/ABS(K22)+1)</f>
        <v>1.0411796427325049</v>
      </c>
      <c r="P22" s="26">
        <f>+'COLOMB$ '!P22+'PROY SAT$'!P22</f>
        <v>395996.76324999996</v>
      </c>
      <c r="Q22" s="27">
        <f>+P22/$P$20</f>
        <v>5.676018948561555E-2</v>
      </c>
      <c r="R22" s="28">
        <f>IF(P22=0,"",(M22-P22)/ABS(P22))</f>
        <v>0.77802333670968482</v>
      </c>
      <c r="S22" s="21"/>
      <c r="AC22" s="28"/>
      <c r="AE22" s="31"/>
    </row>
    <row r="23" spans="2:32" x14ac:dyDescent="0.2">
      <c r="J23" s="28"/>
      <c r="R23" s="28"/>
      <c r="S23" s="21"/>
      <c r="T23" s="16" t="s">
        <v>27</v>
      </c>
      <c r="U23" s="26">
        <f>+'COLOMB$ '!U23</f>
        <v>0</v>
      </c>
      <c r="V23" s="26">
        <f>+'COLOMB$ '!V23</f>
        <v>107886.03350000001</v>
      </c>
      <c r="W23" s="26">
        <f>+'COLOMB$ '!W23</f>
        <v>0</v>
      </c>
      <c r="X23" s="26">
        <f>+'COLOMB$ '!X23</f>
        <v>424785</v>
      </c>
      <c r="Y23" s="26">
        <f>+'COLOMB$ '!Y23</f>
        <v>715597.43649999995</v>
      </c>
      <c r="Z23" s="29">
        <f>+Y23-X23</f>
        <v>290812.43649999995</v>
      </c>
      <c r="AA23" s="30">
        <f>IF(X23=0,"",(Y23-X23)/ABS(X23)+1)</f>
        <v>1.6846108890379838</v>
      </c>
      <c r="AB23" s="26">
        <f>+'COLOMB$ '!AB23</f>
        <v>384691.76899999997</v>
      </c>
      <c r="AC23" s="28">
        <f>IF(AB23=0,"",(Y23-AB23)/ABS(AB23))</f>
        <v>0.86018390349287666</v>
      </c>
    </row>
    <row r="24" spans="2:32" x14ac:dyDescent="0.2">
      <c r="B24" s="37" t="s">
        <v>28</v>
      </c>
      <c r="C24" s="26">
        <f>+C20-C22</f>
        <v>816990</v>
      </c>
      <c r="D24" s="27">
        <f>+C24/$C$20</f>
        <v>0.89977962288089397</v>
      </c>
      <c r="E24" s="26">
        <f>+E20-E22</f>
        <v>769608.27870999998</v>
      </c>
      <c r="F24" s="27">
        <f>+E24/$E$20</f>
        <v>0.85470705786562529</v>
      </c>
      <c r="G24" s="27">
        <f>IF(C24=0,"",(E24-C24)/ABS(C24)+1)</f>
        <v>0.94200452724023553</v>
      </c>
      <c r="H24" s="26">
        <f>+H20-H22</f>
        <v>733451.21265999996</v>
      </c>
      <c r="I24" s="27">
        <f>+H24/$H$20</f>
        <v>0.93147327087036769</v>
      </c>
      <c r="J24" s="28">
        <f>IF(H24=0,"",(E24-H24)/ABS(H24))</f>
        <v>4.9297165818118376E-2</v>
      </c>
      <c r="K24" s="26">
        <f>+K20-K22</f>
        <v>7317542</v>
      </c>
      <c r="L24" s="27">
        <f>+K24/$K$20</f>
        <v>0.9154037898938</v>
      </c>
      <c r="M24" s="26">
        <f>+M20-M22</f>
        <v>7177017.0174799999</v>
      </c>
      <c r="N24" s="27">
        <f>+M24/$M$20</f>
        <v>0.91066085614980286</v>
      </c>
      <c r="O24" s="27">
        <f>IF(K24=0,"",(M24-K24)/ABS(K24)+1)</f>
        <v>0.98079614951031369</v>
      </c>
      <c r="P24" s="26">
        <f>+P20-P22</f>
        <v>6580667.1069500009</v>
      </c>
      <c r="Q24" s="27">
        <f>+P24/$P$20</f>
        <v>0.94323981051438444</v>
      </c>
      <c r="R24" s="28">
        <f>IF(P24=0,"",(M24-P24)/ABS(P24))</f>
        <v>9.0621497917768787E-2</v>
      </c>
      <c r="S24" s="21"/>
      <c r="AC24" s="28"/>
    </row>
    <row r="25" spans="2:32" x14ac:dyDescent="0.2">
      <c r="J25" s="28"/>
      <c r="R25" s="28"/>
      <c r="T25" s="16" t="s">
        <v>29</v>
      </c>
      <c r="U25" s="26">
        <f>+'COLOMB$ '!U25</f>
        <v>309753</v>
      </c>
      <c r="V25" s="26">
        <f>+'COLOMB$ '!V25</f>
        <v>268548.82091000001</v>
      </c>
      <c r="W25" s="26">
        <f>+'COLOMB$ '!W25</f>
        <v>249903.88563</v>
      </c>
      <c r="X25" s="26">
        <f>+'COLOMB$ '!X25</f>
        <v>1656383</v>
      </c>
      <c r="Y25" s="26">
        <f>+'COLOMB$ '!Y25</f>
        <v>1609048.8113499999</v>
      </c>
      <c r="Z25" s="29">
        <f>+Y25-X25</f>
        <v>-47334.188650000142</v>
      </c>
      <c r="AA25" s="30">
        <f>IF(X25=0,"",(Y25-X25)/ABS(X25)+1)</f>
        <v>0.9714231620041982</v>
      </c>
      <c r="AB25" s="26">
        <f>+'COLOMB$ '!AB25</f>
        <v>1420524.0003599999</v>
      </c>
      <c r="AC25" s="28">
        <f>IF(AB25=0,"",(Y25-AB25)/ABS(AB25))</f>
        <v>0.13271497767177642</v>
      </c>
    </row>
    <row r="26" spans="2:32" x14ac:dyDescent="0.2">
      <c r="B26" s="16" t="s">
        <v>30</v>
      </c>
      <c r="C26" s="26">
        <f>+'COLOMB$ '!C26+'PROY SAT$'!C26</f>
        <v>216570</v>
      </c>
      <c r="D26" s="27">
        <f>+C26/$C$20</f>
        <v>0.23851610537132059</v>
      </c>
      <c r="E26" s="26">
        <f>+'COLOMB$ '!E26+'PROY SAT$'!E26</f>
        <v>203842.24231999999</v>
      </c>
      <c r="F26" s="27">
        <f>+E26/$E$20</f>
        <v>0.22638192444355162</v>
      </c>
      <c r="G26" s="27">
        <f>IF(C26=0,"",(E26-C26)/ABS(C26)+1)</f>
        <v>0.94123028267996489</v>
      </c>
      <c r="H26" s="26">
        <f>+'COLOMB$ '!H26+'PROY SAT$'!H26</f>
        <v>177216.10097000003</v>
      </c>
      <c r="I26" s="27">
        <f>+H26/$H$20</f>
        <v>0.22506208780097878</v>
      </c>
      <c r="J26" s="28">
        <f>IF(H26=0,"",(E26-H26)/ABS(H26))</f>
        <v>0.15024673945685871</v>
      </c>
      <c r="K26" s="26">
        <f>+'COLOMB$ '!K26+'PROY SAT$'!K26</f>
        <v>1784005</v>
      </c>
      <c r="L26" s="27">
        <f>+K26/$K$20</f>
        <v>0.22317397538538059</v>
      </c>
      <c r="M26" s="26">
        <f>+'COLOMB$ '!M26+'PROY SAT$'!M26</f>
        <v>1744891.4399699999</v>
      </c>
      <c r="N26" s="27">
        <f>+M26/$M$20</f>
        <v>0.22140177858592774</v>
      </c>
      <c r="O26" s="27">
        <f>IF(K26=0,"",(M26-K26)/ABS(K26)+1)</f>
        <v>0.97807542017539184</v>
      </c>
      <c r="P26" s="26">
        <f>+'COLOMB$ '!P26+'PROY SAT$'!P26</f>
        <v>1453535.28945</v>
      </c>
      <c r="Q26" s="27">
        <f>+P26/$P$20</f>
        <v>0.20834245657994291</v>
      </c>
      <c r="R26" s="28">
        <f>IF(P26=0,"",(M26-P26)/ABS(P26))</f>
        <v>0.20044656131482402</v>
      </c>
      <c r="S26" s="21"/>
      <c r="AC26" s="28"/>
    </row>
    <row r="27" spans="2:32" x14ac:dyDescent="0.2">
      <c r="B27" s="16" t="s">
        <v>31</v>
      </c>
      <c r="C27" s="26">
        <f>+'COLOMB$ '!C27+'PROY SAT$'!C27</f>
        <v>273752</v>
      </c>
      <c r="D27" s="27">
        <f>+C27/$C$20</f>
        <v>0.30149263922800829</v>
      </c>
      <c r="E27" s="26">
        <f>+'COLOMB$ '!E27+'PROY SAT$'!E27</f>
        <v>277566.56362000003</v>
      </c>
      <c r="F27" s="27">
        <f>+E27/$E$20</f>
        <v>0.3082582497048697</v>
      </c>
      <c r="G27" s="27">
        <f>IF(C27=0,"",(E27-C27)/ABS(C27)+1)</f>
        <v>1.0139343771735003</v>
      </c>
      <c r="H27" s="26">
        <f>+'COLOMB$ '!H27+'PROY SAT$'!H27</f>
        <v>285963.57743</v>
      </c>
      <c r="I27" s="27">
        <f>+H27/$H$20</f>
        <v>0.36316993444251289</v>
      </c>
      <c r="J27" s="28">
        <f>IF(H27=0,"",(E27-H27)/ABS(H27))</f>
        <v>-2.9363927691299953E-2</v>
      </c>
      <c r="K27" s="26">
        <f>+'COLOMB$ '!K27+'PROY SAT$'!K27</f>
        <v>2547076</v>
      </c>
      <c r="L27" s="27">
        <f>+K27/$K$20</f>
        <v>0.31863199740398357</v>
      </c>
      <c r="M27" s="26">
        <f>+'COLOMB$ '!M27+'PROY SAT$'!M27</f>
        <v>2547641.1855899999</v>
      </c>
      <c r="N27" s="27">
        <f>+M27/$M$20</f>
        <v>0.32325924511274207</v>
      </c>
      <c r="O27" s="27">
        <f>IF(K27=0,"",(M27-K27)/ABS(K27)+1)</f>
        <v>1.0002218958484159</v>
      </c>
      <c r="P27" s="26">
        <f>+'COLOMB$ '!P27+'PROY SAT$'!P27</f>
        <v>2642901.8245199998</v>
      </c>
      <c r="Q27" s="27">
        <f>+P27/$P$20</f>
        <v>0.37882028913688159</v>
      </c>
      <c r="R27" s="28">
        <f>IF(P27=0,"",(M27-P27)/ABS(P27))</f>
        <v>-3.6043956701759437E-2</v>
      </c>
      <c r="S27" s="21"/>
      <c r="T27" s="16" t="s">
        <v>32</v>
      </c>
      <c r="U27" s="26">
        <f>+'COLOMB$ '!U27</f>
        <v>81586</v>
      </c>
      <c r="V27" s="26">
        <f>+'COLOMB$ '!V27</f>
        <v>29589.451420000001</v>
      </c>
      <c r="W27" s="26">
        <f>+'COLOMB$ '!W27</f>
        <v>93452.776259999999</v>
      </c>
      <c r="X27" s="26">
        <f>+'COLOMB$ '!X27</f>
        <v>-15485</v>
      </c>
      <c r="Y27" s="26">
        <f>+'COLOMB$ '!Y27</f>
        <v>-65598.082620000001</v>
      </c>
      <c r="Z27" s="29">
        <f>+Y27-X27</f>
        <v>-50113.082620000001</v>
      </c>
      <c r="AA27" s="30">
        <f>IF(X27=0,"",(Y27-X27)/ABS(X27)+1)</f>
        <v>-2.2362339438165968</v>
      </c>
      <c r="AB27" s="26">
        <f>+'COLOMB$ '!AB27</f>
        <v>56205.157330000002</v>
      </c>
      <c r="AC27" s="28">
        <f>IF(AB27=0,"",(Y27-AB27)/ABS(AB27))</f>
        <v>-2.1671185659147056</v>
      </c>
    </row>
    <row r="28" spans="2:32" x14ac:dyDescent="0.2">
      <c r="B28" s="16" t="s">
        <v>33</v>
      </c>
      <c r="C28" s="26">
        <f>SUM(C26:C27)</f>
        <v>490322</v>
      </c>
      <c r="D28" s="27">
        <f>+C28/$C$20</f>
        <v>0.54000874459932879</v>
      </c>
      <c r="E28" s="26">
        <f>SUM(E26:E27)</f>
        <v>481408.80593999999</v>
      </c>
      <c r="F28" s="27">
        <f>+E28/$E$20</f>
        <v>0.53464017414842124</v>
      </c>
      <c r="G28" s="27">
        <f>IF(C28=0,"",(E28-C28)/ABS(C28)+1)</f>
        <v>0.98182175374549785</v>
      </c>
      <c r="H28" s="26">
        <f>SUM(H26:H27)</f>
        <v>463179.67840000003</v>
      </c>
      <c r="I28" s="27">
        <f>+H28/$H$20</f>
        <v>0.58823202224349169</v>
      </c>
      <c r="J28" s="28">
        <f>IF(H28=0,"",(E28-H28)/ABS(H28))</f>
        <v>3.935649250193865E-2</v>
      </c>
      <c r="K28" s="26">
        <f>SUM(K26:K27)</f>
        <v>4331081</v>
      </c>
      <c r="L28" s="27">
        <f>+K28/$K$20</f>
        <v>0.54180597278936415</v>
      </c>
      <c r="M28" s="26">
        <f>SUM(M26:M27)</f>
        <v>4292532.6255599996</v>
      </c>
      <c r="N28" s="27">
        <f>+M28/$M$20</f>
        <v>0.54466102369866976</v>
      </c>
      <c r="O28" s="27">
        <f>IF(K28=0,"",(M28-K28)/ABS(K28)+1)</f>
        <v>0.99109959512648216</v>
      </c>
      <c r="P28" s="26">
        <f>SUM(P26:P27)</f>
        <v>4096437.1139699998</v>
      </c>
      <c r="Q28" s="27">
        <f>+P28/$P$20</f>
        <v>0.58716274571682447</v>
      </c>
      <c r="R28" s="28">
        <f>IF(P28=0,"",(M28-P28)/ABS(P28))</f>
        <v>4.7869772227494736E-2</v>
      </c>
      <c r="S28" s="21"/>
      <c r="T28" s="16" t="s">
        <v>34</v>
      </c>
      <c r="U28" s="26">
        <f>+'COLOMB$ '!U28</f>
        <v>77500</v>
      </c>
      <c r="V28" s="26">
        <f>+'COLOMB$ '!V28</f>
        <v>70236.313999999998</v>
      </c>
      <c r="W28" s="26">
        <f>+'COLOMB$ '!W28</f>
        <v>0</v>
      </c>
      <c r="X28" s="26">
        <f>+'COLOMB$ '!X28</f>
        <v>465000</v>
      </c>
      <c r="Y28" s="26">
        <f>+'COLOMB$ '!Y28</f>
        <v>423882.76299999998</v>
      </c>
      <c r="Z28" s="29">
        <f>+Y28-X28</f>
        <v>-41117.237000000023</v>
      </c>
      <c r="AA28" s="30">
        <f>IF(X28=0,"",(Y28-X28)/ABS(X28)+1)</f>
        <v>0.91157583440860213</v>
      </c>
      <c r="AB28" s="26">
        <f>+'COLOMB$ '!AB28</f>
        <v>0</v>
      </c>
      <c r="AC28" s="28" t="str">
        <f>IF(AB28=0,"",(Y28-AB28)/ABS(AB28))</f>
        <v/>
      </c>
    </row>
    <row r="29" spans="2:32" x14ac:dyDescent="0.2">
      <c r="J29" s="28"/>
      <c r="R29" s="28"/>
      <c r="S29" s="21"/>
      <c r="AC29" s="2"/>
    </row>
    <row r="30" spans="2:32" x14ac:dyDescent="0.2">
      <c r="B30" s="16" t="s">
        <v>35</v>
      </c>
      <c r="C30" s="26">
        <f>+'COLOMB$ '!C30+'PROY SAT$'!C30</f>
        <v>56237</v>
      </c>
      <c r="D30" s="27">
        <f>+C30/$C$20</f>
        <v>6.1935772349665026E-2</v>
      </c>
      <c r="E30" s="26">
        <f>+'COLOMB$ '!E30+'PROY SAT$'!E30</f>
        <v>54595.464999999997</v>
      </c>
      <c r="F30" s="27">
        <f>+E30/$E$20</f>
        <v>6.0632311987562554E-2</v>
      </c>
      <c r="G30" s="27">
        <f>IF(C30=0,"",(E30-C30)/ABS(C30)+1)</f>
        <v>0.97081040951686604</v>
      </c>
      <c r="H30" s="26">
        <f>+'COLOMB$ '!H30+'PROY SAT$'!H30</f>
        <v>41106.833440000002</v>
      </c>
      <c r="I30" s="27">
        <f>+H30/$H$20</f>
        <v>5.2205130946085102E-2</v>
      </c>
      <c r="J30" s="28">
        <f>IF(H30=0,"",(E30-H30)/ABS(H30))</f>
        <v>0.3281359917856031</v>
      </c>
      <c r="K30" s="26">
        <f>+'COLOMB$ '!K30+'PROY SAT$'!K30</f>
        <v>477522</v>
      </c>
      <c r="L30" s="27">
        <f>+K30/$K$20</f>
        <v>5.973665044323178E-2</v>
      </c>
      <c r="M30" s="26">
        <f>+'COLOMB$ '!M30+'PROY SAT$'!M30</f>
        <v>451444.79557000002</v>
      </c>
      <c r="N30" s="27">
        <f>+M30/$M$20</f>
        <v>5.7281890656920763E-2</v>
      </c>
      <c r="O30" s="27">
        <f>IF(K30=0,"",(M30-K30)/ABS(K30)+1)</f>
        <v>0.94539056958632273</v>
      </c>
      <c r="P30" s="26">
        <f>+'COLOMB$ '!P30+'PROY SAT$'!P30</f>
        <v>364541.70068999997</v>
      </c>
      <c r="Q30" s="27">
        <f>+P30/$P$20</f>
        <v>5.2251578615833419E-2</v>
      </c>
      <c r="R30" s="28">
        <f>IF(P30=0,"",(M30-P30)/ABS(P30))</f>
        <v>0.23838999685224202</v>
      </c>
      <c r="S30" s="21"/>
      <c r="T30" s="33" t="s">
        <v>36</v>
      </c>
      <c r="U30" s="34">
        <f>U21-U23-U25-U27-U28</f>
        <v>20359</v>
      </c>
      <c r="V30" s="34">
        <f>V21-V23-V25-V27-V28</f>
        <v>71498.477039999983</v>
      </c>
      <c r="W30" s="34">
        <f>W21-W23-W25-W27-W28</f>
        <v>857728.85215999989</v>
      </c>
      <c r="X30" s="34">
        <f>X21-X23-X25-X27-X28</f>
        <v>20359</v>
      </c>
      <c r="Y30" s="34">
        <f>Y21-Y23-Y25-Y27-Y28</f>
        <v>71498.374270000553</v>
      </c>
      <c r="Z30" s="38">
        <f>+Y30-X30</f>
        <v>51139.374270000553</v>
      </c>
      <c r="AA30" s="39">
        <f>IF(U30=0,"",(V30-U30)/ABS(U30)+1)</f>
        <v>3.5118855071467157</v>
      </c>
      <c r="AB30" s="34">
        <f>AB21-AB23-AB25-AB27-AB28</f>
        <v>857728.88102000055</v>
      </c>
      <c r="AC30" s="28">
        <f>IF(AB30=0,"",(Y30-AB30)/ABS(AB30))</f>
        <v>-0.91664222127512407</v>
      </c>
    </row>
    <row r="31" spans="2:32" x14ac:dyDescent="0.2">
      <c r="B31" s="16" t="s">
        <v>37</v>
      </c>
      <c r="C31" s="26">
        <f>+'COLOMB$ '!C31+'PROY SAT$'!C31</f>
        <v>171063</v>
      </c>
      <c r="D31" s="27">
        <f>+C31/$C$20</f>
        <v>0.18839765679980705</v>
      </c>
      <c r="E31" s="26">
        <f>+'COLOMB$ '!E31+'PROY SAT$'!E31</f>
        <v>171447.35569</v>
      </c>
      <c r="F31" s="27">
        <f>+E31/$E$20</f>
        <v>0.19040500084830653</v>
      </c>
      <c r="G31" s="27">
        <f>IF(C31=0,"",(E31-C31)/ABS(C31)+1)</f>
        <v>1.0022468663007196</v>
      </c>
      <c r="H31" s="26">
        <f>+'COLOMB$ '!H31+'PROY SAT$'!H31</f>
        <v>148857.22728999998</v>
      </c>
      <c r="I31" s="27">
        <f>+H31/$H$20</f>
        <v>0.18904669595356702</v>
      </c>
      <c r="J31" s="28">
        <f>IF(H31=0,"",(E31-H31)/ABS(H31))</f>
        <v>0.15175701449813037</v>
      </c>
      <c r="K31" s="26">
        <f>+'COLOMB$ '!K31+'PROY SAT$'!K31</f>
        <v>1572975</v>
      </c>
      <c r="L31" s="27">
        <f>+K31/$K$20</f>
        <v>0.19677471976357636</v>
      </c>
      <c r="M31" s="26">
        <f>+'COLOMB$ '!M31+'PROY SAT$'!M31</f>
        <v>1522029.2149700001</v>
      </c>
      <c r="N31" s="27">
        <f>+M31/$M$20</f>
        <v>0.19312374829456158</v>
      </c>
      <c r="O31" s="27">
        <f>IF(K31=0,"",(M31-K31)/ABS(K31)+1)</f>
        <v>0.96761182788664801</v>
      </c>
      <c r="P31" s="26">
        <f>+'COLOMB$ '!P31+'PROY SAT$'!P31</f>
        <v>1363531.1892900001</v>
      </c>
      <c r="Q31" s="27">
        <f>+P31/$P$20</f>
        <v>0.19544172037786761</v>
      </c>
      <c r="R31" s="28">
        <f>IF(P31=0,"",(M31-P31)/ABS(P31))</f>
        <v>0.11624085090604415</v>
      </c>
      <c r="S31" s="21"/>
    </row>
    <row r="32" spans="2:32" x14ac:dyDescent="0.2">
      <c r="B32" s="16" t="s">
        <v>38</v>
      </c>
      <c r="C32" s="26">
        <f>SUM(C30:C31)</f>
        <v>227300</v>
      </c>
      <c r="D32" s="27">
        <f>+C32/$C$20</f>
        <v>0.2503334291494721</v>
      </c>
      <c r="E32" s="26">
        <f>SUM(E30:E31)</f>
        <v>226042.82068999999</v>
      </c>
      <c r="F32" s="27">
        <f>+E32/$E$20</f>
        <v>0.25103731283586905</v>
      </c>
      <c r="G32" s="27">
        <f>IF(C32=0,"",(E32-C32)/ABS(C32)+1)</f>
        <v>0.99446907474703028</v>
      </c>
      <c r="H32" s="26">
        <f>SUM(H30:H31)</f>
        <v>189964.06072999997</v>
      </c>
      <c r="I32" s="27">
        <f>+H32/$H$20</f>
        <v>0.24125182689965211</v>
      </c>
      <c r="J32" s="28">
        <f>IF(H32=0,"",(E32-H32)/ABS(H32))</f>
        <v>0.18992413523566201</v>
      </c>
      <c r="K32" s="26">
        <f>SUM(K30:K31)</f>
        <v>2050497</v>
      </c>
      <c r="L32" s="27">
        <f>+K32/$K$20</f>
        <v>0.25651137020680814</v>
      </c>
      <c r="M32" s="26">
        <f>SUM(M30:M31)</f>
        <v>1973474.0105400002</v>
      </c>
      <c r="N32" s="27">
        <f>+M32/$M$20</f>
        <v>0.25040563895148238</v>
      </c>
      <c r="O32" s="27">
        <f>IF(K32=0,"",(M32-K32)/ABS(K32)+1)</f>
        <v>0.96243691677676202</v>
      </c>
      <c r="P32" s="26">
        <f t="shared" ref="P32" si="10">SUM(P30:P31)</f>
        <v>1728072.88998</v>
      </c>
      <c r="Q32" s="27">
        <f>+P32/$P$20</f>
        <v>0.24769329899370102</v>
      </c>
      <c r="R32" s="28">
        <f>IF(P32=0,"",(M32-P32)/ABS(P32))</f>
        <v>0.1420085471989786</v>
      </c>
      <c r="S32" s="21"/>
    </row>
    <row r="33" spans="2:20" x14ac:dyDescent="0.2">
      <c r="J33" s="28"/>
      <c r="R33" s="28"/>
      <c r="S33" s="21"/>
    </row>
    <row r="34" spans="2:20" x14ac:dyDescent="0.2">
      <c r="B34" s="16" t="s">
        <v>39</v>
      </c>
      <c r="C34" s="26">
        <f>C28+C32</f>
        <v>717622</v>
      </c>
      <c r="D34" s="27">
        <f>+C34/$C$20</f>
        <v>0.79034217374880089</v>
      </c>
      <c r="E34" s="26">
        <f>E28+E32</f>
        <v>707451.62662999996</v>
      </c>
      <c r="F34" s="27">
        <f>+E34/$E$20</f>
        <v>0.7856774869842903</v>
      </c>
      <c r="G34" s="27">
        <f>IF(C34=0,"",(E34-C34)/ABS(C34)+1)</f>
        <v>0.98582767338515254</v>
      </c>
      <c r="H34" s="26">
        <f>H28+H32</f>
        <v>653143.73913</v>
      </c>
      <c r="I34" s="27">
        <f>+H34/$H$20</f>
        <v>0.82948384914314377</v>
      </c>
      <c r="J34" s="28">
        <f>IF(H34=0,"",(E34-H34)/ABS(H34))</f>
        <v>8.3148446882977248E-2</v>
      </c>
      <c r="K34" s="26">
        <f>K28+K32</f>
        <v>6381578</v>
      </c>
      <c r="L34" s="27">
        <f>+K34/$K$20</f>
        <v>0.7983173429961723</v>
      </c>
      <c r="M34" s="26">
        <f>M28+M32</f>
        <v>6266006.6360999998</v>
      </c>
      <c r="N34" s="27">
        <f>+M34/$M$20</f>
        <v>0.79506666265015213</v>
      </c>
      <c r="O34" s="27">
        <f>IF(K34=0,"",(M34-K34)/ABS(K34)+1)</f>
        <v>0.98188984544261615</v>
      </c>
      <c r="P34" s="26">
        <f>P28+P32</f>
        <v>5824510.0039499998</v>
      </c>
      <c r="Q34" s="27">
        <f>+P34/$P$20</f>
        <v>0.83485604471052555</v>
      </c>
      <c r="R34" s="28">
        <f>IF(P34=0,"",(M34-P34)/ABS(P34))</f>
        <v>7.5799789484538749E-2</v>
      </c>
      <c r="S34" s="21"/>
    </row>
    <row r="35" spans="2:20" x14ac:dyDescent="0.2">
      <c r="J35" s="28"/>
      <c r="R35" s="28"/>
      <c r="S35" s="21"/>
    </row>
    <row r="36" spans="2:20" x14ac:dyDescent="0.2">
      <c r="B36" s="33" t="s">
        <v>40</v>
      </c>
      <c r="C36" s="34">
        <f>C24-C34</f>
        <v>99368</v>
      </c>
      <c r="D36" s="35">
        <f>+C36/$C$20</f>
        <v>0.10943744913209301</v>
      </c>
      <c r="E36" s="34">
        <f>E24-E34</f>
        <v>62156.652080000029</v>
      </c>
      <c r="F36" s="35">
        <f>+E36/$E$20</f>
        <v>6.9029570881334948E-2</v>
      </c>
      <c r="G36" s="35">
        <f>IF(C36=0,"",(E36-C36)/ABS(C36)+1)</f>
        <v>0.62551980597375434</v>
      </c>
      <c r="H36" s="34">
        <f>H24-H34</f>
        <v>80307.473529999959</v>
      </c>
      <c r="I36" s="35">
        <f>+H36/$H$20</f>
        <v>0.10198942172722392</v>
      </c>
      <c r="J36" s="36">
        <f>IF(H36=0,"",(E36-H36)/ABS(H36))</f>
        <v>-0.22601659163414525</v>
      </c>
      <c r="K36" s="34">
        <f>K24-K34</f>
        <v>935964</v>
      </c>
      <c r="L36" s="35">
        <f>+K36/$K$20</f>
        <v>0.11708644689762773</v>
      </c>
      <c r="M36" s="34">
        <f>+M24-M34</f>
        <v>911010.38138000015</v>
      </c>
      <c r="N36" s="35">
        <f>+M36/$M$20</f>
        <v>0.11559419349965074</v>
      </c>
      <c r="O36" s="35">
        <f>IF(K36=0,"",(M36-K36)/ABS(K36)+1)</f>
        <v>0.97333912562876368</v>
      </c>
      <c r="P36" s="34">
        <f>P24-P34</f>
        <v>756157.10300000105</v>
      </c>
      <c r="Q36" s="35">
        <f>+P36/$P$20</f>
        <v>0.10838376580385894</v>
      </c>
      <c r="R36" s="36">
        <f>IF(P36=0,"",(M36-P36)/ABS(P36))</f>
        <v>0.204789821805058</v>
      </c>
      <c r="S36" s="21"/>
    </row>
    <row r="37" spans="2:20" x14ac:dyDescent="0.2">
      <c r="J37" s="28"/>
      <c r="R37" s="28"/>
      <c r="S37" s="21"/>
    </row>
    <row r="38" spans="2:20" x14ac:dyDescent="0.2">
      <c r="B38" s="16" t="s">
        <v>41</v>
      </c>
      <c r="C38" s="26">
        <f>+'COLOMB$ '!C38+'PROY SAT$'!C38</f>
        <v>640</v>
      </c>
      <c r="D38" s="27">
        <f>+C38/$C$20</f>
        <v>7.048543539624379E-4</v>
      </c>
      <c r="E38" s="26">
        <f>+'COLOMB$ '!E38+'PROY SAT$'!E38</f>
        <v>1668.4899399999999</v>
      </c>
      <c r="F38" s="27">
        <f>+E38/$E$20</f>
        <v>1.8529817923556384E-3</v>
      </c>
      <c r="G38" s="27">
        <f>IF(C38=0,"",(E38-C38)/ABS(C38)+1)</f>
        <v>2.6070155312500001</v>
      </c>
      <c r="H38" s="26">
        <f>+'COLOMB$ '!H38+'PROY SAT$'!H38</f>
        <v>2383.5034500000002</v>
      </c>
      <c r="I38" s="27">
        <f>+H38/$H$20</f>
        <v>3.027017634411482E-3</v>
      </c>
      <c r="J38" s="28">
        <f>IF(H38=0,"",(E38-H38)/ABS(H38))</f>
        <v>-0.29998425636849829</v>
      </c>
      <c r="K38" s="26">
        <f>+'COLOMB$ '!K38+'PROY SAT$'!K38</f>
        <v>5760</v>
      </c>
      <c r="L38" s="27">
        <f>+K38/$K$20</f>
        <v>7.2055969474289154E-4</v>
      </c>
      <c r="M38" s="26">
        <f>+'COLOMB$ '!M38+'PROY SAT$'!M38</f>
        <v>17037.038460000003</v>
      </c>
      <c r="N38" s="27">
        <f>+M38/$M$20</f>
        <v>2.1617566173318548E-3</v>
      </c>
      <c r="O38" s="27">
        <f>IF(K38=0,"",(M38-K38)/ABS(K38)+1)</f>
        <v>2.957819177083334</v>
      </c>
      <c r="P38" s="26">
        <f>+'COLOMB$ '!P38+'PROY SAT$'!P38</f>
        <v>203037.72122000001</v>
      </c>
      <c r="Q38" s="27">
        <f>+P38/$P$20</f>
        <v>2.9102408399987817E-2</v>
      </c>
      <c r="R38" s="28">
        <f>IF(P38=0,"",(M38-P38)/ABS(P38))</f>
        <v>-0.91608929435560571</v>
      </c>
      <c r="S38" s="21"/>
    </row>
    <row r="39" spans="2:20" x14ac:dyDescent="0.2">
      <c r="B39" s="16" t="s">
        <v>42</v>
      </c>
      <c r="C39" s="26">
        <f>+'COLOMB$ '!C39+'PROY SAT$'!C39</f>
        <v>14346</v>
      </c>
      <c r="D39" s="27">
        <f>+C39/$C$20</f>
        <v>1.5799750878039271E-2</v>
      </c>
      <c r="E39" s="26">
        <f>+'COLOMB$ '!E39+'PROY SAT$'!E39</f>
        <v>20974.17426</v>
      </c>
      <c r="F39" s="27">
        <f>+E39/$E$20</f>
        <v>2.3293375693637264E-2</v>
      </c>
      <c r="G39" s="27">
        <f>IF(C39=0,"",(E39-C39)/ABS(C39)+1)</f>
        <v>1.4620224634044332</v>
      </c>
      <c r="H39" s="26">
        <f>+'COLOMB$ '!H39+'PROY SAT$'!H39</f>
        <v>23886.837210000002</v>
      </c>
      <c r="I39" s="27">
        <f>+H39/$H$20</f>
        <v>3.0335965095828313E-2</v>
      </c>
      <c r="J39" s="28">
        <f>IF(H39=0,"",(E39-H39)/ABS(H39))</f>
        <v>-0.12193589818499045</v>
      </c>
      <c r="K39" s="26">
        <f>+'COLOMB$ '!K39+'PROY SAT$'!K39</f>
        <v>135542</v>
      </c>
      <c r="L39" s="27">
        <f>+K39/$K$20</f>
        <v>1.6955920511257119E-2</v>
      </c>
      <c r="M39" s="26">
        <f>+'COLOMB$ '!M39+'PROY SAT$'!M39</f>
        <v>169509.42812999999</v>
      </c>
      <c r="N39" s="27">
        <f>+M39/$M$20</f>
        <v>2.1508323105597183E-2</v>
      </c>
      <c r="O39" s="27">
        <f>IF(K39=0,"",(M39-K39)/ABS(K39)+1)</f>
        <v>1.2506044482890912</v>
      </c>
      <c r="P39" s="26">
        <f>+'COLOMB$ '!P39+'PROY SAT$'!P39</f>
        <v>242806.04284000001</v>
      </c>
      <c r="Q39" s="27">
        <f>+P39/$P$20</f>
        <v>3.4802600119108143E-2</v>
      </c>
      <c r="R39" s="28">
        <f>IF(P39=0,"",(M39-P39)/ABS(P39))</f>
        <v>-0.30187310765696107</v>
      </c>
      <c r="S39" s="21"/>
    </row>
    <row r="40" spans="2:20" x14ac:dyDescent="0.2">
      <c r="J40" s="28"/>
      <c r="R40" s="28"/>
    </row>
    <row r="41" spans="2:20" x14ac:dyDescent="0.2">
      <c r="B41" s="16" t="s">
        <v>43</v>
      </c>
      <c r="C41" s="26">
        <f>C36+C38-C39</f>
        <v>85662</v>
      </c>
      <c r="D41" s="27">
        <f>+C41/$C$20</f>
        <v>9.4342552608016175E-2</v>
      </c>
      <c r="E41" s="26">
        <f>E36+E38-E39</f>
        <v>42850.967760000029</v>
      </c>
      <c r="F41" s="27">
        <f>+E41/$E$20</f>
        <v>4.7589176980053313E-2</v>
      </c>
      <c r="G41" s="27">
        <f>IF(C41=0,"",(E41-C41)/ABS(C41)+1)</f>
        <v>0.50023309939062854</v>
      </c>
      <c r="H41" s="26">
        <f>H36+H38-H39</f>
        <v>58804.139769999965</v>
      </c>
      <c r="I41" s="27">
        <f>+H41/$H$20</f>
        <v>7.4680474265807095E-2</v>
      </c>
      <c r="J41" s="28">
        <f>IF(H41=0,"",(E41-H41)/ABS(H41))</f>
        <v>-0.27129334894443513</v>
      </c>
      <c r="K41" s="26">
        <f>K36+K38-K39</f>
        <v>806182</v>
      </c>
      <c r="L41" s="27">
        <f>+K41/$K$20</f>
        <v>0.10085108608111351</v>
      </c>
      <c r="M41" s="26">
        <f>M36+M38-M39</f>
        <v>758537.99171000009</v>
      </c>
      <c r="N41" s="27">
        <f>+M41/$M$20</f>
        <v>9.6247627011385409E-2</v>
      </c>
      <c r="O41" s="27">
        <f>IF(K41=0,"",(M41-K41)/ABS(K41)+1)</f>
        <v>0.94090167196737229</v>
      </c>
      <c r="P41" s="26">
        <f>P36+P38-P39</f>
        <v>716388.78138000099</v>
      </c>
      <c r="Q41" s="27">
        <f>+P41/$P$20</f>
        <v>0.10268357408473862</v>
      </c>
      <c r="R41" s="28">
        <f>IF(P41=0,"",(M41-P41)/ABS(P41))</f>
        <v>5.8835664970640418E-2</v>
      </c>
    </row>
    <row r="42" spans="2:20" x14ac:dyDescent="0.2">
      <c r="B42" s="16" t="s">
        <v>29</v>
      </c>
      <c r="C42" s="26">
        <f>+'COLOMB$ '!C42+'PROY SAT$'!C42</f>
        <v>30840</v>
      </c>
      <c r="D42" s="27">
        <f>+C42/$C$20</f>
        <v>3.3965169181564975E-2</v>
      </c>
      <c r="E42" s="26">
        <f>+'COLOMB$ '!E42+'PROY SAT$'!E42</f>
        <v>16051</v>
      </c>
      <c r="F42" s="27">
        <f>+E42/$E$20</f>
        <v>1.7825825637942029E-2</v>
      </c>
      <c r="G42" s="27">
        <f>IF(C42=0,"",(E42-C42)/ABS(C42)+1)</f>
        <v>0.52046044098573274</v>
      </c>
      <c r="H42" s="26">
        <f>+'COLOMB$ '!H42+'PROY SAT$'!H42</f>
        <v>21899.655999999999</v>
      </c>
      <c r="I42" s="27">
        <f>+H42/$H$20</f>
        <v>2.7812271427400372E-2</v>
      </c>
      <c r="J42" s="28">
        <f>IF(H42=0,"",(E42-H42)/ABS(H42))</f>
        <v>-0.26706611281930637</v>
      </c>
      <c r="K42" s="26">
        <f>+'COLOMB$ '!K42+'PROY SAT$'!K42</f>
        <v>290230</v>
      </c>
      <c r="L42" s="27">
        <f>+K42/$K$20</f>
        <v>3.6306951424518993E-2</v>
      </c>
      <c r="M42" s="26">
        <f>+'COLOMB$ '!M42+'PROY SAT$'!M42</f>
        <v>279333.397</v>
      </c>
      <c r="N42" s="27">
        <f>+M42/$M$20</f>
        <v>3.5443414700522778E-2</v>
      </c>
      <c r="O42" s="27">
        <f>IF(K42=0,"",(M42-K42)/ABS(K42)+1)</f>
        <v>0.96245528374048173</v>
      </c>
      <c r="P42" s="26">
        <f>+'COLOMB$ '!P42+'PROY SAT$'!P42</f>
        <v>261503.05</v>
      </c>
      <c r="Q42" s="27">
        <f>+P42/$P$20</f>
        <v>3.7482535329956129E-2</v>
      </c>
      <c r="R42" s="28">
        <f>IF(P42=0,"",(M42-P42)/ABS(P42))</f>
        <v>6.8184088101458123E-2</v>
      </c>
    </row>
    <row r="43" spans="2:20" x14ac:dyDescent="0.2">
      <c r="B43" s="33" t="s">
        <v>44</v>
      </c>
      <c r="C43" s="34">
        <f>C41-C42</f>
        <v>54822</v>
      </c>
      <c r="D43" s="35">
        <f>+C43/$C$20</f>
        <v>6.03773834264512E-2</v>
      </c>
      <c r="E43" s="34">
        <f>E41-E42</f>
        <v>26799.967760000029</v>
      </c>
      <c r="F43" s="35">
        <f>+E43/$E$20</f>
        <v>2.9763351342111288E-2</v>
      </c>
      <c r="G43" s="35">
        <f>IF(C43=0,"",(E43-C43)/ABS(C43)+1)</f>
        <v>0.48885425121301718</v>
      </c>
      <c r="H43" s="34">
        <f>H41-H42</f>
        <v>36904.483769999963</v>
      </c>
      <c r="I43" s="35">
        <f>+H43/$H$20</f>
        <v>4.6868202838406724E-2</v>
      </c>
      <c r="J43" s="36">
        <f>IF(H43=0,"",(E43-H43)/ABS(H43))</f>
        <v>-0.27380185218073688</v>
      </c>
      <c r="K43" s="34">
        <f>+K41-K42</f>
        <v>515952</v>
      </c>
      <c r="L43" s="35">
        <f>+K43/$K$20</f>
        <v>6.4544134656594504E-2</v>
      </c>
      <c r="M43" s="34">
        <f>+M41-M42</f>
        <v>479204.59471000009</v>
      </c>
      <c r="N43" s="35">
        <f>+M43/$M$20</f>
        <v>6.0804212310862624E-2</v>
      </c>
      <c r="O43" s="35">
        <f>IF(K43=0,"",(M43-K43)/ABS(K43)+1)</f>
        <v>0.92877747292383805</v>
      </c>
      <c r="P43" s="34">
        <f>+P41-P42</f>
        <v>454885.731380001</v>
      </c>
      <c r="Q43" s="35">
        <f>+P43/$P$20</f>
        <v>6.5201038754782489E-2</v>
      </c>
      <c r="R43" s="36">
        <f>IF(P43=0,"",(M43-P43)/ABS(P43))</f>
        <v>5.3461477580802982E-2</v>
      </c>
      <c r="T43" s="31"/>
    </row>
    <row r="44" spans="2:20" x14ac:dyDescent="0.2">
      <c r="J44" s="28"/>
      <c r="R44" s="28"/>
    </row>
    <row r="45" spans="2:20" x14ac:dyDescent="0.2">
      <c r="B45" s="16" t="s">
        <v>45</v>
      </c>
      <c r="C45" s="26">
        <f>+'COLOMB$ '!C45+'PROY SAT$'!C45</f>
        <v>140763</v>
      </c>
      <c r="D45" s="27">
        <f>+C45/$C$20</f>
        <v>0.15502720847939788</v>
      </c>
      <c r="E45" s="26">
        <f>+'COLOMB$ '!E45+'PROY SAT$'!E45</f>
        <v>103414.32656999995</v>
      </c>
      <c r="F45" s="27">
        <f>+E45/$E$20</f>
        <v>0.11484927754669581</v>
      </c>
      <c r="G45" s="27">
        <f>IF(C45=0,"",(E45-C45)/ABS(C45)+1)</f>
        <v>0.73466981074572113</v>
      </c>
      <c r="H45" s="26">
        <f>+'COLOMB$ '!H45+'PROY SAT$'!H45</f>
        <v>70384.975479999965</v>
      </c>
      <c r="I45" s="27">
        <f>+H45/$H$20</f>
        <v>8.9387981366496297E-2</v>
      </c>
      <c r="J45" s="28">
        <f>IF(H45=0,"",(E45-H45)/ABS(H45))</f>
        <v>0.46926706821664432</v>
      </c>
      <c r="K45" s="26">
        <f>+'COLOMB$ '!K45+'PROY SAT$'!K45</f>
        <v>1307400</v>
      </c>
      <c r="L45" s="27">
        <f>+K45/$K$20</f>
        <v>0.16355203904632923</v>
      </c>
      <c r="M45" s="26">
        <f>+'COLOMB$ '!M45+'PROY SAT$'!M45</f>
        <v>1294402.5988900005</v>
      </c>
      <c r="N45" s="27">
        <f>+M45/$M$20</f>
        <v>0.16424118488736503</v>
      </c>
      <c r="O45" s="27">
        <f>IF(K45=0,"",(M45-K45)/ABS(K45)+1)</f>
        <v>0.99005858871806673</v>
      </c>
      <c r="P45" s="26">
        <f>+'COLOMB$ '!P45+'PROY SAT$'!P45</f>
        <v>1080380.0444499999</v>
      </c>
      <c r="Q45" s="27">
        <f>+P45/$P$20</f>
        <v>0.15485625573344822</v>
      </c>
      <c r="R45" s="28">
        <f>IF(P45=0,"",(M45-P45)/ABS(P45))</f>
        <v>0.19809932212229558</v>
      </c>
    </row>
    <row r="46" spans="2:20" x14ac:dyDescent="0.2">
      <c r="B46" s="16" t="s">
        <v>20</v>
      </c>
      <c r="C46" s="26">
        <f>+'COLOMB$ '!C46+'PROY SAT$'!C46</f>
        <v>387373</v>
      </c>
      <c r="D46" s="27">
        <f>+C46/$C$20</f>
        <v>0.42662741508983038</v>
      </c>
      <c r="E46" s="26">
        <f>+'COLOMB$ '!E46+'PROY SAT$'!E46</f>
        <v>370257.897</v>
      </c>
      <c r="F46" s="27">
        <f>+E46/$E$20</f>
        <v>0.41119884823332492</v>
      </c>
      <c r="G46" s="27">
        <f>IF(C46=0,"",(E46-C46)/ABS(C46)+1)</f>
        <v>0.95581751180386865</v>
      </c>
      <c r="H46" s="26">
        <f>+'COLOMB$ '!H46+'PROY SAT$'!H46</f>
        <v>313794.61599999998</v>
      </c>
      <c r="I46" s="27">
        <f>+H46/$H$20</f>
        <v>0.39851498273072744</v>
      </c>
      <c r="J46" s="28">
        <f>IF(H46=0,"",(E46-H46)/ABS(H46))</f>
        <v>0.17993706112535729</v>
      </c>
      <c r="K46" s="26">
        <f>+'COLOMB$ '!K46+'PROY SAT$'!K46</f>
        <v>3278780</v>
      </c>
      <c r="L46" s="27">
        <f>+K46/$K$20</f>
        <v>0.41016609651546837</v>
      </c>
      <c r="M46" s="26">
        <f>+'COLOMB$ '!M46+'PROY SAT$'!M46</f>
        <v>3143761.091</v>
      </c>
      <c r="N46" s="27">
        <f>+M46/$M$20</f>
        <v>0.39889833891821008</v>
      </c>
      <c r="O46" s="27">
        <f>IF(K46=0,"",(M46-K46)/ABS(K46)+1)</f>
        <v>0.95882038166635153</v>
      </c>
      <c r="P46" s="26">
        <f>+'COLOMB$ '!P46+'PROY SAT$'!P46</f>
        <v>2862971.6910000001</v>
      </c>
      <c r="Q46" s="27">
        <f>+P46/$P$20</f>
        <v>0.41036399979492305</v>
      </c>
      <c r="R46" s="28">
        <f>IF(P46=0,"",(M46-P46)/ABS(P46))</f>
        <v>9.8076205532414362E-2</v>
      </c>
    </row>
    <row r="47" spans="2:20" x14ac:dyDescent="0.2">
      <c r="C47" s="26" t="s">
        <v>46</v>
      </c>
      <c r="D47" s="26"/>
      <c r="E47" s="26" t="s">
        <v>47</v>
      </c>
      <c r="F47" s="26"/>
      <c r="G47" s="26"/>
      <c r="H47" s="26" t="s">
        <v>47</v>
      </c>
      <c r="I47" s="26"/>
      <c r="J47" s="26"/>
      <c r="K47" s="26" t="s">
        <v>46</v>
      </c>
      <c r="L47" s="26"/>
      <c r="M47" s="26" t="s">
        <v>46</v>
      </c>
      <c r="N47" s="26"/>
      <c r="O47" s="26"/>
      <c r="P47" s="26" t="s">
        <v>47</v>
      </c>
      <c r="Q47" s="26"/>
      <c r="R47" s="26"/>
    </row>
  </sheetData>
  <conditionalFormatting sqref="R10:R46">
    <cfRule type="cellIs" dxfId="68" priority="3" operator="lessThan">
      <formula>0</formula>
    </cfRule>
  </conditionalFormatting>
  <conditionalFormatting sqref="J10:J46">
    <cfRule type="cellIs" dxfId="67" priority="2" operator="lessThan">
      <formula>0</formula>
    </cfRule>
  </conditionalFormatting>
  <conditionalFormatting sqref="AC19:AC28 AC30 AC10:AC11 AC13:AC17">
    <cfRule type="cellIs" dxfId="66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075BC-B15E-44D9-9595-BE7D463DF48A}">
  <sheetPr>
    <tabColor theme="2" tint="-0.499984740745262"/>
  </sheetPr>
  <dimension ref="A1:AI56"/>
  <sheetViews>
    <sheetView showGridLines="0" zoomScale="95" zoomScaleNormal="95" workbookViewId="0">
      <selection activeCell="J5" sqref="J5"/>
    </sheetView>
  </sheetViews>
  <sheetFormatPr baseColWidth="10" defaultRowHeight="12.75" x14ac:dyDescent="0.2"/>
  <cols>
    <col min="1" max="1" width="3.140625" style="44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9.4257812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45" customWidth="1"/>
    <col min="20" max="20" width="20.42578125" style="2" customWidth="1"/>
    <col min="21" max="21" width="9.85546875" style="2" bestFit="1" customWidth="1"/>
    <col min="22" max="23" width="9.7109375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42" customFormat="1" x14ac:dyDescent="0.2">
      <c r="A1" s="40"/>
      <c r="B1" s="41"/>
      <c r="S1" s="43"/>
    </row>
    <row r="2" spans="1:35" x14ac:dyDescent="0.2">
      <c r="X2" s="46"/>
      <c r="Y2" s="46"/>
      <c r="Z2" s="46"/>
      <c r="AA2" s="46"/>
      <c r="AB2" s="46"/>
    </row>
    <row r="3" spans="1:35" ht="18" x14ac:dyDescent="0.25">
      <c r="B3" s="13" t="s">
        <v>48</v>
      </c>
      <c r="T3" s="15" t="str">
        <f>+B3</f>
        <v>MUSICAR COLOMBIA</v>
      </c>
      <c r="Y3" s="47">
        <f>40027-V10</f>
        <v>-52213.898059999876</v>
      </c>
    </row>
    <row r="4" spans="1:35" x14ac:dyDescent="0.2">
      <c r="B4" s="2" t="s">
        <v>5</v>
      </c>
      <c r="T4" s="3" t="s">
        <v>6</v>
      </c>
      <c r="U4" s="46"/>
      <c r="V4" s="46"/>
      <c r="W4" s="46"/>
      <c r="X4" s="46"/>
      <c r="Y4" s="46"/>
      <c r="Z4" s="46"/>
      <c r="AA4" s="46"/>
      <c r="AB4" s="46"/>
      <c r="AC4" s="46"/>
    </row>
    <row r="5" spans="1:35" x14ac:dyDescent="0.2">
      <c r="B5" s="3" t="s">
        <v>7</v>
      </c>
      <c r="T5" s="3" t="s">
        <v>7</v>
      </c>
      <c r="U5" s="46"/>
      <c r="V5" s="46"/>
      <c r="W5" s="46"/>
      <c r="X5" s="46"/>
      <c r="Y5" s="46"/>
      <c r="Z5" s="46"/>
      <c r="AA5" s="46"/>
      <c r="AB5" s="46"/>
      <c r="AC5" s="46"/>
    </row>
    <row r="6" spans="1:35" ht="13.5" thickBot="1" x14ac:dyDescent="0.25">
      <c r="B6" s="3" t="s">
        <v>49</v>
      </c>
      <c r="C6" s="48"/>
      <c r="D6" s="48"/>
      <c r="E6" s="48"/>
      <c r="F6" s="48"/>
      <c r="G6" s="48"/>
      <c r="H6" s="48"/>
      <c r="I6" s="48"/>
      <c r="J6" s="49"/>
      <c r="K6" s="18" t="s">
        <v>8</v>
      </c>
      <c r="L6" s="18"/>
      <c r="M6" s="18"/>
      <c r="N6" s="18"/>
      <c r="O6" s="18"/>
      <c r="P6" s="18"/>
      <c r="Q6" s="18"/>
      <c r="R6" s="18"/>
      <c r="S6" s="50"/>
      <c r="T6" s="3" t="str">
        <f>+B6</f>
        <v>SEPTIEMBRE de 2022</v>
      </c>
      <c r="U6" s="51"/>
      <c r="V6" s="51"/>
      <c r="W6" s="51"/>
      <c r="X6" s="18" t="s">
        <v>8</v>
      </c>
      <c r="Y6" s="18"/>
      <c r="Z6" s="18"/>
      <c r="AA6" s="18"/>
      <c r="AB6" s="18"/>
      <c r="AC6" s="18"/>
    </row>
    <row r="7" spans="1:35" s="53" customFormat="1" ht="15.75" customHeight="1" x14ac:dyDescent="0.2">
      <c r="A7" s="52"/>
      <c r="D7" s="53" t="s">
        <v>50</v>
      </c>
      <c r="F7" s="53" t="s">
        <v>51</v>
      </c>
      <c r="G7" s="54" t="s">
        <v>9</v>
      </c>
      <c r="I7" s="53" t="s">
        <v>52</v>
      </c>
      <c r="J7" s="54" t="s">
        <v>10</v>
      </c>
      <c r="K7" s="54"/>
      <c r="L7" s="53" t="str">
        <f>+D7</f>
        <v>Ppto 2022</v>
      </c>
      <c r="M7" s="54"/>
      <c r="N7" s="53" t="str">
        <f>+F7</f>
        <v>Real 2022</v>
      </c>
      <c r="O7" s="54" t="s">
        <v>9</v>
      </c>
      <c r="P7" s="54" t="str">
        <f>+I7</f>
        <v>Real 2021</v>
      </c>
      <c r="Q7" s="54"/>
      <c r="R7" s="54" t="s">
        <v>10</v>
      </c>
      <c r="S7" s="55"/>
      <c r="U7" s="53" t="str">
        <f>+D7</f>
        <v>Ppto 2022</v>
      </c>
      <c r="V7" s="53" t="str">
        <f>+N7</f>
        <v>Real 2022</v>
      </c>
      <c r="W7" s="53" t="str">
        <f>+I7</f>
        <v>Real 2021</v>
      </c>
      <c r="X7" s="53" t="str">
        <f>+U7</f>
        <v>Ppto 2022</v>
      </c>
      <c r="Y7" s="53" t="str">
        <f>+V7</f>
        <v>Real 2022</v>
      </c>
      <c r="Z7" s="53" t="s">
        <v>11</v>
      </c>
      <c r="AA7" s="53" t="s">
        <v>9</v>
      </c>
      <c r="AB7" s="53" t="str">
        <f>+W7</f>
        <v>Real 2021</v>
      </c>
      <c r="AC7" s="53" t="s">
        <v>10</v>
      </c>
    </row>
    <row r="8" spans="1:35" ht="13.5" thickBot="1" x14ac:dyDescent="0.25">
      <c r="A8" s="56" t="s">
        <v>53</v>
      </c>
      <c r="B8" s="57" t="s">
        <v>12</v>
      </c>
      <c r="C8" s="58" t="s">
        <v>13</v>
      </c>
      <c r="D8" s="58" t="s">
        <v>14</v>
      </c>
      <c r="E8" s="58" t="s">
        <v>13</v>
      </c>
      <c r="F8" s="58" t="s">
        <v>14</v>
      </c>
      <c r="G8" s="58" t="s">
        <v>15</v>
      </c>
      <c r="H8" s="58" t="s">
        <v>13</v>
      </c>
      <c r="I8" s="58" t="s">
        <v>14</v>
      </c>
      <c r="J8" s="58" t="s">
        <v>15</v>
      </c>
      <c r="K8" s="58" t="s">
        <v>13</v>
      </c>
      <c r="L8" s="58" t="s">
        <v>14</v>
      </c>
      <c r="M8" s="58" t="s">
        <v>13</v>
      </c>
      <c r="N8" s="58" t="s">
        <v>14</v>
      </c>
      <c r="O8" s="58" t="s">
        <v>15</v>
      </c>
      <c r="P8" s="58" t="s">
        <v>13</v>
      </c>
      <c r="Q8" s="58" t="s">
        <v>14</v>
      </c>
      <c r="R8" s="58" t="s">
        <v>15</v>
      </c>
      <c r="S8" s="50"/>
      <c r="T8" s="24"/>
      <c r="U8" s="25"/>
      <c r="V8" s="25"/>
      <c r="W8" s="25"/>
      <c r="X8" s="25"/>
      <c r="Y8" s="25"/>
      <c r="Z8" s="25"/>
      <c r="AA8" s="25" t="s">
        <v>15</v>
      </c>
      <c r="AB8" s="25"/>
      <c r="AC8" s="25" t="s">
        <v>15</v>
      </c>
      <c r="AD8" s="46"/>
      <c r="AE8" s="46"/>
      <c r="AF8" s="46"/>
    </row>
    <row r="9" spans="1:35" x14ac:dyDescent="0.2">
      <c r="A9" s="56"/>
      <c r="B9" s="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50"/>
      <c r="T9" s="3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</row>
    <row r="10" spans="1:35" x14ac:dyDescent="0.2">
      <c r="A10" s="44" t="s">
        <v>54</v>
      </c>
      <c r="B10" s="3" t="s">
        <v>55</v>
      </c>
      <c r="C10" s="59">
        <v>360668</v>
      </c>
      <c r="D10" s="28">
        <f t="shared" ref="D10:D15" si="0">+C10/$C$20</f>
        <v>0.3978542424820718</v>
      </c>
      <c r="E10" s="59">
        <v>323654.77299999999</v>
      </c>
      <c r="F10" s="28">
        <f t="shared" ref="F10:F20" si="1">+E10/$E$20</f>
        <v>0.35944262353658379</v>
      </c>
      <c r="G10" s="28">
        <f t="shared" ref="G10:G20" si="2">IF(C10=0,"",(E10-C10)/ABS(C10)+1)</f>
        <v>0.89737590526467548</v>
      </c>
      <c r="H10" s="59">
        <v>341770.49599999998</v>
      </c>
      <c r="I10" s="28">
        <f t="shared" ref="I10:I18" si="3">+H10/$H$20</f>
        <v>0.43404397770582576</v>
      </c>
      <c r="J10" s="28">
        <f t="shared" ref="J10:J20" si="4">IF(H10=0,"",(E10-H10)/ABS(H10))</f>
        <v>-5.3005520406302124E-2</v>
      </c>
      <c r="K10" s="59">
        <v>3279841</v>
      </c>
      <c r="L10" s="28">
        <f t="shared" ref="L10:L46" si="5">+K10/$K$20</f>
        <v>0.41099106026047572</v>
      </c>
      <c r="M10" s="59">
        <v>3215643.3459999999</v>
      </c>
      <c r="N10" s="28">
        <f t="shared" ref="N10:N20" si="6">+M10/$M$20</f>
        <v>0.40805737537791997</v>
      </c>
      <c r="O10" s="28">
        <f t="shared" ref="O10:O18" si="7">IF(K10=0,"",(M10-K10)/ABS(K10)+1)</f>
        <v>0.98042659567948565</v>
      </c>
      <c r="P10" s="59">
        <v>3059301.054</v>
      </c>
      <c r="Q10" s="28">
        <f t="shared" ref="Q10:Q46" si="8">+P10/$P$20</f>
        <v>0.4394509838248869</v>
      </c>
      <c r="R10" s="28">
        <f t="shared" ref="R10:R18" si="9">IF(P10=0,"",(M10-P10)/ABS(P10))</f>
        <v>5.1103925125506752E-2</v>
      </c>
      <c r="S10" s="60"/>
      <c r="T10" s="3" t="s">
        <v>16</v>
      </c>
      <c r="U10" s="59">
        <v>139398</v>
      </c>
      <c r="V10" s="59">
        <v>92240.898059999876</v>
      </c>
      <c r="W10" s="59">
        <v>991870</v>
      </c>
      <c r="X10" s="59">
        <v>484392</v>
      </c>
      <c r="Y10" s="59">
        <v>484392</v>
      </c>
      <c r="Z10" s="55">
        <f>+Y10-X10</f>
        <v>0</v>
      </c>
      <c r="AA10" s="61">
        <f>IF(X10=0,"",(Y10-X10)/ABS(X10)+1)</f>
        <v>1</v>
      </c>
      <c r="AB10" s="59">
        <v>590384</v>
      </c>
      <c r="AC10" s="28">
        <f>IF(W10=0,"",(Y10-AB10)/ABS(AB10))</f>
        <v>-0.17953061058565273</v>
      </c>
      <c r="AD10" s="45"/>
      <c r="AE10" s="45"/>
      <c r="AF10" s="45"/>
      <c r="AH10" s="45"/>
    </row>
    <row r="11" spans="1:35" x14ac:dyDescent="0.2">
      <c r="A11" s="62" t="s">
        <v>56</v>
      </c>
      <c r="B11" s="3" t="s">
        <v>57</v>
      </c>
      <c r="C11" s="59">
        <v>59923</v>
      </c>
      <c r="D11" s="28">
        <f t="shared" si="0"/>
        <v>6.6101289197414773E-2</v>
      </c>
      <c r="E11" s="59">
        <v>35452.968000000001</v>
      </c>
      <c r="F11" s="28">
        <f t="shared" si="1"/>
        <v>3.9373149705036338E-2</v>
      </c>
      <c r="G11" s="28">
        <f t="shared" si="2"/>
        <v>0.59164207399496016</v>
      </c>
      <c r="H11" s="59">
        <v>47602.936999999998</v>
      </c>
      <c r="I11" s="28">
        <f t="shared" si="3"/>
        <v>6.0455095942394711E-2</v>
      </c>
      <c r="J11" s="28">
        <f t="shared" si="4"/>
        <v>-0.25523570110810595</v>
      </c>
      <c r="K11" s="59">
        <v>403122</v>
      </c>
      <c r="L11" s="28">
        <f t="shared" si="5"/>
        <v>5.0514503048874469E-2</v>
      </c>
      <c r="M11" s="59">
        <v>336706.723</v>
      </c>
      <c r="N11" s="28">
        <f t="shared" si="6"/>
        <v>4.2727270059470183E-2</v>
      </c>
      <c r="O11" s="28">
        <f t="shared" si="7"/>
        <v>0.83524769920768405</v>
      </c>
      <c r="P11" s="59">
        <v>280960.234</v>
      </c>
      <c r="Q11" s="28">
        <f t="shared" si="8"/>
        <v>4.0358320108946834E-2</v>
      </c>
      <c r="R11" s="28">
        <f t="shared" si="9"/>
        <v>0.19841416063171419</v>
      </c>
      <c r="S11" s="60"/>
      <c r="T11" s="3" t="s">
        <v>17</v>
      </c>
      <c r="U11" s="59">
        <v>1070284</v>
      </c>
      <c r="V11" s="59">
        <v>1162202.9686700001</v>
      </c>
      <c r="W11" s="59">
        <v>1011562.11485</v>
      </c>
      <c r="X11" s="59">
        <v>9156937</v>
      </c>
      <c r="Y11" s="59">
        <v>9184674.1464099996</v>
      </c>
      <c r="Z11" s="55">
        <f>+Y11-X11</f>
        <v>27737.146409999579</v>
      </c>
      <c r="AA11" s="61">
        <f>IF(X11=0,"",(Y11-X11)/ABS(X11)+1)</f>
        <v>1.0030290856440314</v>
      </c>
      <c r="AB11" s="59">
        <v>8585671.7263399996</v>
      </c>
      <c r="AC11" s="28">
        <f>IF(AB11=0,"",(Y11-AB11)/ABS(AB11))</f>
        <v>6.9767682618509547E-2</v>
      </c>
      <c r="AD11" s="45"/>
      <c r="AE11" s="45"/>
      <c r="AF11" s="45"/>
      <c r="AG11" s="45"/>
      <c r="AH11" s="45"/>
      <c r="AI11" s="47"/>
    </row>
    <row r="12" spans="1:35" x14ac:dyDescent="0.2">
      <c r="A12" s="62" t="s">
        <v>58</v>
      </c>
      <c r="B12" s="3" t="s">
        <v>59</v>
      </c>
      <c r="C12" s="59">
        <v>76921</v>
      </c>
      <c r="D12" s="28">
        <f t="shared" si="0"/>
        <v>8.4851847643715117E-2</v>
      </c>
      <c r="E12" s="59">
        <v>85112.79</v>
      </c>
      <c r="F12" s="28">
        <f t="shared" si="1"/>
        <v>9.4524064176610537E-2</v>
      </c>
      <c r="G12" s="28">
        <f t="shared" si="2"/>
        <v>1.1064961453959257</v>
      </c>
      <c r="H12" s="59">
        <v>81500.448000000004</v>
      </c>
      <c r="I12" s="28">
        <f t="shared" si="3"/>
        <v>0.10350448341429336</v>
      </c>
      <c r="J12" s="28">
        <f t="shared" si="4"/>
        <v>4.4322971083545326E-2</v>
      </c>
      <c r="K12" s="59">
        <v>734064</v>
      </c>
      <c r="L12" s="28">
        <f t="shared" si="5"/>
        <v>9.1984258279302511E-2</v>
      </c>
      <c r="M12" s="59">
        <v>795902.58679999993</v>
      </c>
      <c r="N12" s="28">
        <f t="shared" si="6"/>
        <v>0.10099811629610529</v>
      </c>
      <c r="O12" s="28">
        <f t="shared" si="7"/>
        <v>1.0842414105582074</v>
      </c>
      <c r="P12" s="59">
        <v>855712.25520000001</v>
      </c>
      <c r="Q12" s="28">
        <f t="shared" si="8"/>
        <v>0.12291813907198841</v>
      </c>
      <c r="R12" s="28">
        <f t="shared" si="9"/>
        <v>-6.9894603047400736E-2</v>
      </c>
      <c r="S12" s="60"/>
      <c r="AD12" s="45"/>
      <c r="AE12" s="45"/>
      <c r="AF12" s="45"/>
      <c r="AG12" s="45"/>
      <c r="AH12" s="45"/>
      <c r="AI12" s="47"/>
    </row>
    <row r="13" spans="1:35" x14ac:dyDescent="0.2">
      <c r="A13" s="62" t="s">
        <v>60</v>
      </c>
      <c r="B13" s="3" t="s">
        <v>61</v>
      </c>
      <c r="C13" s="59">
        <v>113680</v>
      </c>
      <c r="D13" s="28">
        <f t="shared" si="0"/>
        <v>0.12540084034447727</v>
      </c>
      <c r="E13" s="59">
        <v>158715.66899999999</v>
      </c>
      <c r="F13" s="28">
        <f t="shared" si="1"/>
        <v>0.17626551875916271</v>
      </c>
      <c r="G13" s="28">
        <f t="shared" si="2"/>
        <v>1.3961617610837438</v>
      </c>
      <c r="H13" s="59">
        <v>69775.243000000002</v>
      </c>
      <c r="I13" s="28">
        <f t="shared" si="3"/>
        <v>8.8613629238231781E-2</v>
      </c>
      <c r="J13" s="28">
        <f t="shared" si="4"/>
        <v>1.2746702437138053</v>
      </c>
      <c r="K13" s="59">
        <v>828912</v>
      </c>
      <c r="L13" s="28">
        <f t="shared" si="5"/>
        <v>0.10386949298537076</v>
      </c>
      <c r="M13" s="59">
        <v>789472.35699999996</v>
      </c>
      <c r="N13" s="28">
        <f t="shared" si="6"/>
        <v>0.10018213566239204</v>
      </c>
      <c r="O13" s="28">
        <f t="shared" si="7"/>
        <v>0.95241998788773707</v>
      </c>
      <c r="P13" s="59">
        <v>485865.69400000002</v>
      </c>
      <c r="Q13" s="28">
        <f t="shared" si="8"/>
        <v>6.9791809784752704E-2</v>
      </c>
      <c r="R13" s="28">
        <f t="shared" si="9"/>
        <v>0.62487775273962831</v>
      </c>
      <c r="S13" s="60"/>
      <c r="T13" s="3" t="s">
        <v>18</v>
      </c>
      <c r="U13" s="59">
        <v>104312</v>
      </c>
      <c r="V13" s="59">
        <v>124862.963</v>
      </c>
      <c r="W13" s="59">
        <v>284336.25579999998</v>
      </c>
      <c r="X13" s="59">
        <v>1222034</v>
      </c>
      <c r="Y13" s="59">
        <v>1156799.13943</v>
      </c>
      <c r="Z13" s="55">
        <f>+X13-Y13</f>
        <v>65234.860570000019</v>
      </c>
      <c r="AA13" s="61">
        <f>IF(X13=0,"",(Y13-X13)/ABS(X13)+1)</f>
        <v>0.94661780231155601</v>
      </c>
      <c r="AB13" s="59">
        <v>1925539.67763</v>
      </c>
      <c r="AC13" s="28">
        <f>IF(AB13=0,"",(Y13-AB13)/ABS(AB13))</f>
        <v>-0.39923380812707226</v>
      </c>
      <c r="AD13" s="45"/>
      <c r="AE13" s="45"/>
      <c r="AF13" s="45"/>
      <c r="AG13" s="45"/>
      <c r="AH13" s="45"/>
      <c r="AI13" s="47"/>
    </row>
    <row r="14" spans="1:35" x14ac:dyDescent="0.2">
      <c r="A14" s="62">
        <v>4170250500</v>
      </c>
      <c r="B14" s="3" t="s">
        <v>62</v>
      </c>
      <c r="C14" s="59">
        <v>0</v>
      </c>
      <c r="D14" s="28">
        <f t="shared" si="0"/>
        <v>0</v>
      </c>
      <c r="E14" s="59">
        <v>0</v>
      </c>
      <c r="F14" s="28">
        <f t="shared" si="1"/>
        <v>0</v>
      </c>
      <c r="G14" s="28" t="str">
        <f t="shared" si="2"/>
        <v/>
      </c>
      <c r="H14" s="59">
        <v>0</v>
      </c>
      <c r="I14" s="28">
        <f t="shared" si="3"/>
        <v>0</v>
      </c>
      <c r="J14" s="28" t="e">
        <f t="shared" si="4"/>
        <v>#DIV/0!</v>
      </c>
      <c r="K14" s="59">
        <v>0</v>
      </c>
      <c r="L14" s="28">
        <f t="shared" si="5"/>
        <v>0</v>
      </c>
      <c r="M14" s="59">
        <v>0</v>
      </c>
      <c r="N14" s="28">
        <f t="shared" si="6"/>
        <v>0</v>
      </c>
      <c r="O14" s="28" t="str">
        <f t="shared" si="7"/>
        <v/>
      </c>
      <c r="P14" s="59">
        <v>0</v>
      </c>
      <c r="Q14" s="28">
        <f t="shared" si="8"/>
        <v>0</v>
      </c>
      <c r="R14" s="28" t="str">
        <f t="shared" si="9"/>
        <v/>
      </c>
      <c r="S14" s="60"/>
      <c r="T14" s="3" t="s">
        <v>19</v>
      </c>
      <c r="U14" s="59">
        <v>8353</v>
      </c>
      <c r="V14" s="59">
        <v>11276.246999999999</v>
      </c>
      <c r="W14" s="59">
        <v>8339.6790000000001</v>
      </c>
      <c r="X14" s="59">
        <v>75177</v>
      </c>
      <c r="Y14" s="59">
        <v>90231.156959999993</v>
      </c>
      <c r="Z14" s="55">
        <f>+X14-Y14</f>
        <v>-15054.156959999993</v>
      </c>
      <c r="AA14" s="61">
        <f>IF(X14=0,"",(Y14-X14)/ABS(X14)+1)</f>
        <v>1.2002495039706291</v>
      </c>
      <c r="AB14" s="59">
        <v>65145.099000000002</v>
      </c>
      <c r="AC14" s="28">
        <f>IF(AB14=0,"",(Y14-AB14)/ABS(AB14))</f>
        <v>0.38507974268332895</v>
      </c>
      <c r="AD14" s="45"/>
      <c r="AE14" s="45"/>
      <c r="AF14" s="45"/>
      <c r="AG14" s="45"/>
      <c r="AH14" s="45"/>
      <c r="AI14" s="47"/>
    </row>
    <row r="15" spans="1:35" x14ac:dyDescent="0.2">
      <c r="A15" s="62" t="s">
        <v>63</v>
      </c>
      <c r="B15" s="3" t="s">
        <v>64</v>
      </c>
      <c r="C15" s="59">
        <v>119663</v>
      </c>
      <c r="D15" s="28">
        <f t="shared" si="0"/>
        <v>0.13200071039884925</v>
      </c>
      <c r="E15" s="59">
        <v>113720.287</v>
      </c>
      <c r="F15" s="28">
        <f t="shared" si="1"/>
        <v>0.12629481076311291</v>
      </c>
      <c r="G15" s="28">
        <f t="shared" si="2"/>
        <v>0.95033792400324246</v>
      </c>
      <c r="H15" s="59">
        <v>109818.008</v>
      </c>
      <c r="I15" s="28">
        <f t="shared" si="3"/>
        <v>0.13946740743838285</v>
      </c>
      <c r="J15" s="28">
        <f t="shared" si="4"/>
        <v>3.5534053759197624E-2</v>
      </c>
      <c r="K15" s="59">
        <v>1117270</v>
      </c>
      <c r="L15" s="28">
        <f t="shared" si="5"/>
        <v>0.14000312268101461</v>
      </c>
      <c r="M15" s="59">
        <v>1100554.098</v>
      </c>
      <c r="N15" s="28">
        <f t="shared" si="6"/>
        <v>0.13965765738601726</v>
      </c>
      <c r="O15" s="28">
        <f t="shared" si="7"/>
        <v>0.98503861913413948</v>
      </c>
      <c r="P15" s="59">
        <v>1042170.9889999999</v>
      </c>
      <c r="Q15" s="28">
        <f t="shared" si="8"/>
        <v>0.1497018627280888</v>
      </c>
      <c r="R15" s="28">
        <f t="shared" si="9"/>
        <v>5.6020662267734701E-2</v>
      </c>
      <c r="S15" s="60"/>
      <c r="T15" s="3" t="s">
        <v>20</v>
      </c>
      <c r="U15" s="59">
        <v>380245</v>
      </c>
      <c r="V15" s="59">
        <v>356554.50599999999</v>
      </c>
      <c r="W15" s="59">
        <v>323220.29499999998</v>
      </c>
      <c r="X15" s="59">
        <v>3544663</v>
      </c>
      <c r="Y15" s="59">
        <v>3461607.6132800002</v>
      </c>
      <c r="Z15" s="55">
        <f>+X15-Y15</f>
        <v>83055.386719999835</v>
      </c>
      <c r="AA15" s="61">
        <f>IF(X15=0,"",(Y15-X15)/ABS(X15)+1)</f>
        <v>0.97656889054897467</v>
      </c>
      <c r="AB15" s="59">
        <v>2979415.1609999998</v>
      </c>
      <c r="AC15" s="28">
        <f>IF(AB15=0,"",(Y15-AB15)/ABS(AB15))</f>
        <v>0.16184130986235534</v>
      </c>
      <c r="AD15" s="45"/>
      <c r="AE15" s="45"/>
      <c r="AF15" s="45"/>
      <c r="AG15" s="45"/>
      <c r="AH15" s="45"/>
      <c r="AI15" s="47"/>
    </row>
    <row r="16" spans="1:35" x14ac:dyDescent="0.2">
      <c r="A16" s="62">
        <v>4155951000</v>
      </c>
      <c r="B16" s="3" t="s">
        <v>65</v>
      </c>
      <c r="C16" s="59">
        <v>0</v>
      </c>
      <c r="D16" s="28"/>
      <c r="E16" s="59">
        <v>0</v>
      </c>
      <c r="F16" s="28">
        <f t="shared" si="1"/>
        <v>0</v>
      </c>
      <c r="G16" s="28" t="str">
        <f t="shared" si="2"/>
        <v/>
      </c>
      <c r="H16" s="59">
        <v>0</v>
      </c>
      <c r="I16" s="28">
        <f t="shared" si="3"/>
        <v>0</v>
      </c>
      <c r="J16" s="28" t="e">
        <f t="shared" si="4"/>
        <v>#DIV/0!</v>
      </c>
      <c r="K16" s="59">
        <v>0</v>
      </c>
      <c r="L16" s="28">
        <f t="shared" si="5"/>
        <v>0</v>
      </c>
      <c r="M16" s="59">
        <v>0</v>
      </c>
      <c r="N16" s="28">
        <f t="shared" si="6"/>
        <v>0</v>
      </c>
      <c r="O16" s="28" t="str">
        <f t="shared" si="7"/>
        <v/>
      </c>
      <c r="P16" s="59">
        <v>0</v>
      </c>
      <c r="Q16" s="28">
        <f t="shared" si="8"/>
        <v>0</v>
      </c>
      <c r="R16" s="28" t="str">
        <f t="shared" si="9"/>
        <v/>
      </c>
      <c r="S16" s="60"/>
      <c r="T16" s="3" t="s">
        <v>21</v>
      </c>
      <c r="U16" s="59">
        <v>227574</v>
      </c>
      <c r="V16" s="59">
        <v>213991.05386000001</v>
      </c>
      <c r="W16" s="59">
        <v>186450.37100000001</v>
      </c>
      <c r="X16" s="59">
        <v>2248413</v>
      </c>
      <c r="Y16" s="59">
        <v>2205998.9342399999</v>
      </c>
      <c r="Z16" s="55">
        <f>+X16-Y16</f>
        <v>42414.065760000143</v>
      </c>
      <c r="AA16" s="61">
        <f>IF(X16=0,"",(Y16-X16)/ABS(X16)+1)</f>
        <v>0.98113599869774804</v>
      </c>
      <c r="AB16" s="59">
        <v>1486805.9809999999</v>
      </c>
      <c r="AC16" s="28">
        <f>IF(AB16=0,"",(Y16-AB16)/ABS(AB16))</f>
        <v>0.48371674746444271</v>
      </c>
      <c r="AD16" s="45"/>
      <c r="AE16" s="45"/>
      <c r="AF16" s="45"/>
      <c r="AG16" s="45"/>
      <c r="AH16" s="45"/>
      <c r="AI16" s="47"/>
    </row>
    <row r="17" spans="1:35" x14ac:dyDescent="0.2">
      <c r="A17" s="62">
        <v>4155951500</v>
      </c>
      <c r="B17" s="3" t="s">
        <v>66</v>
      </c>
      <c r="C17" s="59">
        <v>18762</v>
      </c>
      <c r="D17" s="28">
        <f>+C17/$C$20</f>
        <v>2.0696433555093968E-2</v>
      </c>
      <c r="E17" s="59">
        <v>17645.528999999999</v>
      </c>
      <c r="F17" s="28">
        <f t="shared" si="1"/>
        <v>1.9596668322425365E-2</v>
      </c>
      <c r="G17" s="28">
        <f t="shared" si="2"/>
        <v>0.94049296450271824</v>
      </c>
      <c r="H17" s="59">
        <v>12785.039000000001</v>
      </c>
      <c r="I17" s="28">
        <f t="shared" si="3"/>
        <v>1.623682923959625E-2</v>
      </c>
      <c r="J17" s="28">
        <f t="shared" si="4"/>
        <v>0.38017013479583422</v>
      </c>
      <c r="K17" s="59">
        <v>246524</v>
      </c>
      <c r="L17" s="28">
        <f t="shared" si="5"/>
        <v>3.0891485331043033E-2</v>
      </c>
      <c r="M17" s="59">
        <v>246385.924</v>
      </c>
      <c r="N17" s="28">
        <f t="shared" si="6"/>
        <v>3.1265778775673859E-2</v>
      </c>
      <c r="O17" s="28">
        <f t="shared" si="7"/>
        <v>0.99943990848761177</v>
      </c>
      <c r="P17" s="59">
        <v>210385.28599999999</v>
      </c>
      <c r="Q17" s="28">
        <f t="shared" si="8"/>
        <v>3.0220635133014342E-2</v>
      </c>
      <c r="R17" s="28">
        <f t="shared" si="9"/>
        <v>0.17111766076644735</v>
      </c>
      <c r="S17" s="60"/>
      <c r="T17" s="3" t="s">
        <v>22</v>
      </c>
      <c r="U17" s="59">
        <f t="shared" ref="U17:AB17" si="10">SUM(U13:U16)</f>
        <v>720484</v>
      </c>
      <c r="V17" s="59">
        <f>SUM(V13:V16)</f>
        <v>706684.76986</v>
      </c>
      <c r="W17" s="59">
        <f t="shared" si="10"/>
        <v>802346.60080000001</v>
      </c>
      <c r="X17" s="59">
        <f t="shared" si="10"/>
        <v>7090287</v>
      </c>
      <c r="Y17" s="59">
        <f>SUM(Y13:Y16)</f>
        <v>6914636.8439099994</v>
      </c>
      <c r="Z17" s="55">
        <f>+Y17-X17</f>
        <v>-175650.15609000064</v>
      </c>
      <c r="AA17" s="61">
        <f>IF(X17=0,"",(Y17-X17)/ABS(X17)+1)</f>
        <v>0.97522665075616821</v>
      </c>
      <c r="AB17" s="59">
        <f t="shared" si="10"/>
        <v>6456905.9186299993</v>
      </c>
      <c r="AC17" s="28">
        <f>IF(AB17=0,"",(Y17-AB17)/ABS(AB17))</f>
        <v>7.0890133919919288E-2</v>
      </c>
      <c r="AD17" s="45"/>
      <c r="AE17" s="45"/>
      <c r="AF17" s="45"/>
      <c r="AG17" s="45"/>
      <c r="AH17" s="45"/>
      <c r="AI17" s="47"/>
    </row>
    <row r="18" spans="1:35" x14ac:dyDescent="0.2">
      <c r="A18" s="62" t="s">
        <v>67</v>
      </c>
      <c r="B18" s="3" t="s">
        <v>68</v>
      </c>
      <c r="C18" s="59">
        <v>113210</v>
      </c>
      <c r="D18" s="32">
        <f t="shared" ref="D18:D46" si="11">+C18/$C$20</f>
        <v>0.12488238155698689</v>
      </c>
      <c r="E18" s="59">
        <v>113278.992</v>
      </c>
      <c r="F18" s="28">
        <f t="shared" si="1"/>
        <v>0.12580471994479034</v>
      </c>
      <c r="G18" s="32">
        <f t="shared" si="2"/>
        <v>1.0006094161293171</v>
      </c>
      <c r="H18" s="59">
        <v>90528.793999999994</v>
      </c>
      <c r="I18" s="28">
        <f t="shared" si="3"/>
        <v>0.11497036258118458</v>
      </c>
      <c r="J18" s="32">
        <f t="shared" si="4"/>
        <v>0.25130344716621328</v>
      </c>
      <c r="K18" s="59">
        <v>981544</v>
      </c>
      <c r="L18" s="28">
        <f t="shared" si="5"/>
        <v>0.1229955382752726</v>
      </c>
      <c r="M18" s="59">
        <v>923153.18299999996</v>
      </c>
      <c r="N18" s="28">
        <f t="shared" si="6"/>
        <v>0.11714590966542864</v>
      </c>
      <c r="O18" s="28">
        <f t="shared" si="7"/>
        <v>0.94051125879227016</v>
      </c>
      <c r="P18" s="59">
        <v>722667.85199999996</v>
      </c>
      <c r="Q18" s="28">
        <f t="shared" si="8"/>
        <v>0.10380707649702844</v>
      </c>
      <c r="R18" s="32">
        <f t="shared" si="9"/>
        <v>0.27742389597814848</v>
      </c>
      <c r="S18" s="60"/>
      <c r="AD18" s="45"/>
      <c r="AE18" s="45"/>
      <c r="AF18" s="45"/>
      <c r="AG18" s="45"/>
      <c r="AH18" s="45"/>
      <c r="AI18" s="47"/>
    </row>
    <row r="19" spans="1:35" x14ac:dyDescent="0.2">
      <c r="A19" s="44" t="s">
        <v>69</v>
      </c>
      <c r="B19" s="3" t="s">
        <v>70</v>
      </c>
      <c r="C19" s="59">
        <v>43706</v>
      </c>
      <c r="D19" s="28">
        <f t="shared" si="11"/>
        <v>4.8212254821390944E-2</v>
      </c>
      <c r="E19" s="59">
        <v>52854.142999999996</v>
      </c>
      <c r="F19" s="28">
        <f t="shared" si="1"/>
        <v>5.8698444792277996E-2</v>
      </c>
      <c r="G19" s="28">
        <f t="shared" si="2"/>
        <v>1.2093109184093715</v>
      </c>
      <c r="H19" s="59">
        <v>33628.868000000002</v>
      </c>
      <c r="I19" s="28"/>
      <c r="J19" s="28">
        <f t="shared" si="4"/>
        <v>0.57168962690031655</v>
      </c>
      <c r="K19" s="59">
        <v>389045</v>
      </c>
      <c r="L19" s="28">
        <f t="shared" si="5"/>
        <v>4.8750539138646284E-2</v>
      </c>
      <c r="M19" s="59">
        <v>472552.38699999999</v>
      </c>
      <c r="N19" s="28">
        <f t="shared" si="6"/>
        <v>5.9965756776992743E-2</v>
      </c>
      <c r="O19" s="28"/>
      <c r="P19" s="59">
        <v>304580.065</v>
      </c>
      <c r="Q19" s="28">
        <f t="shared" si="8"/>
        <v>4.3751172851293374E-2</v>
      </c>
      <c r="R19" s="28"/>
      <c r="S19" s="60"/>
      <c r="T19" s="3" t="s">
        <v>23</v>
      </c>
      <c r="U19" s="59">
        <f>U11-U17</f>
        <v>349800</v>
      </c>
      <c r="V19" s="59">
        <f>V11-V17</f>
        <v>455518.19881000009</v>
      </c>
      <c r="W19" s="59">
        <f>W11-W17</f>
        <v>209215.51405</v>
      </c>
      <c r="X19" s="59">
        <f>X11-X17</f>
        <v>2066650</v>
      </c>
      <c r="Y19" s="59">
        <f>Y11-Y17</f>
        <v>2270037.3025000002</v>
      </c>
      <c r="Z19" s="59">
        <f>+Y19-X19</f>
        <v>203387.30250000022</v>
      </c>
      <c r="AA19" s="61">
        <f>IF(X19=0,"",(Y19-X19)/ABS(X19)+1)</f>
        <v>1.0984140045484239</v>
      </c>
      <c r="AB19" s="59">
        <f>AB11-AB17</f>
        <v>2128765.8077100003</v>
      </c>
      <c r="AC19" s="28">
        <f>IF(AB19=0,"",(Y19-AB19)/ABS(AB19))</f>
        <v>6.6363098410515797E-2</v>
      </c>
      <c r="AD19" s="45"/>
      <c r="AE19" s="45"/>
      <c r="AF19" s="45"/>
      <c r="AG19" s="45"/>
      <c r="AH19" s="45"/>
    </row>
    <row r="20" spans="1:35" x14ac:dyDescent="0.2">
      <c r="B20" s="17" t="s">
        <v>24</v>
      </c>
      <c r="C20" s="63">
        <f>SUM(C10:C19)</f>
        <v>906533</v>
      </c>
      <c r="D20" s="36">
        <f t="shared" si="11"/>
        <v>1</v>
      </c>
      <c r="E20" s="63">
        <f>SUM(E10:E19)</f>
        <v>900435.15099999995</v>
      </c>
      <c r="F20" s="36">
        <f t="shared" si="1"/>
        <v>1</v>
      </c>
      <c r="G20" s="36">
        <f t="shared" si="2"/>
        <v>0.99327343957693759</v>
      </c>
      <c r="H20" s="63">
        <f>SUM(H10:H19)</f>
        <v>787409.83299999998</v>
      </c>
      <c r="I20" s="36">
        <f>+H22/$H$22</f>
        <v>1</v>
      </c>
      <c r="J20" s="36">
        <f t="shared" si="4"/>
        <v>0.14354064841859801</v>
      </c>
      <c r="K20" s="63">
        <f>SUM(K10:K19)</f>
        <v>7980322</v>
      </c>
      <c r="L20" s="36">
        <f t="shared" si="5"/>
        <v>1</v>
      </c>
      <c r="M20" s="63">
        <f>SUM(M10:M19)</f>
        <v>7880370.6047999999</v>
      </c>
      <c r="N20" s="36">
        <f t="shared" si="6"/>
        <v>1</v>
      </c>
      <c r="O20" s="36">
        <f>IF(K20=0,"",(M20-K20)/ABS(K20)+1)</f>
        <v>0.98747526789019291</v>
      </c>
      <c r="P20" s="63">
        <f>SUM(P10:P19)</f>
        <v>6961643.4292000011</v>
      </c>
      <c r="Q20" s="36">
        <f t="shared" si="8"/>
        <v>1</v>
      </c>
      <c r="R20" s="36">
        <f>IF(P20=0,"",(M20-P20)/ABS(P20))</f>
        <v>0.13196986960671936</v>
      </c>
      <c r="S20" s="60"/>
      <c r="T20" s="3"/>
      <c r="U20" s="59"/>
      <c r="V20" s="59"/>
      <c r="W20" s="59"/>
      <c r="X20" s="59"/>
      <c r="Y20" s="59"/>
      <c r="Z20" s="55"/>
      <c r="AA20" s="61"/>
      <c r="AB20" s="59"/>
      <c r="AC20" s="28" t="str">
        <f>IF(AB20=0,"",(Y20-AB20)/ABS(AB20))</f>
        <v/>
      </c>
      <c r="AD20" s="45"/>
      <c r="AE20" s="45"/>
      <c r="AF20" s="45"/>
      <c r="AG20" s="45"/>
      <c r="AH20" s="45"/>
      <c r="AI20" s="47"/>
    </row>
    <row r="21" spans="1:35" x14ac:dyDescent="0.2">
      <c r="B21" s="3"/>
      <c r="C21" s="59"/>
      <c r="D21" s="28"/>
      <c r="E21" s="59"/>
      <c r="F21" s="28"/>
      <c r="G21" s="28"/>
      <c r="H21" s="59"/>
      <c r="I21" s="28"/>
      <c r="J21" s="28"/>
      <c r="K21" s="59"/>
      <c r="L21" s="28"/>
      <c r="M21" s="59"/>
      <c r="N21" s="28"/>
      <c r="O21" s="28"/>
      <c r="P21" s="59"/>
      <c r="Q21" s="28"/>
      <c r="R21" s="28"/>
      <c r="S21" s="60"/>
      <c r="T21" s="3" t="s">
        <v>25</v>
      </c>
      <c r="U21" s="59">
        <f>+U10+U19</f>
        <v>489198</v>
      </c>
      <c r="V21" s="59">
        <f>+V10+V19</f>
        <v>547759.09687000001</v>
      </c>
      <c r="W21" s="59">
        <f>+W10+W19</f>
        <v>1201085.5140499999</v>
      </c>
      <c r="X21" s="59">
        <f>+X10+X19</f>
        <v>2551042</v>
      </c>
      <c r="Y21" s="59">
        <f>+Y10+Y19</f>
        <v>2754429.3025000002</v>
      </c>
      <c r="Z21" s="55">
        <f>+Y21-X21</f>
        <v>203387.30250000022</v>
      </c>
      <c r="AA21" s="61">
        <f>IF(X21=0,"",(Y21-X21)/ABS(X21)+1)</f>
        <v>1.0797271477694215</v>
      </c>
      <c r="AB21" s="59">
        <f>+AB10+AB19</f>
        <v>2719149.8077100003</v>
      </c>
      <c r="AC21" s="28">
        <f>IF(AB21=0,"",(Y21-AB21)/ABS(AB21))</f>
        <v>1.2974457931654533E-2</v>
      </c>
      <c r="AD21" s="45"/>
      <c r="AE21" s="45"/>
      <c r="AF21" s="45"/>
      <c r="AG21" s="45"/>
      <c r="AH21" s="45"/>
      <c r="AI21" s="47"/>
    </row>
    <row r="22" spans="1:35" x14ac:dyDescent="0.2">
      <c r="A22" s="64"/>
      <c r="B22" s="3" t="s">
        <v>26</v>
      </c>
      <c r="C22" s="59">
        <v>88693</v>
      </c>
      <c r="D22" s="28">
        <f t="shared" si="11"/>
        <v>9.7837585614643924E-2</v>
      </c>
      <c r="E22" s="59">
        <v>130826.87229</v>
      </c>
      <c r="F22" s="28">
        <f>+E22/$E$20</f>
        <v>0.14529294213437477</v>
      </c>
      <c r="G22" s="28">
        <f>IF(C22=0,"",(E22-C22)/ABS(C22)+1)</f>
        <v>1.4750529612258014</v>
      </c>
      <c r="H22" s="59">
        <v>48477.389340000002</v>
      </c>
      <c r="I22" s="28">
        <f t="shared" ref="I22:I46" si="12">+H22/$H$20</f>
        <v>6.1565638766921525E-2</v>
      </c>
      <c r="J22" s="28">
        <f>IF(H22=0,"",(E22-H22)/ABS(H22))</f>
        <v>1.6987194251001307</v>
      </c>
      <c r="K22" s="59">
        <v>654916</v>
      </c>
      <c r="L22" s="28">
        <f t="shared" si="5"/>
        <v>8.2066362735739237E-2</v>
      </c>
      <c r="M22" s="59">
        <v>703773.92732000002</v>
      </c>
      <c r="N22" s="28">
        <f>+M22/$M$20</f>
        <v>8.9307211883071266E-2</v>
      </c>
      <c r="O22" s="28">
        <f>IF(K22=0,"",(M22-K22)/ABS(K22)+1)</f>
        <v>1.0746018227070342</v>
      </c>
      <c r="P22" s="59">
        <v>384501.75524999999</v>
      </c>
      <c r="Q22" s="28">
        <f t="shared" si="8"/>
        <v>5.5231463541674831E-2</v>
      </c>
      <c r="R22" s="28">
        <f>IF(P22=0,"",(M22-P22)/ABS(P22))</f>
        <v>0.830352963830846</v>
      </c>
      <c r="S22" s="60"/>
      <c r="T22" s="3"/>
      <c r="U22" s="59"/>
      <c r="V22" s="59"/>
      <c r="W22" s="59"/>
      <c r="X22" s="59"/>
      <c r="Y22" s="59"/>
      <c r="Z22" s="55"/>
      <c r="AA22" s="61"/>
      <c r="AB22" s="59"/>
      <c r="AC22" s="28"/>
      <c r="AD22" s="45"/>
      <c r="AE22" s="45"/>
      <c r="AF22" s="45"/>
      <c r="AG22" s="45"/>
      <c r="AH22" s="45"/>
      <c r="AI22" s="47"/>
    </row>
    <row r="23" spans="1:35" x14ac:dyDescent="0.2">
      <c r="A23" s="64"/>
      <c r="B23" s="3"/>
      <c r="C23" s="59"/>
      <c r="D23" s="28"/>
      <c r="E23" s="59"/>
      <c r="F23" s="28"/>
      <c r="G23" s="28"/>
      <c r="H23" s="59"/>
      <c r="I23" s="28"/>
      <c r="J23" s="28"/>
      <c r="K23" s="59"/>
      <c r="L23" s="28"/>
      <c r="M23" s="59"/>
      <c r="N23" s="28"/>
      <c r="O23" s="28"/>
      <c r="P23" s="59"/>
      <c r="Q23" s="28"/>
      <c r="R23" s="28"/>
      <c r="S23" s="60"/>
      <c r="T23" s="3" t="s">
        <v>27</v>
      </c>
      <c r="U23" s="59">
        <v>0</v>
      </c>
      <c r="V23" s="59">
        <v>107886.03350000001</v>
      </c>
      <c r="W23" s="59">
        <v>0</v>
      </c>
      <c r="X23" s="59">
        <v>424785</v>
      </c>
      <c r="Y23" s="59">
        <v>715597.43649999995</v>
      </c>
      <c r="Z23" s="55">
        <f>+Y23-X23</f>
        <v>290812.43649999995</v>
      </c>
      <c r="AA23" s="61">
        <f>IF(X23=0,"",(Y23-X23)/ABS(X23)+1)</f>
        <v>1.6846108890379838</v>
      </c>
      <c r="AB23" s="59">
        <v>384691.76899999997</v>
      </c>
      <c r="AC23" s="28">
        <f>IF(AB23=0,"",(Y23-AB23)/ABS(AB23))</f>
        <v>0.86018390349287666</v>
      </c>
      <c r="AD23" s="45"/>
      <c r="AE23" s="45"/>
      <c r="AF23" s="45"/>
      <c r="AG23" s="45"/>
      <c r="AH23" s="45"/>
      <c r="AI23" s="47"/>
    </row>
    <row r="24" spans="1:35" x14ac:dyDescent="0.2">
      <c r="B24" s="3" t="s">
        <v>28</v>
      </c>
      <c r="C24" s="59">
        <f>+C20-C22</f>
        <v>817840</v>
      </c>
      <c r="D24" s="28">
        <f t="shared" si="11"/>
        <v>0.90216241438535605</v>
      </c>
      <c r="E24" s="59">
        <f>+E20-E22</f>
        <v>769608.27870999998</v>
      </c>
      <c r="F24" s="28">
        <f>+E24/$E$20</f>
        <v>0.85470705786562529</v>
      </c>
      <c r="G24" s="28">
        <f>IF(C24=0,"",(E24-C24)/ABS(C24)+1)</f>
        <v>0.94102548017949716</v>
      </c>
      <c r="H24" s="59">
        <f>+H20-H22</f>
        <v>738932.44365999999</v>
      </c>
      <c r="I24" s="28">
        <f t="shared" si="12"/>
        <v>0.93843436123307844</v>
      </c>
      <c r="J24" s="28">
        <f>IF(H24=0,"",(E24-H24)/ABS(H24))</f>
        <v>4.1513720656329252E-2</v>
      </c>
      <c r="K24" s="59">
        <f>+K20-K22</f>
        <v>7325406</v>
      </c>
      <c r="L24" s="28">
        <f t="shared" si="5"/>
        <v>0.9179336372642608</v>
      </c>
      <c r="M24" s="59">
        <f>+M20-M22</f>
        <v>7176596.6774800001</v>
      </c>
      <c r="N24" s="28">
        <f>+M24/$M$20</f>
        <v>0.91069278811692878</v>
      </c>
      <c r="O24" s="28">
        <f>IF(K24=0,"",(M24-K24)/ABS(K24)+1)</f>
        <v>0.97968586007110048</v>
      </c>
      <c r="P24" s="59">
        <f>+P20-P22</f>
        <v>6577141.6739500007</v>
      </c>
      <c r="Q24" s="28">
        <f t="shared" si="8"/>
        <v>0.94476853645832515</v>
      </c>
      <c r="R24" s="28">
        <f>IF(P24=0,"",(M24-P24)/ABS(P24))</f>
        <v>9.1142175924878277E-2</v>
      </c>
      <c r="S24" s="60"/>
      <c r="T24" s="3"/>
      <c r="U24" s="59"/>
      <c r="V24" s="59"/>
      <c r="W24" s="59"/>
      <c r="X24" s="59"/>
      <c r="Y24" s="59"/>
      <c r="Z24" s="55"/>
      <c r="AA24" s="61"/>
      <c r="AB24" s="59"/>
      <c r="AC24" s="28"/>
      <c r="AD24" s="45"/>
      <c r="AE24" s="45"/>
      <c r="AF24" s="45"/>
      <c r="AG24" s="45"/>
      <c r="AH24" s="45"/>
      <c r="AI24" s="47"/>
    </row>
    <row r="25" spans="1:35" x14ac:dyDescent="0.2">
      <c r="B25" s="3"/>
      <c r="C25" s="59"/>
      <c r="D25" s="28"/>
      <c r="E25" s="59"/>
      <c r="F25" s="28"/>
      <c r="G25" s="28"/>
      <c r="H25" s="59"/>
      <c r="I25" s="28"/>
      <c r="J25" s="28"/>
      <c r="K25" s="59"/>
      <c r="L25" s="28"/>
      <c r="M25" s="59"/>
      <c r="N25" s="28"/>
      <c r="O25" s="28"/>
      <c r="P25" s="59"/>
      <c r="Q25" s="28"/>
      <c r="R25" s="28"/>
      <c r="S25" s="60"/>
      <c r="T25" s="3" t="s">
        <v>29</v>
      </c>
      <c r="U25" s="59">
        <v>309753</v>
      </c>
      <c r="V25" s="59">
        <v>268548.82091000001</v>
      </c>
      <c r="W25" s="59">
        <v>249903.88563</v>
      </c>
      <c r="X25" s="59">
        <v>1656383</v>
      </c>
      <c r="Y25" s="59">
        <v>1609048.8113499999</v>
      </c>
      <c r="Z25" s="55">
        <f>+Y25-X25</f>
        <v>-47334.188650000142</v>
      </c>
      <c r="AA25" s="61">
        <f>IF(X25=0,"",(Y25-X25)/ABS(X25)+1)</f>
        <v>0.9714231620041982</v>
      </c>
      <c r="AB25" s="59">
        <v>1420524.0003599999</v>
      </c>
      <c r="AC25" s="28">
        <f>IF(AB25=0,"",(Y25-AB25)/ABS(AB25))</f>
        <v>0.13271497767177642</v>
      </c>
      <c r="AD25" s="45"/>
      <c r="AE25" s="45"/>
      <c r="AF25" s="45"/>
      <c r="AG25" s="45"/>
      <c r="AH25" s="45"/>
      <c r="AI25" s="47"/>
    </row>
    <row r="26" spans="1:35" x14ac:dyDescent="0.2">
      <c r="B26" s="3" t="s">
        <v>30</v>
      </c>
      <c r="C26" s="59">
        <v>216563</v>
      </c>
      <c r="D26" s="28">
        <f t="shared" si="11"/>
        <v>0.23889146892611743</v>
      </c>
      <c r="E26" s="59">
        <v>203518.44931999999</v>
      </c>
      <c r="F26" s="28">
        <f>+E26/$E$20</f>
        <v>0.22602232830868238</v>
      </c>
      <c r="G26" s="28">
        <f>IF(C26=0,"",(E26-C26)/ABS(C26)+1)</f>
        <v>0.93976556161486491</v>
      </c>
      <c r="H26" s="59">
        <v>174380.78577000002</v>
      </c>
      <c r="I26" s="28">
        <f t="shared" si="12"/>
        <v>0.22146127526197659</v>
      </c>
      <c r="J26" s="28">
        <f>IF(H26=0,"",(E26-H26)/ABS(H26))</f>
        <v>0.16709216798937448</v>
      </c>
      <c r="K26" s="59">
        <v>1783944</v>
      </c>
      <c r="L26" s="28">
        <f t="shared" si="5"/>
        <v>0.22354285954877509</v>
      </c>
      <c r="M26" s="59">
        <v>1724246.43728</v>
      </c>
      <c r="N26" s="28">
        <f>+M26/$M$20</f>
        <v>0.21880270913017047</v>
      </c>
      <c r="O26" s="28">
        <f>IF(K26=0,"",(M26-K26)/ABS(K26)+1)</f>
        <v>0.96653619019431103</v>
      </c>
      <c r="P26" s="59">
        <v>1428900.0021600001</v>
      </c>
      <c r="Q26" s="28">
        <f t="shared" si="8"/>
        <v>0.20525325904607591</v>
      </c>
      <c r="R26" s="28">
        <f>IF(P26=0,"",(M26-P26)/ABS(P26))</f>
        <v>0.20669496442965823</v>
      </c>
      <c r="S26" s="60"/>
      <c r="T26" s="3"/>
      <c r="U26" s="59"/>
      <c r="V26" s="59"/>
      <c r="W26" s="59"/>
      <c r="X26" s="59"/>
      <c r="Y26" s="59"/>
      <c r="Z26" s="55"/>
      <c r="AA26" s="61"/>
      <c r="AB26" s="59"/>
      <c r="AC26" s="28"/>
      <c r="AD26" s="45"/>
      <c r="AE26" s="45"/>
      <c r="AF26" s="45"/>
      <c r="AG26" s="45"/>
      <c r="AH26" s="45"/>
      <c r="AI26" s="47"/>
    </row>
    <row r="27" spans="1:35" x14ac:dyDescent="0.2">
      <c r="B27" s="3" t="s">
        <v>31</v>
      </c>
      <c r="C27" s="59">
        <v>273752</v>
      </c>
      <c r="D27" s="28">
        <f t="shared" si="11"/>
        <v>0.30197687232566273</v>
      </c>
      <c r="E27" s="59">
        <v>277566.56362000003</v>
      </c>
      <c r="F27" s="28">
        <f>+E27/$E$20</f>
        <v>0.3082582497048697</v>
      </c>
      <c r="G27" s="28">
        <f>IF(C27=0,"",(E27-C27)/ABS(C27)+1)</f>
        <v>1.0139343771735003</v>
      </c>
      <c r="H27" s="59">
        <v>285040.73142999999</v>
      </c>
      <c r="I27" s="28">
        <f t="shared" si="12"/>
        <v>0.36199793231436567</v>
      </c>
      <c r="J27" s="28">
        <f>IF(H27=0,"",(E27-H27)/ABS(H27))</f>
        <v>-2.6221402718493422E-2</v>
      </c>
      <c r="K27" s="59">
        <v>2547076</v>
      </c>
      <c r="L27" s="28">
        <f t="shared" si="5"/>
        <v>0.31916957736793078</v>
      </c>
      <c r="M27" s="59">
        <v>2546213.2536200001</v>
      </c>
      <c r="N27" s="28">
        <f>+M27/$M$20</f>
        <v>0.32310831321423894</v>
      </c>
      <c r="O27" s="28">
        <f>IF(K27=0,"",(M27-K27)/ABS(K27)+1)</f>
        <v>0.99966127968698226</v>
      </c>
      <c r="P27" s="59">
        <v>2641584.9785199999</v>
      </c>
      <c r="Q27" s="28">
        <f t="shared" si="8"/>
        <v>0.37944847439903401</v>
      </c>
      <c r="R27" s="28">
        <f>IF(P27=0,"",(M27-P27)/ABS(P27))</f>
        <v>-3.6103977602656448E-2</v>
      </c>
      <c r="S27" s="60"/>
      <c r="T27" s="3" t="s">
        <v>32</v>
      </c>
      <c r="U27" s="59">
        <v>81586</v>
      </c>
      <c r="V27" s="59">
        <v>29589.451420000001</v>
      </c>
      <c r="W27" s="59">
        <v>93452.776259999999</v>
      </c>
      <c r="X27" s="59">
        <v>-15485</v>
      </c>
      <c r="Y27" s="59">
        <v>-65598.082620000001</v>
      </c>
      <c r="Z27" s="55">
        <f>+Y27-X27</f>
        <v>-50113.082620000001</v>
      </c>
      <c r="AA27" s="61">
        <f>IF(X27=0,"",(Y27-X27)/ABS(X27)+1)</f>
        <v>-2.2362339438165968</v>
      </c>
      <c r="AB27" s="59">
        <v>56205.157330000002</v>
      </c>
      <c r="AC27" s="28">
        <f>IF(AB27=0,"",(Y27-AB27)/ABS(AB27))</f>
        <v>-2.1671185659147056</v>
      </c>
      <c r="AD27" s="45"/>
      <c r="AE27" s="45"/>
      <c r="AF27" s="45"/>
      <c r="AG27" s="45"/>
      <c r="AH27" s="45"/>
      <c r="AI27" s="47"/>
    </row>
    <row r="28" spans="1:35" x14ac:dyDescent="0.2">
      <c r="B28" s="3" t="s">
        <v>33</v>
      </c>
      <c r="C28" s="59">
        <f>SUM(C26:C27)</f>
        <v>490315</v>
      </c>
      <c r="D28" s="28">
        <f t="shared" si="11"/>
        <v>0.54086834125178018</v>
      </c>
      <c r="E28" s="59">
        <f>SUM(E26:E27)</f>
        <v>481085.01294000004</v>
      </c>
      <c r="F28" s="28">
        <f>+E28/$E$20</f>
        <v>0.53428057801355211</v>
      </c>
      <c r="G28" s="28">
        <f>IF(C28=0,"",(E28-C28)/ABS(C28)+1)</f>
        <v>0.98117539324719827</v>
      </c>
      <c r="H28" s="59">
        <f>SUM(H26:H27)</f>
        <v>459421.5172</v>
      </c>
      <c r="I28" s="28">
        <f t="shared" si="12"/>
        <v>0.58345920757634229</v>
      </c>
      <c r="J28" s="28">
        <f>IF(H28=0,"",(E28-H28)/ABS(H28))</f>
        <v>4.7153855291826204E-2</v>
      </c>
      <c r="K28" s="59">
        <f>SUM(K26:K27)</f>
        <v>4331020</v>
      </c>
      <c r="L28" s="28">
        <f t="shared" si="5"/>
        <v>0.5427124369167059</v>
      </c>
      <c r="M28" s="59">
        <f>SUM(M26:M27)</f>
        <v>4270459.6908999998</v>
      </c>
      <c r="N28" s="28">
        <f>+M28/$M$20</f>
        <v>0.54191102234440935</v>
      </c>
      <c r="O28" s="28">
        <f>IF(K28=0,"",(M28-K28)/ABS(K28)+1)</f>
        <v>0.98601707932542448</v>
      </c>
      <c r="P28" s="59">
        <f>SUM(P26:P27)</f>
        <v>4070484.98068</v>
      </c>
      <c r="Q28" s="28">
        <f t="shared" si="8"/>
        <v>0.58470173344510989</v>
      </c>
      <c r="R28" s="28">
        <f>IF(P28=0,"",(M28-P28)/ABS(P28))</f>
        <v>4.9127981350908401E-2</v>
      </c>
      <c r="S28" s="60"/>
      <c r="T28" s="3" t="s">
        <v>34</v>
      </c>
      <c r="U28" s="59">
        <v>77500</v>
      </c>
      <c r="V28" s="59">
        <v>70236.313999999998</v>
      </c>
      <c r="W28" s="59">
        <v>0</v>
      </c>
      <c r="X28" s="59">
        <v>465000</v>
      </c>
      <c r="Y28" s="59">
        <v>423882.76299999998</v>
      </c>
      <c r="Z28" s="55">
        <f>+Y28-X28</f>
        <v>-41117.237000000023</v>
      </c>
      <c r="AA28" s="61">
        <f>IF(X28=0,"",(Y28-X28)/ABS(X28)+1)</f>
        <v>0.91157583440860213</v>
      </c>
      <c r="AB28" s="59">
        <v>0</v>
      </c>
      <c r="AC28" s="28" t="str">
        <f>IF(AB28=0,"",(Y28-AB28)/ABS(AB28))</f>
        <v/>
      </c>
      <c r="AD28" s="45"/>
      <c r="AE28" s="45"/>
      <c r="AF28" s="45"/>
      <c r="AG28" s="45"/>
      <c r="AH28" s="45"/>
      <c r="AI28" s="47"/>
    </row>
    <row r="29" spans="1:35" x14ac:dyDescent="0.2">
      <c r="B29" s="3"/>
      <c r="C29" s="59"/>
      <c r="D29" s="28"/>
      <c r="E29" s="59"/>
      <c r="F29" s="28"/>
      <c r="G29" s="28"/>
      <c r="H29" s="59"/>
      <c r="I29" s="28"/>
      <c r="J29" s="28"/>
      <c r="K29" s="59"/>
      <c r="L29" s="28"/>
      <c r="M29" s="59"/>
      <c r="N29" s="28"/>
      <c r="O29" s="28"/>
      <c r="P29" s="59"/>
      <c r="Q29" s="28"/>
      <c r="R29" s="28"/>
      <c r="S29" s="60"/>
      <c r="AD29" s="45"/>
      <c r="AE29" s="45"/>
      <c r="AF29" s="45"/>
      <c r="AG29" s="45"/>
      <c r="AH29" s="45"/>
      <c r="AI29" s="47"/>
    </row>
    <row r="30" spans="1:35" x14ac:dyDescent="0.2">
      <c r="B30" s="3" t="s">
        <v>35</v>
      </c>
      <c r="C30" s="59">
        <v>56237</v>
      </c>
      <c r="D30" s="28">
        <f t="shared" si="11"/>
        <v>6.2035248578926526E-2</v>
      </c>
      <c r="E30" s="59">
        <v>54008.538999999997</v>
      </c>
      <c r="F30" s="28">
        <f>+E30/$E$20</f>
        <v>5.9980487145597894E-2</v>
      </c>
      <c r="G30" s="28">
        <f>IF(C30=0,"",(E30-C30)/ABS(C30)+1)</f>
        <v>0.96037375749062004</v>
      </c>
      <c r="H30" s="59">
        <v>39991.768020000003</v>
      </c>
      <c r="I30" s="28">
        <f t="shared" si="12"/>
        <v>5.0789012714805661E-2</v>
      </c>
      <c r="J30" s="28">
        <f>IF(H30=0,"",(E30-H30)/ABS(H30))</f>
        <v>0.35049140545599694</v>
      </c>
      <c r="K30" s="59">
        <v>477522</v>
      </c>
      <c r="L30" s="28">
        <f t="shared" si="5"/>
        <v>5.9837435131063633E-2</v>
      </c>
      <c r="M30" s="59">
        <v>444802.25586000003</v>
      </c>
      <c r="N30" s="28">
        <f>+M30/$M$20</f>
        <v>5.6444332147153997E-2</v>
      </c>
      <c r="O30" s="28">
        <f>IF(K30=0,"",(M30-K30)/ABS(K30)+1)</f>
        <v>0.93148013255933759</v>
      </c>
      <c r="P30" s="59">
        <v>354506.11163999996</v>
      </c>
      <c r="Q30" s="28">
        <f t="shared" si="8"/>
        <v>5.0922762023842709E-2</v>
      </c>
      <c r="R30" s="28">
        <f>IF(P30=0,"",(M30-P30)/ABS(P30))</f>
        <v>0.25470969682941763</v>
      </c>
      <c r="S30" s="60"/>
      <c r="T30" s="17" t="s">
        <v>36</v>
      </c>
      <c r="U30" s="63">
        <f>U21-U23-U25-U27-U28</f>
        <v>20359</v>
      </c>
      <c r="V30" s="63">
        <f>V21-V23-V25-V27-V28</f>
        <v>71498.477039999983</v>
      </c>
      <c r="W30" s="63">
        <f>W21-W23-W25-W27-W28</f>
        <v>857728.85215999989</v>
      </c>
      <c r="X30" s="63">
        <f>X21-X23-X25-X27-X28</f>
        <v>20359</v>
      </c>
      <c r="Y30" s="63">
        <f>Y21-Y23-Y25-Y27-Y28</f>
        <v>71498.374270000553</v>
      </c>
      <c r="Z30" s="65">
        <f>+Y30-X30</f>
        <v>51139.374270000553</v>
      </c>
      <c r="AA30" s="66">
        <f>IF(U30=0,"",(V30-U30)/ABS(U30)+1)</f>
        <v>3.5118855071467157</v>
      </c>
      <c r="AB30" s="63">
        <f>AB21-AB23-AB25-AB27-AB28</f>
        <v>857728.88102000055</v>
      </c>
      <c r="AC30" s="28">
        <f>IF(AB30=0,"",(Y30-AB30)/ABS(AB30))</f>
        <v>-0.91664222127512407</v>
      </c>
      <c r="AD30" s="46"/>
      <c r="AE30" s="46"/>
    </row>
    <row r="31" spans="1:35" x14ac:dyDescent="0.2">
      <c r="B31" s="3" t="s">
        <v>37</v>
      </c>
      <c r="C31" s="59">
        <v>171063</v>
      </c>
      <c r="D31" s="28">
        <f t="shared" si="11"/>
        <v>0.18870024588183773</v>
      </c>
      <c r="E31" s="59">
        <v>171447.35569</v>
      </c>
      <c r="F31" s="28">
        <f>+E31/$E$20</f>
        <v>0.19040500084830653</v>
      </c>
      <c r="G31" s="28">
        <f>IF(C31=0,"",(E31-C31)/ABS(C31)+1)</f>
        <v>1.0022468663007196</v>
      </c>
      <c r="H31" s="59">
        <v>148857.22728999998</v>
      </c>
      <c r="I31" s="28">
        <f t="shared" si="12"/>
        <v>0.18904669595356702</v>
      </c>
      <c r="J31" s="28">
        <f>IF(H31=0,"",(E31-H31)/ABS(H31))</f>
        <v>0.15175701449813037</v>
      </c>
      <c r="K31" s="59">
        <v>1572975</v>
      </c>
      <c r="L31" s="28">
        <f t="shared" si="5"/>
        <v>0.19710670822555781</v>
      </c>
      <c r="M31" s="59">
        <v>1519960.1499700001</v>
      </c>
      <c r="N31" s="28">
        <f>+M31/$M$20</f>
        <v>0.19287927258702525</v>
      </c>
      <c r="O31" s="28">
        <f>IF(K31=0,"",(M31-K31)/ABS(K31)+1)</f>
        <v>0.96629644461609376</v>
      </c>
      <c r="P31" s="59">
        <v>1361950.5122700001</v>
      </c>
      <c r="Q31" s="28">
        <f t="shared" si="8"/>
        <v>0.19563635025566212</v>
      </c>
      <c r="R31" s="28">
        <f>IF(P31=0,"",(M31-P31)/ABS(P31))</f>
        <v>0.11601716529086002</v>
      </c>
      <c r="S31" s="60"/>
      <c r="T31" s="46"/>
      <c r="U31" s="50" t="s">
        <v>47</v>
      </c>
      <c r="V31" s="50" t="s">
        <v>47</v>
      </c>
      <c r="W31" s="46" t="s">
        <v>47</v>
      </c>
      <c r="X31" s="50" t="s">
        <v>47</v>
      </c>
      <c r="Y31" s="50" t="s">
        <v>47</v>
      </c>
      <c r="Z31" s="50"/>
      <c r="AA31" s="50"/>
      <c r="AB31" s="67" t="s">
        <v>47</v>
      </c>
      <c r="AC31" s="46"/>
      <c r="AD31" s="46"/>
      <c r="AE31" s="46"/>
    </row>
    <row r="32" spans="1:35" x14ac:dyDescent="0.2">
      <c r="B32" s="3" t="s">
        <v>38</v>
      </c>
      <c r="C32" s="59">
        <f>SUM(C30:C31)</f>
        <v>227300</v>
      </c>
      <c r="D32" s="28">
        <f t="shared" si="11"/>
        <v>0.25073549446076426</v>
      </c>
      <c r="E32" s="59">
        <f>SUM(E30:E31)</f>
        <v>225455.89468999999</v>
      </c>
      <c r="F32" s="28">
        <f>+E32/$E$20</f>
        <v>0.25038548799390442</v>
      </c>
      <c r="G32" s="28">
        <f>IF(C32=0,"",(E32-C32)/ABS(C32)+1)</f>
        <v>0.99188691020677511</v>
      </c>
      <c r="H32" s="59">
        <f>SUM(H30:H31)</f>
        <v>188848.99530999997</v>
      </c>
      <c r="I32" s="28">
        <f t="shared" si="12"/>
        <v>0.23983570866837267</v>
      </c>
      <c r="J32" s="28">
        <f>IF(H32=0,"",(E32-H32)/ABS(H32))</f>
        <v>0.19384217173042911</v>
      </c>
      <c r="K32" s="59">
        <f>SUM(K30:K31)</f>
        <v>2050497</v>
      </c>
      <c r="L32" s="28">
        <f t="shared" si="5"/>
        <v>0.25694414335662147</v>
      </c>
      <c r="M32" s="59">
        <f>SUM(M30:M31)</f>
        <v>1964762.4058300001</v>
      </c>
      <c r="N32" s="28">
        <f>+M32/$M$20</f>
        <v>0.24932360473417922</v>
      </c>
      <c r="O32" s="28">
        <f>IF(K32=0,"",(M32-K32)/ABS(K32)+1)</f>
        <v>0.95818838351385061</v>
      </c>
      <c r="P32" s="59">
        <f>SUM(P30:P31)</f>
        <v>1716456.6239100001</v>
      </c>
      <c r="Q32" s="28">
        <f t="shared" si="8"/>
        <v>0.24655911227950483</v>
      </c>
      <c r="R32" s="28">
        <f>IF(P32=0,"",(M32-P32)/ABS(P32))</f>
        <v>0.14466184490836254</v>
      </c>
      <c r="S32" s="60"/>
      <c r="T32" s="46" t="s">
        <v>71</v>
      </c>
      <c r="U32" s="67"/>
      <c r="V32" s="67"/>
      <c r="W32" s="67"/>
      <c r="X32" s="67"/>
      <c r="Y32" s="67"/>
      <c r="Z32" s="67"/>
      <c r="AA32" s="67"/>
      <c r="AB32" s="67"/>
      <c r="AC32" s="46"/>
    </row>
    <row r="33" spans="1:29" x14ac:dyDescent="0.2">
      <c r="B33" s="3"/>
      <c r="C33" s="59"/>
      <c r="D33" s="28"/>
      <c r="E33" s="59"/>
      <c r="F33" s="28"/>
      <c r="G33" s="28"/>
      <c r="H33" s="59"/>
      <c r="I33" s="28"/>
      <c r="J33" s="28"/>
      <c r="K33" s="59"/>
      <c r="L33" s="28"/>
      <c r="M33" s="59"/>
      <c r="N33" s="28"/>
      <c r="O33" s="28"/>
      <c r="P33" s="59"/>
      <c r="Q33" s="28"/>
      <c r="R33" s="28"/>
      <c r="S33" s="60"/>
      <c r="T33" s="46"/>
      <c r="U33" s="67"/>
      <c r="V33" s="67"/>
      <c r="W33" s="67"/>
      <c r="X33" s="67"/>
      <c r="Y33" s="67"/>
      <c r="Z33" s="67"/>
      <c r="AA33" s="67"/>
      <c r="AB33" s="67"/>
      <c r="AC33" s="46"/>
    </row>
    <row r="34" spans="1:29" x14ac:dyDescent="0.2">
      <c r="B34" s="3" t="s">
        <v>39</v>
      </c>
      <c r="C34" s="59">
        <f>C28+C32</f>
        <v>717615</v>
      </c>
      <c r="D34" s="28">
        <f t="shared" si="11"/>
        <v>0.79160383571254433</v>
      </c>
      <c r="E34" s="59">
        <f>E28+E32</f>
        <v>706540.90763000003</v>
      </c>
      <c r="F34" s="28">
        <f>+E34/$E$20</f>
        <v>0.78466606600745648</v>
      </c>
      <c r="G34" s="28">
        <f>IF(C34=0,"",(E34-C34)/ABS(C34)+1)</f>
        <v>0.98456819830967868</v>
      </c>
      <c r="H34" s="59">
        <f>H28+H32</f>
        <v>648270.51251000003</v>
      </c>
      <c r="I34" s="28">
        <f t="shared" si="12"/>
        <v>0.82329491624471507</v>
      </c>
      <c r="J34" s="28">
        <f>IF(H34=0,"",(E34-H34)/ABS(H34))</f>
        <v>8.9885925698496336E-2</v>
      </c>
      <c r="K34" s="59">
        <f>K28+K32</f>
        <v>6381517</v>
      </c>
      <c r="L34" s="28">
        <f t="shared" si="5"/>
        <v>0.79965658027332731</v>
      </c>
      <c r="M34" s="59">
        <f>M28+M32</f>
        <v>6235222.0967299994</v>
      </c>
      <c r="N34" s="28">
        <f>+M34/$M$20</f>
        <v>0.7912346270785886</v>
      </c>
      <c r="O34" s="28">
        <f>IF(K34=0,"",(M34-K34)/ABS(K34)+1)</f>
        <v>0.97707521530225483</v>
      </c>
      <c r="P34" s="59">
        <f>P28+P32</f>
        <v>5786941.6045900006</v>
      </c>
      <c r="Q34" s="28">
        <f t="shared" si="8"/>
        <v>0.83126084572461478</v>
      </c>
      <c r="R34" s="28">
        <f>IF(P34=0,"",(M34-P34)/ABS(P34))</f>
        <v>7.7464146481871929E-2</v>
      </c>
      <c r="S34" s="60"/>
      <c r="T34" s="45"/>
      <c r="U34" s="47"/>
      <c r="V34" s="47"/>
      <c r="W34" s="47"/>
      <c r="X34" s="67"/>
      <c r="Y34" s="67"/>
      <c r="Z34" s="67"/>
      <c r="AA34" s="67"/>
    </row>
    <row r="35" spans="1:29" x14ac:dyDescent="0.2">
      <c r="B35" s="3"/>
      <c r="C35" s="59"/>
      <c r="D35" s="28"/>
      <c r="E35" s="59"/>
      <c r="F35" s="28"/>
      <c r="G35" s="28"/>
      <c r="H35" s="59"/>
      <c r="I35" s="28"/>
      <c r="J35" s="28"/>
      <c r="K35" s="59"/>
      <c r="L35" s="28"/>
      <c r="M35" s="59"/>
      <c r="N35" s="28"/>
      <c r="O35" s="28"/>
      <c r="P35" s="59"/>
      <c r="Q35" s="28"/>
      <c r="R35" s="28"/>
      <c r="S35" s="60"/>
      <c r="T35" s="45"/>
      <c r="U35" s="47"/>
      <c r="V35" s="47"/>
      <c r="W35" s="47"/>
      <c r="X35" s="67"/>
      <c r="Y35" s="67"/>
      <c r="Z35" s="67"/>
      <c r="AA35" s="67"/>
    </row>
    <row r="36" spans="1:29" x14ac:dyDescent="0.2">
      <c r="B36" s="17" t="s">
        <v>40</v>
      </c>
      <c r="C36" s="63">
        <f>C24-C34</f>
        <v>100225</v>
      </c>
      <c r="D36" s="36">
        <f t="shared" si="11"/>
        <v>0.11055857867281169</v>
      </c>
      <c r="E36" s="63">
        <f>E24-E34</f>
        <v>63067.371079999954</v>
      </c>
      <c r="F36" s="36">
        <f>+E36/$E$20</f>
        <v>7.0040991858168755E-2</v>
      </c>
      <c r="G36" s="36">
        <f>IF(C36=0,"",(E36-C36)/ABS(C36)+1)</f>
        <v>0.6292578805687199</v>
      </c>
      <c r="H36" s="63">
        <f>H24-H34</f>
        <v>90661.93114999996</v>
      </c>
      <c r="I36" s="36">
        <f t="shared" si="12"/>
        <v>0.11513944498836347</v>
      </c>
      <c r="J36" s="36">
        <f>IF(H36=0,"",(E36-H36)/ABS(H36))</f>
        <v>-0.30436766258976844</v>
      </c>
      <c r="K36" s="63">
        <f>K24-K34</f>
        <v>943889</v>
      </c>
      <c r="L36" s="36">
        <f t="shared" si="5"/>
        <v>0.11827705699093345</v>
      </c>
      <c r="M36" s="63">
        <f>+M24-M34</f>
        <v>941374.58075000066</v>
      </c>
      <c r="N36" s="36">
        <f>+M36/$M$20</f>
        <v>0.11945816103834019</v>
      </c>
      <c r="O36" s="36">
        <f>IF(K36=0,"",(M36-K36)/ABS(K36)+1)</f>
        <v>0.9973361070528427</v>
      </c>
      <c r="P36" s="63">
        <f>P24-P34</f>
        <v>790200.06936000008</v>
      </c>
      <c r="Q36" s="36">
        <f t="shared" si="8"/>
        <v>0.1135076907337103</v>
      </c>
      <c r="R36" s="36">
        <f>IF(P36=0,"",(M36-P36)/ABS(P36))</f>
        <v>0.19131169086385938</v>
      </c>
      <c r="S36" s="60"/>
      <c r="T36" s="45"/>
      <c r="W36" s="47"/>
      <c r="X36" s="67"/>
      <c r="Y36" s="67"/>
      <c r="Z36" s="67"/>
      <c r="AA36" s="67"/>
    </row>
    <row r="37" spans="1:29" x14ac:dyDescent="0.2">
      <c r="B37" s="3"/>
      <c r="C37" s="59"/>
      <c r="D37" s="28"/>
      <c r="E37" s="59"/>
      <c r="F37" s="28"/>
      <c r="G37" s="28"/>
      <c r="H37" s="59"/>
      <c r="I37" s="28"/>
      <c r="J37" s="28"/>
      <c r="K37" s="59"/>
      <c r="L37" s="28"/>
      <c r="M37" s="59"/>
      <c r="N37" s="28"/>
      <c r="O37" s="28"/>
      <c r="P37" s="59"/>
      <c r="Q37" s="28"/>
      <c r="R37" s="28"/>
      <c r="S37" s="60"/>
      <c r="W37" s="47"/>
      <c r="X37" s="67"/>
      <c r="Y37" s="67"/>
      <c r="Z37" s="67"/>
      <c r="AA37" s="67"/>
    </row>
    <row r="38" spans="1:29" x14ac:dyDescent="0.2">
      <c r="B38" s="3" t="s">
        <v>41</v>
      </c>
      <c r="C38" s="59">
        <v>640</v>
      </c>
      <c r="D38" s="28">
        <f t="shared" si="11"/>
        <v>7.0598643402942864E-4</v>
      </c>
      <c r="E38" s="59">
        <v>1668.4899399999999</v>
      </c>
      <c r="F38" s="28">
        <f>+E38/$E$20</f>
        <v>1.8529817923556384E-3</v>
      </c>
      <c r="G38" s="28">
        <f>IF(C38=0,"",(E38-C38)/ABS(C38)+1)</f>
        <v>2.6070155312500001</v>
      </c>
      <c r="H38" s="59">
        <v>2383.5034500000002</v>
      </c>
      <c r="I38" s="28">
        <f t="shared" si="12"/>
        <v>3.027017634411482E-3</v>
      </c>
      <c r="J38" s="28">
        <f>IF(H38=0,"",(E38-H38)/ABS(H38))</f>
        <v>-0.29998425636849829</v>
      </c>
      <c r="K38" s="59">
        <v>5760</v>
      </c>
      <c r="L38" s="28">
        <f t="shared" si="5"/>
        <v>7.2177538700819342E-4</v>
      </c>
      <c r="M38" s="59">
        <v>16751.479460000002</v>
      </c>
      <c r="N38" s="28">
        <f>+M38/$M$20</f>
        <v>2.125722291512094E-3</v>
      </c>
      <c r="O38" s="28">
        <f>IF(K38=0,"",(M38-K38)/ABS(K38)+1)</f>
        <v>2.9082429618055556</v>
      </c>
      <c r="P38" s="59">
        <v>203037.72122000001</v>
      </c>
      <c r="Q38" s="28">
        <f t="shared" si="8"/>
        <v>2.9165199752744609E-2</v>
      </c>
      <c r="R38" s="28">
        <f>IF(P38=0,"",(M38-P38)/ABS(P38))</f>
        <v>-0.91749572759512477</v>
      </c>
      <c r="S38" s="60"/>
      <c r="T38" s="45"/>
      <c r="X38" s="67"/>
      <c r="Y38" s="67"/>
      <c r="Z38" s="67"/>
      <c r="AA38" s="67"/>
    </row>
    <row r="39" spans="1:29" x14ac:dyDescent="0.2">
      <c r="B39" s="3" t="s">
        <v>42</v>
      </c>
      <c r="C39" s="59">
        <v>14346</v>
      </c>
      <c r="D39" s="28">
        <f t="shared" si="11"/>
        <v>1.582512716029091E-2</v>
      </c>
      <c r="E39" s="59">
        <v>18437.374260000001</v>
      </c>
      <c r="F39" s="28">
        <f>+E39/$E$20</f>
        <v>2.0476071196825145E-2</v>
      </c>
      <c r="G39" s="28">
        <f>IF(C39=0,"",(E39-C39)/ABS(C39)+1)</f>
        <v>1.2851926850690087</v>
      </c>
      <c r="H39" s="59">
        <v>23886.837210000002</v>
      </c>
      <c r="I39" s="28">
        <f t="shared" si="12"/>
        <v>3.0335965095828313E-2</v>
      </c>
      <c r="J39" s="28">
        <f>IF(H39=0,"",(E39-H39)/ABS(H39))</f>
        <v>-0.22813664706178155</v>
      </c>
      <c r="K39" s="59">
        <v>135542</v>
      </c>
      <c r="L39" s="28">
        <f t="shared" si="5"/>
        <v>1.6984527691990374E-2</v>
      </c>
      <c r="M39" s="59">
        <v>151569.67012999998</v>
      </c>
      <c r="N39" s="28">
        <f>+M39/$M$20</f>
        <v>1.9233825124630257E-2</v>
      </c>
      <c r="O39" s="28">
        <f>IF(K39=0,"",(M39-K39)/ABS(K39)+1)</f>
        <v>1.1182487356686488</v>
      </c>
      <c r="P39" s="59">
        <v>242806.04284000001</v>
      </c>
      <c r="Q39" s="28">
        <f t="shared" si="8"/>
        <v>3.4877690204811615E-2</v>
      </c>
      <c r="R39" s="28">
        <f>IF(P39=0,"",(M39-P39)/ABS(P39))</f>
        <v>-0.37575824572916966</v>
      </c>
      <c r="S39" s="60"/>
      <c r="T39" s="45"/>
      <c r="X39" s="67"/>
      <c r="Y39" s="67"/>
      <c r="Z39" s="67"/>
      <c r="AA39" s="67"/>
    </row>
    <row r="40" spans="1:29" x14ac:dyDescent="0.2">
      <c r="B40" s="3"/>
      <c r="C40" s="59"/>
      <c r="D40" s="28"/>
      <c r="E40" s="59"/>
      <c r="F40" s="28"/>
      <c r="G40" s="28"/>
      <c r="H40" s="59"/>
      <c r="I40" s="28"/>
      <c r="J40" s="28"/>
      <c r="K40" s="59"/>
      <c r="L40" s="28"/>
      <c r="M40" s="59"/>
      <c r="N40" s="28"/>
      <c r="O40" s="28"/>
      <c r="P40" s="59"/>
      <c r="Q40" s="28"/>
      <c r="R40" s="28"/>
      <c r="S40" s="60"/>
      <c r="T40" s="45"/>
      <c r="X40" s="67"/>
      <c r="Y40" s="67"/>
      <c r="Z40" s="67"/>
      <c r="AA40" s="67"/>
    </row>
    <row r="41" spans="1:29" x14ac:dyDescent="0.2">
      <c r="B41" s="3" t="s">
        <v>43</v>
      </c>
      <c r="C41" s="59">
        <f>C36+C38-C39</f>
        <v>86519</v>
      </c>
      <c r="D41" s="28">
        <f t="shared" si="11"/>
        <v>9.5439437946550215E-2</v>
      </c>
      <c r="E41" s="59">
        <f>E36+E38-E39</f>
        <v>46298.486759999956</v>
      </c>
      <c r="F41" s="28">
        <f>+E41/$E$20</f>
        <v>5.1417902453699253E-2</v>
      </c>
      <c r="G41" s="28">
        <f>IF(C41=0,"",(E41-C41)/ABS(C41)+1)</f>
        <v>0.53512507957789568</v>
      </c>
      <c r="H41" s="59">
        <f>H36+H38-H39</f>
        <v>69158.597389999966</v>
      </c>
      <c r="I41" s="28">
        <f t="shared" si="12"/>
        <v>8.7830497526946646E-2</v>
      </c>
      <c r="J41" s="28">
        <f>IF(H41=0,"",(E41-H41)/ABS(H41))</f>
        <v>-0.33054618648621525</v>
      </c>
      <c r="K41" s="59">
        <f>K36+K38-K39</f>
        <v>814107</v>
      </c>
      <c r="L41" s="28">
        <f t="shared" si="5"/>
        <v>0.10201430468595127</v>
      </c>
      <c r="M41" s="59">
        <f>M36+M38-M39</f>
        <v>806556.39008000074</v>
      </c>
      <c r="N41" s="28">
        <f>+M41/$M$20</f>
        <v>0.10235005820522203</v>
      </c>
      <c r="O41" s="28">
        <f>IF(K41=0,"",(M41-K41)/ABS(K41)+1)</f>
        <v>0.99072528559513762</v>
      </c>
      <c r="P41" s="59">
        <f>P36+P38-P39</f>
        <v>750431.74774000002</v>
      </c>
      <c r="Q41" s="28">
        <f t="shared" si="8"/>
        <v>0.10779520028164327</v>
      </c>
      <c r="R41" s="28">
        <f>IF(P41=0,"",(M41-P41)/ABS(P41))</f>
        <v>7.478980268229013E-2</v>
      </c>
      <c r="S41" s="60"/>
      <c r="T41" s="45"/>
      <c r="X41" s="67"/>
      <c r="Y41" s="67"/>
      <c r="Z41" s="67"/>
      <c r="AA41" s="67"/>
    </row>
    <row r="42" spans="1:29" x14ac:dyDescent="0.2">
      <c r="B42" s="3" t="s">
        <v>29</v>
      </c>
      <c r="C42" s="59">
        <v>31151</v>
      </c>
      <c r="D42" s="28">
        <f t="shared" si="11"/>
        <v>3.4362786572579268E-2</v>
      </c>
      <c r="E42" s="59">
        <v>16051</v>
      </c>
      <c r="F42" s="28">
        <f>+E42/$E$20</f>
        <v>1.7825825637942029E-2</v>
      </c>
      <c r="G42" s="28">
        <f>IF(C42=0,"",(E42-C42)/ABS(C42)+1)</f>
        <v>0.51526435748451094</v>
      </c>
      <c r="H42" s="59">
        <v>21899.655999999999</v>
      </c>
      <c r="I42" s="28">
        <f t="shared" si="12"/>
        <v>2.7812271427400372E-2</v>
      </c>
      <c r="J42" s="28">
        <f>IF(H42=0,"",(E42-H42)/ABS(H42))</f>
        <v>-0.26706611281930637</v>
      </c>
      <c r="K42" s="59">
        <v>293103</v>
      </c>
      <c r="L42" s="28">
        <f t="shared" si="5"/>
        <v>3.672821723233724E-2</v>
      </c>
      <c r="M42" s="59">
        <v>279333.397</v>
      </c>
      <c r="N42" s="28">
        <f>+M42/$M$20</f>
        <v>3.5446733536853674E-2</v>
      </c>
      <c r="O42" s="28">
        <f>IF(K42=0,"",(M42-K42)/ABS(K42)+1)</f>
        <v>0.95302128262078523</v>
      </c>
      <c r="P42" s="59">
        <v>261503.05</v>
      </c>
      <c r="Q42" s="28">
        <f t="shared" si="8"/>
        <v>3.7563407643538368E-2</v>
      </c>
      <c r="R42" s="28">
        <f>IF(P42=0,"",(M42-P42)/ABS(P42))</f>
        <v>6.8184088101458123E-2</v>
      </c>
      <c r="S42" s="60"/>
      <c r="X42" s="67"/>
      <c r="Y42" s="67"/>
      <c r="Z42" s="67"/>
      <c r="AA42" s="67"/>
    </row>
    <row r="43" spans="1:29" x14ac:dyDescent="0.2">
      <c r="B43" s="17" t="s">
        <v>44</v>
      </c>
      <c r="C43" s="63">
        <f>+C41-C42</f>
        <v>55368</v>
      </c>
      <c r="D43" s="36">
        <f t="shared" si="11"/>
        <v>6.107665137397094E-2</v>
      </c>
      <c r="E43" s="63">
        <f>E41-E42</f>
        <v>30247.486759999956</v>
      </c>
      <c r="F43" s="36">
        <f>+E43/$E$20</f>
        <v>3.3592076815757224E-2</v>
      </c>
      <c r="G43" s="36">
        <f>IF(C43=0,"",(E43-C43)/ABS(C43)+1)</f>
        <v>0.54629906733130973</v>
      </c>
      <c r="H43" s="63">
        <f>+H41-H42</f>
        <v>47258.941389999964</v>
      </c>
      <c r="I43" s="36">
        <f t="shared" si="12"/>
        <v>6.0018226099546261E-2</v>
      </c>
      <c r="J43" s="36">
        <f>IF(H43=0,"",(E43-H43)/ABS(H43))</f>
        <v>-0.35996266800846383</v>
      </c>
      <c r="K43" s="63">
        <f>+K41-K42</f>
        <v>521004</v>
      </c>
      <c r="L43" s="36">
        <f t="shared" si="5"/>
        <v>6.5286087453614028E-2</v>
      </c>
      <c r="M43" s="63">
        <f>+M41-M42</f>
        <v>527222.99308000074</v>
      </c>
      <c r="N43" s="36">
        <f>+M43/$M$20</f>
        <v>6.6903324668368361E-2</v>
      </c>
      <c r="O43" s="36">
        <f>IF(K43=0,"",(M43-K43)/ABS(K43)+1)</f>
        <v>1.0119365553431465</v>
      </c>
      <c r="P43" s="63">
        <f>P41-P42</f>
        <v>488928.69774000003</v>
      </c>
      <c r="Q43" s="36">
        <f t="shared" si="8"/>
        <v>7.0231792638104903E-2</v>
      </c>
      <c r="R43" s="36">
        <f>IF(P43=0,"",(M43-P43)/ABS(P43))</f>
        <v>7.832286285712084E-2</v>
      </c>
      <c r="S43" s="60"/>
      <c r="T43" s="68"/>
      <c r="W43" s="47"/>
      <c r="X43" s="67"/>
      <c r="Y43" s="67"/>
      <c r="Z43" s="67"/>
      <c r="AA43" s="67"/>
    </row>
    <row r="44" spans="1:29" x14ac:dyDescent="0.2">
      <c r="B44" s="3"/>
      <c r="C44" s="59"/>
      <c r="D44" s="28"/>
      <c r="E44" s="59"/>
      <c r="F44" s="28"/>
      <c r="G44" s="28"/>
      <c r="H44" s="59"/>
      <c r="I44" s="28"/>
      <c r="J44" s="28"/>
      <c r="K44" s="59"/>
      <c r="L44" s="28"/>
      <c r="M44" s="59"/>
      <c r="N44" s="28"/>
      <c r="O44" s="28"/>
      <c r="P44" s="59"/>
      <c r="Q44" s="28"/>
      <c r="R44" s="28"/>
      <c r="S44" s="60"/>
      <c r="W44" s="47"/>
      <c r="X44" s="67"/>
      <c r="Y44" s="67"/>
      <c r="Z44" s="67"/>
      <c r="AA44" s="67"/>
    </row>
    <row r="45" spans="1:29" x14ac:dyDescent="0.2">
      <c r="A45" s="62" t="s">
        <v>72</v>
      </c>
      <c r="B45" s="3" t="s">
        <v>73</v>
      </c>
      <c r="C45" s="59">
        <v>141620</v>
      </c>
      <c r="D45" s="28">
        <f t="shared" si="11"/>
        <v>0.1562215606050745</v>
      </c>
      <c r="E45" s="59">
        <v>103414.32656999995</v>
      </c>
      <c r="F45" s="28">
        <f>+E45/$E$20</f>
        <v>0.11484927754669581</v>
      </c>
      <c r="G45" s="28">
        <f>IF(C45=0,"",(E45-C45)/ABS(C45)+1)</f>
        <v>0.73022402605564141</v>
      </c>
      <c r="H45" s="59">
        <v>77238.293479999964</v>
      </c>
      <c r="I45" s="28">
        <f t="shared" si="12"/>
        <v>9.8091603943686045E-2</v>
      </c>
      <c r="J45" s="28">
        <f>IF(H45=0,"",(E45-H45)/ABS(H45))</f>
        <v>0.33889968188872516</v>
      </c>
      <c r="K45" s="59">
        <v>1315325</v>
      </c>
      <c r="L45" s="28">
        <f t="shared" si="5"/>
        <v>0.16482104356190139</v>
      </c>
      <c r="M45" s="59">
        <v>1303120.5594600006</v>
      </c>
      <c r="N45" s="28">
        <f>+M45/$M$20</f>
        <v>0.16536285218188329</v>
      </c>
      <c r="O45" s="28">
        <f>IF(K45=0,"",(M45-K45)/ABS(K45)+1)</f>
        <v>0.99072134982608906</v>
      </c>
      <c r="P45" s="59">
        <v>1083058.52847</v>
      </c>
      <c r="Q45" s="28">
        <f t="shared" si="8"/>
        <v>0.1555751223809031</v>
      </c>
      <c r="R45" s="28">
        <f>IF(P45=0,"",(M45-P45)/ABS(P45))</f>
        <v>0.20318572376774016</v>
      </c>
      <c r="S45" s="60"/>
      <c r="X45" s="67"/>
      <c r="Y45" s="67"/>
      <c r="Z45" s="67"/>
      <c r="AA45" s="67"/>
    </row>
    <row r="46" spans="1:29" x14ac:dyDescent="0.2">
      <c r="A46" s="69"/>
      <c r="B46" s="3" t="s">
        <v>20</v>
      </c>
      <c r="C46" s="59">
        <v>387373</v>
      </c>
      <c r="D46" s="28">
        <f t="shared" si="11"/>
        <v>0.42731262954575289</v>
      </c>
      <c r="E46" s="59">
        <v>370257.897</v>
      </c>
      <c r="F46" s="28">
        <f>+E46/$E$20</f>
        <v>0.41119884823332492</v>
      </c>
      <c r="G46" s="28">
        <f>IF(C46=0,"",(E46-C46)/ABS(C46)+1)</f>
        <v>0.95581751180386865</v>
      </c>
      <c r="H46" s="59">
        <v>313794.61599999998</v>
      </c>
      <c r="I46" s="28">
        <f t="shared" si="12"/>
        <v>0.39851498273072744</v>
      </c>
      <c r="J46" s="28">
        <f>IF(H46=0,"",(E46-H46)/ABS(H46))</f>
        <v>0.17993706112535729</v>
      </c>
      <c r="K46" s="59">
        <v>3278780</v>
      </c>
      <c r="L46" s="28">
        <f t="shared" si="5"/>
        <v>0.41085810823172297</v>
      </c>
      <c r="M46" s="59">
        <v>3143761.091</v>
      </c>
      <c r="N46" s="28">
        <f>+M46/$M$20</f>
        <v>0.39893569080178903</v>
      </c>
      <c r="O46" s="28">
        <f>IF(K46=0,"",(M46-K46)/ABS(K46)+1)</f>
        <v>0.95882038166635153</v>
      </c>
      <c r="P46" s="59">
        <v>2862971.6910000001</v>
      </c>
      <c r="Q46" s="28">
        <f t="shared" si="8"/>
        <v>0.41124940111001912</v>
      </c>
      <c r="R46" s="28">
        <f>IF(P46=0,"",(M46-P46)/ABS(P46))</f>
        <v>9.8076205532414362E-2</v>
      </c>
      <c r="S46" s="60"/>
      <c r="X46" s="67"/>
      <c r="Y46" s="67"/>
      <c r="Z46" s="67"/>
      <c r="AA46" s="67"/>
    </row>
    <row r="47" spans="1:29" x14ac:dyDescent="0.2">
      <c r="B47" s="3" t="s">
        <v>71</v>
      </c>
      <c r="C47" s="59"/>
      <c r="J47" s="59"/>
      <c r="K47" s="59"/>
      <c r="L47" s="59"/>
      <c r="M47" s="59"/>
      <c r="N47" s="59"/>
      <c r="O47" s="59"/>
      <c r="P47" s="59"/>
      <c r="Q47" s="59"/>
      <c r="S47" s="60"/>
      <c r="X47" s="67"/>
      <c r="Y47" s="67"/>
      <c r="Z47" s="67"/>
      <c r="AA47" s="67"/>
    </row>
    <row r="48" spans="1:29" x14ac:dyDescent="0.2"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S48" s="60"/>
      <c r="X48" s="67"/>
      <c r="Y48" s="67"/>
      <c r="Z48" s="67"/>
      <c r="AA48" s="67"/>
    </row>
    <row r="49" spans="1:27" x14ac:dyDescent="0.2"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X49" s="67"/>
      <c r="Y49" s="67"/>
      <c r="Z49" s="67"/>
      <c r="AA49" s="67"/>
    </row>
    <row r="50" spans="1:27" x14ac:dyDescent="0.2"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</row>
    <row r="51" spans="1:27" x14ac:dyDescent="0.2"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</row>
    <row r="52" spans="1:27" x14ac:dyDescent="0.2"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</row>
    <row r="53" spans="1:27" x14ac:dyDescent="0.2"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</row>
    <row r="54" spans="1:27" x14ac:dyDescent="0.2">
      <c r="J54" s="59"/>
      <c r="K54" s="59"/>
      <c r="L54" s="59"/>
      <c r="M54" s="59"/>
      <c r="N54" s="59"/>
      <c r="O54" s="59"/>
      <c r="P54" s="59"/>
      <c r="Q54" s="59"/>
      <c r="R54" s="59"/>
      <c r="S54" s="59"/>
    </row>
    <row r="55" spans="1:27" x14ac:dyDescent="0.2">
      <c r="A55" s="44" t="s">
        <v>74</v>
      </c>
    </row>
    <row r="56" spans="1:27" x14ac:dyDescent="0.2">
      <c r="C56" s="45"/>
    </row>
  </sheetData>
  <conditionalFormatting sqref="D9:D46 AC19:AC28 AC30 AC10:AC11 AC13:AC17 J10:J46 G10:G46">
    <cfRule type="cellIs" dxfId="65" priority="2" operator="lessThan">
      <formula>0</formula>
    </cfRule>
  </conditionalFormatting>
  <conditionalFormatting sqref="R10:R46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8998F-4E58-4805-8ACD-9372003F3628}">
  <sheetPr>
    <tabColor theme="2" tint="-0.249977111117893"/>
  </sheetPr>
  <dimension ref="A1:V48"/>
  <sheetViews>
    <sheetView showGridLines="0" zoomScale="93" zoomScaleNormal="93" workbookViewId="0">
      <selection activeCell="M18" sqref="M18"/>
    </sheetView>
  </sheetViews>
  <sheetFormatPr baseColWidth="10" defaultRowHeight="12.75" x14ac:dyDescent="0.2"/>
  <cols>
    <col min="1" max="1" width="4.140625" style="71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42" customFormat="1" ht="18.75" customHeight="1" x14ac:dyDescent="0.2">
      <c r="A1" s="70"/>
      <c r="B1" s="41"/>
      <c r="S1" s="2"/>
      <c r="T1" s="2"/>
      <c r="U1" s="2"/>
      <c r="V1" s="2"/>
    </row>
    <row r="2" spans="1:22" ht="15.75" customHeight="1" x14ac:dyDescent="0.2"/>
    <row r="3" spans="1:22" ht="18" x14ac:dyDescent="0.25">
      <c r="B3" s="13" t="s">
        <v>75</v>
      </c>
      <c r="T3" s="15"/>
    </row>
    <row r="4" spans="1:22" x14ac:dyDescent="0.2">
      <c r="B4" s="3" t="s">
        <v>76</v>
      </c>
    </row>
    <row r="5" spans="1:22" x14ac:dyDescent="0.2">
      <c r="A5" s="71">
        <f>+Paramet!A3</f>
        <v>202101</v>
      </c>
      <c r="B5" s="3" t="s">
        <v>7</v>
      </c>
    </row>
    <row r="6" spans="1:22" ht="13.5" thickBot="1" x14ac:dyDescent="0.25">
      <c r="A6" s="71">
        <f>+Paramet!A4</f>
        <v>202109</v>
      </c>
      <c r="B6" s="72" t="str">
        <f>+'COLOMB$ '!B6</f>
        <v>SEPTIEMBRE de 2022</v>
      </c>
      <c r="K6" s="18" t="s">
        <v>8</v>
      </c>
      <c r="L6" s="18"/>
      <c r="M6" s="18"/>
      <c r="N6" s="18"/>
      <c r="O6" s="18"/>
      <c r="P6" s="18"/>
      <c r="Q6" s="18"/>
      <c r="R6" s="18"/>
    </row>
    <row r="7" spans="1:22" x14ac:dyDescent="0.2">
      <c r="A7" s="71">
        <f>+Paramet!B3</f>
        <v>202201</v>
      </c>
      <c r="B7" s="3"/>
      <c r="C7" s="46" t="str">
        <f>+'COLOMB$ '!D7:D7</f>
        <v>Ppto 2022</v>
      </c>
      <c r="D7" s="46"/>
      <c r="E7" s="46" t="str">
        <f>+'COLOMB$ '!F7:F7</f>
        <v>Real 2022</v>
      </c>
      <c r="F7" s="46"/>
      <c r="G7" s="42" t="s">
        <v>9</v>
      </c>
      <c r="H7" s="46" t="str">
        <f>+'COLOMB$ '!I7:I7</f>
        <v>Real 2021</v>
      </c>
      <c r="I7" s="46"/>
      <c r="J7" s="42" t="s">
        <v>10</v>
      </c>
      <c r="K7" s="46" t="str">
        <f>+C7</f>
        <v>Ppto 2022</v>
      </c>
      <c r="L7" s="46"/>
      <c r="M7" s="46" t="str">
        <f>+E7</f>
        <v>Real 2022</v>
      </c>
      <c r="N7" s="46"/>
      <c r="O7" s="42" t="s">
        <v>9</v>
      </c>
      <c r="P7" s="2" t="str">
        <f>+H7</f>
        <v>Real 2021</v>
      </c>
      <c r="R7" s="42" t="s">
        <v>10</v>
      </c>
    </row>
    <row r="8" spans="1:22" ht="13.5" thickBot="1" x14ac:dyDescent="0.25">
      <c r="A8" s="71">
        <f>+Paramet!B4</f>
        <v>202209</v>
      </c>
      <c r="B8" s="24" t="s">
        <v>12</v>
      </c>
      <c r="C8" s="25" t="s">
        <v>13</v>
      </c>
      <c r="D8" s="25" t="s">
        <v>14</v>
      </c>
      <c r="E8" s="25" t="s">
        <v>13</v>
      </c>
      <c r="F8" s="25" t="s">
        <v>14</v>
      </c>
      <c r="G8" s="25" t="s">
        <v>15</v>
      </c>
      <c r="H8" s="25" t="s">
        <v>13</v>
      </c>
      <c r="I8" s="25" t="s">
        <v>14</v>
      </c>
      <c r="J8" s="25" t="s">
        <v>15</v>
      </c>
      <c r="K8" s="25" t="s">
        <v>13</v>
      </c>
      <c r="L8" s="25" t="s">
        <v>14</v>
      </c>
      <c r="M8" s="25" t="s">
        <v>13</v>
      </c>
      <c r="N8" s="25" t="s">
        <v>14</v>
      </c>
      <c r="O8" s="25" t="s">
        <v>15</v>
      </c>
      <c r="P8" s="25" t="s">
        <v>13</v>
      </c>
      <c r="Q8" s="25" t="s">
        <v>14</v>
      </c>
      <c r="R8" s="25" t="s">
        <v>15</v>
      </c>
    </row>
    <row r="9" spans="1:22" ht="15.75" customHeight="1" x14ac:dyDescent="0.2">
      <c r="A9" s="73" t="s">
        <v>77</v>
      </c>
    </row>
    <row r="10" spans="1:22" x14ac:dyDescent="0.2">
      <c r="B10" s="3" t="str">
        <f>+'COLOMB$ '!B10</f>
        <v>Musical Experience  (Ambiental)</v>
      </c>
      <c r="C10" s="59">
        <v>0</v>
      </c>
      <c r="D10" s="61">
        <f t="shared" ref="D10:D18" si="0">+C10/$C$20</f>
        <v>0</v>
      </c>
      <c r="E10" s="59"/>
      <c r="F10" s="61">
        <f t="shared" ref="F10:F20" si="1">IF($E$20=0,0,E10/$E$20)</f>
        <v>0</v>
      </c>
      <c r="G10" s="61" t="str">
        <f t="shared" ref="G10:G17" si="2">IF(C10=0,"",(E10-C10)/ABS(C10)+1)</f>
        <v/>
      </c>
      <c r="H10" s="59"/>
      <c r="I10" s="61" t="e">
        <f t="shared" ref="I10:I16" si="3">+H10/$H$20</f>
        <v>#DIV/0!</v>
      </c>
      <c r="J10" s="61" t="str">
        <f t="shared" ref="J10:J46" si="4">IF(H10&lt;=0,"",(E10-H10)/ABS(H10))</f>
        <v/>
      </c>
      <c r="K10" s="59"/>
      <c r="L10" s="61">
        <f t="shared" ref="L10:L20" si="5">+K10/$K$20</f>
        <v>0</v>
      </c>
      <c r="M10" s="59">
        <v>0</v>
      </c>
      <c r="N10" s="61">
        <f t="shared" ref="N10:N20" si="6">IF($M$20=0,0,M10/$M$20)</f>
        <v>0</v>
      </c>
      <c r="O10" s="61" t="str">
        <f t="shared" ref="O10:O17" si="7">IF(K10=0,"",(M10-K10)/ABS(K10)+1)</f>
        <v/>
      </c>
      <c r="P10" s="59"/>
      <c r="Q10" s="61">
        <f t="shared" ref="Q10:Q17" si="8">+P10/$P$20</f>
        <v>0</v>
      </c>
      <c r="R10" s="28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59">
        <v>0</v>
      </c>
      <c r="D11" s="61">
        <f t="shared" si="0"/>
        <v>0</v>
      </c>
      <c r="E11" s="59"/>
      <c r="F11" s="61">
        <f t="shared" si="1"/>
        <v>0</v>
      </c>
      <c r="G11" s="61" t="str">
        <f t="shared" si="2"/>
        <v/>
      </c>
      <c r="H11" s="59"/>
      <c r="I11" s="61" t="e">
        <f t="shared" si="3"/>
        <v>#DIV/0!</v>
      </c>
      <c r="J11" s="61" t="str">
        <f t="shared" si="4"/>
        <v/>
      </c>
      <c r="K11" s="59"/>
      <c r="L11" s="61">
        <f t="shared" si="5"/>
        <v>0</v>
      </c>
      <c r="M11" s="59">
        <v>50.42</v>
      </c>
      <c r="N11" s="61">
        <f t="shared" si="6"/>
        <v>0.11111086625486744</v>
      </c>
      <c r="O11" s="61" t="str">
        <f t="shared" si="7"/>
        <v/>
      </c>
      <c r="P11" s="59"/>
      <c r="Q11" s="61">
        <f t="shared" si="8"/>
        <v>0</v>
      </c>
      <c r="R11" s="28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59">
        <v>0</v>
      </c>
      <c r="D12" s="61">
        <f t="shared" si="0"/>
        <v>0</v>
      </c>
      <c r="E12" s="59"/>
      <c r="F12" s="61">
        <f t="shared" si="1"/>
        <v>0</v>
      </c>
      <c r="G12" s="61" t="str">
        <f t="shared" si="2"/>
        <v/>
      </c>
      <c r="H12" s="59"/>
      <c r="I12" s="61" t="e">
        <f t="shared" si="3"/>
        <v>#DIV/0!</v>
      </c>
      <c r="J12" s="61" t="str">
        <f t="shared" si="4"/>
        <v/>
      </c>
      <c r="K12" s="59"/>
      <c r="L12" s="61">
        <f t="shared" si="5"/>
        <v>0</v>
      </c>
      <c r="M12" s="59">
        <v>0</v>
      </c>
      <c r="N12" s="61">
        <f t="shared" si="6"/>
        <v>0</v>
      </c>
      <c r="O12" s="61" t="str">
        <f t="shared" si="7"/>
        <v/>
      </c>
      <c r="P12" s="59">
        <f>+H12+T13</f>
        <v>0</v>
      </c>
      <c r="Q12" s="61">
        <f t="shared" si="8"/>
        <v>0</v>
      </c>
      <c r="R12" s="28" t="str">
        <f t="shared" si="9"/>
        <v/>
      </c>
    </row>
    <row r="13" spans="1:22" x14ac:dyDescent="0.2">
      <c r="B13" s="3" t="str">
        <f>+'COLOMB$ '!B13</f>
        <v>Service &amp; Equipment Experience</v>
      </c>
      <c r="C13" s="59">
        <v>1456</v>
      </c>
      <c r="D13" s="61">
        <f t="shared" si="0"/>
        <v>1</v>
      </c>
      <c r="E13" s="59">
        <v>0</v>
      </c>
      <c r="F13" s="61">
        <f t="shared" si="1"/>
        <v>0</v>
      </c>
      <c r="G13" s="61">
        <f t="shared" si="2"/>
        <v>0</v>
      </c>
      <c r="H13" s="59">
        <v>0</v>
      </c>
      <c r="I13" s="61" t="e">
        <f t="shared" si="3"/>
        <v>#DIV/0!</v>
      </c>
      <c r="J13" s="61" t="str">
        <f t="shared" si="4"/>
        <v/>
      </c>
      <c r="K13" s="59">
        <v>13464</v>
      </c>
      <c r="L13" s="61">
        <f t="shared" si="5"/>
        <v>1</v>
      </c>
      <c r="M13" s="59">
        <v>403.36099999999999</v>
      </c>
      <c r="N13" s="61">
        <f t="shared" si="6"/>
        <v>0.88888913374513256</v>
      </c>
      <c r="O13" s="61">
        <f t="shared" si="7"/>
        <v>2.995848187759953E-2</v>
      </c>
      <c r="P13" s="59">
        <v>15020.441000000001</v>
      </c>
      <c r="Q13" s="61">
        <f t="shared" si="8"/>
        <v>1</v>
      </c>
      <c r="R13" s="28">
        <f t="shared" si="9"/>
        <v>-0.97314586169607131</v>
      </c>
    </row>
    <row r="14" spans="1:22" x14ac:dyDescent="0.2">
      <c r="B14" s="3" t="str">
        <f>+'COLOMB$ '!B14</f>
        <v>POP Satelital</v>
      </c>
      <c r="C14" s="59">
        <v>0</v>
      </c>
      <c r="D14" s="61">
        <f t="shared" si="0"/>
        <v>0</v>
      </c>
      <c r="E14" s="59"/>
      <c r="F14" s="61">
        <f t="shared" si="1"/>
        <v>0</v>
      </c>
      <c r="G14" s="61" t="str">
        <f t="shared" si="2"/>
        <v/>
      </c>
      <c r="H14" s="59"/>
      <c r="I14" s="61" t="e">
        <f t="shared" si="3"/>
        <v>#DIV/0!</v>
      </c>
      <c r="J14" s="61" t="str">
        <f t="shared" si="4"/>
        <v/>
      </c>
      <c r="K14" s="59"/>
      <c r="L14" s="61">
        <f t="shared" si="5"/>
        <v>0</v>
      </c>
      <c r="M14" s="59">
        <v>0</v>
      </c>
      <c r="N14" s="61">
        <f t="shared" si="6"/>
        <v>0</v>
      </c>
      <c r="O14" s="61" t="str">
        <f t="shared" si="7"/>
        <v/>
      </c>
      <c r="P14" s="59">
        <f>+H14+T15</f>
        <v>0</v>
      </c>
      <c r="Q14" s="61">
        <f t="shared" si="8"/>
        <v>0</v>
      </c>
      <c r="R14" s="28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59">
        <v>0</v>
      </c>
      <c r="D15" s="61">
        <f t="shared" si="0"/>
        <v>0</v>
      </c>
      <c r="E15" s="59"/>
      <c r="F15" s="61">
        <f t="shared" si="1"/>
        <v>0</v>
      </c>
      <c r="G15" s="61" t="str">
        <f t="shared" si="2"/>
        <v/>
      </c>
      <c r="H15" s="59"/>
      <c r="I15" s="61" t="e">
        <f t="shared" si="3"/>
        <v>#DIV/0!</v>
      </c>
      <c r="J15" s="61" t="str">
        <f t="shared" si="4"/>
        <v/>
      </c>
      <c r="K15" s="59"/>
      <c r="L15" s="61">
        <f t="shared" si="5"/>
        <v>0</v>
      </c>
      <c r="M15" s="59">
        <v>0</v>
      </c>
      <c r="N15" s="61">
        <f t="shared" si="6"/>
        <v>0</v>
      </c>
      <c r="O15" s="61" t="str">
        <f t="shared" si="7"/>
        <v/>
      </c>
      <c r="P15" s="59"/>
      <c r="Q15" s="61">
        <f t="shared" si="8"/>
        <v>0</v>
      </c>
      <c r="R15" s="28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59">
        <v>0</v>
      </c>
      <c r="D16" s="61">
        <f t="shared" si="0"/>
        <v>0</v>
      </c>
      <c r="E16" s="59"/>
      <c r="F16" s="61">
        <f t="shared" si="1"/>
        <v>0</v>
      </c>
      <c r="G16" s="61" t="str">
        <f t="shared" si="2"/>
        <v/>
      </c>
      <c r="H16" s="59"/>
      <c r="I16" s="61" t="e">
        <f t="shared" si="3"/>
        <v>#DIV/0!</v>
      </c>
      <c r="J16" s="61" t="str">
        <f t="shared" si="4"/>
        <v/>
      </c>
      <c r="K16" s="59"/>
      <c r="L16" s="61">
        <f t="shared" si="5"/>
        <v>0</v>
      </c>
      <c r="M16" s="59">
        <v>0</v>
      </c>
      <c r="N16" s="61">
        <f t="shared" si="6"/>
        <v>0</v>
      </c>
      <c r="O16" s="61" t="str">
        <f t="shared" si="7"/>
        <v/>
      </c>
      <c r="P16" s="59"/>
      <c r="Q16" s="61">
        <f t="shared" si="8"/>
        <v>0</v>
      </c>
      <c r="R16" s="28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59">
        <v>0</v>
      </c>
      <c r="D17" s="61">
        <f t="shared" si="0"/>
        <v>0</v>
      </c>
      <c r="E17" s="59"/>
      <c r="F17" s="61">
        <f t="shared" si="1"/>
        <v>0</v>
      </c>
      <c r="G17" s="61" t="str">
        <f t="shared" si="2"/>
        <v/>
      </c>
      <c r="H17" s="59">
        <v>0</v>
      </c>
      <c r="I17" s="61"/>
      <c r="J17" s="61" t="str">
        <f t="shared" si="4"/>
        <v/>
      </c>
      <c r="K17" s="59"/>
      <c r="L17" s="61">
        <f t="shared" si="5"/>
        <v>0</v>
      </c>
      <c r="M17" s="59">
        <v>0</v>
      </c>
      <c r="N17" s="61">
        <f t="shared" si="6"/>
        <v>0</v>
      </c>
      <c r="O17" s="61" t="str">
        <f t="shared" si="7"/>
        <v/>
      </c>
      <c r="P17" s="59"/>
      <c r="Q17" s="61">
        <f t="shared" si="8"/>
        <v>0</v>
      </c>
      <c r="R17" s="28" t="str">
        <f t="shared" si="9"/>
        <v/>
      </c>
    </row>
    <row r="18" spans="2:21" x14ac:dyDescent="0.2">
      <c r="B18" s="3" t="str">
        <f>+'COLOMB$ '!B18</f>
        <v>Olfa Experience</v>
      </c>
      <c r="C18" s="59">
        <v>0</v>
      </c>
      <c r="D18" s="61">
        <f t="shared" si="0"/>
        <v>0</v>
      </c>
      <c r="E18" s="59"/>
      <c r="F18" s="61">
        <f t="shared" si="1"/>
        <v>0</v>
      </c>
      <c r="G18" s="61"/>
      <c r="H18" s="59"/>
      <c r="I18" s="61"/>
      <c r="J18" s="61" t="str">
        <f t="shared" si="4"/>
        <v/>
      </c>
      <c r="K18" s="59">
        <v>0</v>
      </c>
      <c r="L18" s="61">
        <f t="shared" si="5"/>
        <v>0</v>
      </c>
      <c r="M18" s="59">
        <v>284.11799999999999</v>
      </c>
      <c r="N18" s="61">
        <f t="shared" si="6"/>
        <v>0.62611259616422898</v>
      </c>
      <c r="O18" s="61"/>
      <c r="P18" s="59"/>
      <c r="Q18" s="61"/>
      <c r="R18" s="28" t="str">
        <f t="shared" si="9"/>
        <v/>
      </c>
    </row>
    <row r="19" spans="2:21" x14ac:dyDescent="0.2">
      <c r="B19" s="3" t="str">
        <f>+'COLOMB$ '!B19</f>
        <v>Locutor virtual</v>
      </c>
      <c r="C19" s="59"/>
      <c r="D19" s="61"/>
      <c r="E19" s="59"/>
      <c r="F19" s="61">
        <f t="shared" si="1"/>
        <v>0</v>
      </c>
      <c r="G19" s="61"/>
      <c r="H19" s="59"/>
      <c r="I19" s="61"/>
      <c r="J19" s="61" t="str">
        <f t="shared" si="4"/>
        <v/>
      </c>
      <c r="K19" s="59"/>
      <c r="L19" s="61">
        <f t="shared" si="5"/>
        <v>0</v>
      </c>
      <c r="M19" s="59"/>
      <c r="N19" s="61">
        <f t="shared" si="6"/>
        <v>0</v>
      </c>
      <c r="O19" s="61"/>
      <c r="P19" s="59"/>
      <c r="Q19" s="61"/>
      <c r="R19" s="28" t="str">
        <f t="shared" si="9"/>
        <v/>
      </c>
    </row>
    <row r="20" spans="2:21" x14ac:dyDescent="0.2">
      <c r="B20" s="17" t="s">
        <v>24</v>
      </c>
      <c r="C20" s="63">
        <f>SUM(C10:C19)</f>
        <v>1456</v>
      </c>
      <c r="D20" s="66">
        <f>+C20/$C$20</f>
        <v>1</v>
      </c>
      <c r="E20" s="63">
        <f>SUM(E10:E17)</f>
        <v>0</v>
      </c>
      <c r="F20" s="66">
        <f t="shared" si="1"/>
        <v>0</v>
      </c>
      <c r="G20" s="66">
        <f>IF(C20=0,"",(E20-C20)/ABS(C20)+1)</f>
        <v>0</v>
      </c>
      <c r="H20" s="63">
        <f>SUM(H10:H19)</f>
        <v>0</v>
      </c>
      <c r="I20" s="66">
        <f>+H22/$H$22</f>
        <v>1</v>
      </c>
      <c r="J20" s="61" t="str">
        <f t="shared" si="4"/>
        <v/>
      </c>
      <c r="K20" s="63">
        <f>SUM(K10:K19)</f>
        <v>13464</v>
      </c>
      <c r="L20" s="66">
        <f t="shared" si="5"/>
        <v>1</v>
      </c>
      <c r="M20" s="63">
        <f>SUM(M10:M17)</f>
        <v>453.78100000000001</v>
      </c>
      <c r="N20" s="61">
        <f t="shared" si="6"/>
        <v>1</v>
      </c>
      <c r="O20" s="66">
        <f>IF(K20=0,"",(M20-K20)/ABS(K20)+1)</f>
        <v>3.3703282828282943E-2</v>
      </c>
      <c r="P20" s="63">
        <f>SUM(P10:P17)</f>
        <v>15020.441000000001</v>
      </c>
      <c r="Q20" s="66">
        <f>+P20/$P$20</f>
        <v>1</v>
      </c>
      <c r="R20" s="28">
        <f t="shared" si="9"/>
        <v>-0.9697891027300729</v>
      </c>
    </row>
    <row r="21" spans="2:21" x14ac:dyDescent="0.2">
      <c r="J21" s="61" t="str">
        <f t="shared" si="4"/>
        <v/>
      </c>
      <c r="R21" s="28" t="str">
        <f t="shared" si="9"/>
        <v/>
      </c>
      <c r="S21" s="72"/>
      <c r="T21" s="74"/>
      <c r="U21" s="74"/>
    </row>
    <row r="22" spans="2:21" x14ac:dyDescent="0.2">
      <c r="B22" s="3" t="s">
        <v>26</v>
      </c>
      <c r="C22" s="59">
        <v>2306</v>
      </c>
      <c r="D22" s="61">
        <f>+C22/$C$20</f>
        <v>1.5837912087912087</v>
      </c>
      <c r="E22" s="59">
        <v>0</v>
      </c>
      <c r="F22" s="61">
        <f>IF($E$20=0,0,E22/$E$20)</f>
        <v>0</v>
      </c>
      <c r="G22" s="61">
        <f>IF(C22=0,"",(E22-C22)/ABS(C22)+1)</f>
        <v>0</v>
      </c>
      <c r="H22" s="59">
        <v>5481.2309999999998</v>
      </c>
      <c r="I22" s="61" t="e">
        <f>+H22/$H$20</f>
        <v>#DIV/0!</v>
      </c>
      <c r="J22" s="61">
        <f t="shared" si="4"/>
        <v>-1</v>
      </c>
      <c r="K22" s="59">
        <v>21328</v>
      </c>
      <c r="L22" s="61">
        <f>+K22/$K$20</f>
        <v>1.58407605466429</v>
      </c>
      <c r="M22" s="59">
        <v>317.55900000000003</v>
      </c>
      <c r="N22" s="61">
        <f>IF($M$20=0,0,M22/$M$20)</f>
        <v>0.69980673496686729</v>
      </c>
      <c r="O22" s="61">
        <f>IF(K22=0,"",(M22-K22)/ABS(K22)+1)</f>
        <v>1.4889300450112608E-2</v>
      </c>
      <c r="P22" s="55">
        <v>11495.008</v>
      </c>
      <c r="Q22" s="61"/>
      <c r="R22" s="28">
        <f t="shared" si="9"/>
        <v>-0.97237418190574554</v>
      </c>
    </row>
    <row r="23" spans="2:21" x14ac:dyDescent="0.2">
      <c r="J23" s="61" t="str">
        <f t="shared" si="4"/>
        <v/>
      </c>
      <c r="R23" s="28" t="str">
        <f t="shared" si="9"/>
        <v/>
      </c>
      <c r="T23" s="45"/>
      <c r="U23" s="45"/>
    </row>
    <row r="24" spans="2:21" x14ac:dyDescent="0.2">
      <c r="B24" s="3" t="s">
        <v>28</v>
      </c>
      <c r="C24" s="59">
        <f>+C20-C22</f>
        <v>-850</v>
      </c>
      <c r="D24" s="61">
        <f>+C24/$C$20</f>
        <v>-0.58379120879120883</v>
      </c>
      <c r="E24" s="59">
        <f>+E20-E22</f>
        <v>0</v>
      </c>
      <c r="F24" s="61">
        <f>IF($E$20=0,0,E24/$E$20)</f>
        <v>0</v>
      </c>
      <c r="G24" s="61">
        <f>IF(C24=0,"",(E24-C24)/ABS(C24)+1)</f>
        <v>2</v>
      </c>
      <c r="H24" s="59">
        <f>+H20-H22</f>
        <v>-5481.2309999999998</v>
      </c>
      <c r="I24" s="61" t="e">
        <f>+H24/$H$20</f>
        <v>#DIV/0!</v>
      </c>
      <c r="J24" s="61" t="str">
        <f t="shared" si="4"/>
        <v/>
      </c>
      <c r="K24" s="59">
        <f>+K20-K22</f>
        <v>-7864</v>
      </c>
      <c r="L24" s="61">
        <f>+K24/$K$20</f>
        <v>-0.58407605466428991</v>
      </c>
      <c r="M24" s="59">
        <f>+M20-M22</f>
        <v>136.22199999999998</v>
      </c>
      <c r="N24" s="61">
        <f>IF($M$20=0,0,M24/$M$20)</f>
        <v>0.30019326503313265</v>
      </c>
      <c r="O24" s="61">
        <f>IF(K24=0,"",(M24-K24)/ABS(K24)+1)</f>
        <v>2.0173222278738558</v>
      </c>
      <c r="P24" s="59">
        <f>+P20-P22</f>
        <v>3525.4330000000009</v>
      </c>
      <c r="Q24" s="61">
        <f>+P24/$P$20</f>
        <v>0.23470902086030634</v>
      </c>
      <c r="R24" s="28">
        <f t="shared" si="9"/>
        <v>-0.96136020738445471</v>
      </c>
    </row>
    <row r="25" spans="2:21" x14ac:dyDescent="0.2">
      <c r="J25" s="61" t="str">
        <f t="shared" si="4"/>
        <v/>
      </c>
      <c r="R25" s="28" t="str">
        <f t="shared" si="9"/>
        <v/>
      </c>
      <c r="T25" s="45"/>
      <c r="U25" s="45"/>
    </row>
    <row r="26" spans="2:21" x14ac:dyDescent="0.2">
      <c r="B26" s="3" t="s">
        <v>30</v>
      </c>
      <c r="C26" s="59">
        <v>7</v>
      </c>
      <c r="D26" s="61">
        <f>+C26/$C$20</f>
        <v>4.807692307692308E-3</v>
      </c>
      <c r="E26" s="59">
        <v>323.79300000000001</v>
      </c>
      <c r="F26" s="61">
        <f>IF($E$20=0,0,E26/$E$20)</f>
        <v>0</v>
      </c>
      <c r="G26" s="61">
        <f>IF(C26=0,"",(E26-C26)/ABS(C26)+1)</f>
        <v>46.256142857142855</v>
      </c>
      <c r="H26" s="59">
        <v>2835.3152</v>
      </c>
      <c r="I26" s="61" t="e">
        <f>+H26/$H$20</f>
        <v>#DIV/0!</v>
      </c>
      <c r="J26" s="61">
        <f t="shared" si="4"/>
        <v>-0.8857999985327909</v>
      </c>
      <c r="K26" s="59">
        <v>61</v>
      </c>
      <c r="L26" s="61">
        <f>+K26/$K$20</f>
        <v>4.5306001188354129E-3</v>
      </c>
      <c r="M26" s="59">
        <v>20645.002690000001</v>
      </c>
      <c r="N26" s="61">
        <f>IF($M$20=0,0,M26/$M$20)</f>
        <v>45.495520284013658</v>
      </c>
      <c r="O26" s="61">
        <f>IF(K26=0,"",(M26-K26)/ABS(K26)+1)</f>
        <v>338.44266704918033</v>
      </c>
      <c r="P26" s="59">
        <v>24635.28729</v>
      </c>
      <c r="Q26" s="61">
        <f>+P26/$P$20</f>
        <v>1.6401174432894479</v>
      </c>
      <c r="R26" s="28">
        <f t="shared" si="9"/>
        <v>-0.16197434813840156</v>
      </c>
    </row>
    <row r="27" spans="2:21" x14ac:dyDescent="0.2">
      <c r="B27" s="3" t="s">
        <v>31</v>
      </c>
      <c r="C27" s="59">
        <v>0</v>
      </c>
      <c r="D27" s="61">
        <f>+C27/$C$20</f>
        <v>0</v>
      </c>
      <c r="E27" s="59">
        <v>0</v>
      </c>
      <c r="F27" s="61">
        <f>IF($E$20=0,0,E27/$E$20)</f>
        <v>0</v>
      </c>
      <c r="G27" s="61" t="str">
        <f>IF(C27=0,"",(E27-C27)/ABS(C27)+1)</f>
        <v/>
      </c>
      <c r="H27" s="59">
        <v>922.846</v>
      </c>
      <c r="I27" s="61" t="e">
        <f>+H27/$H$20</f>
        <v>#DIV/0!</v>
      </c>
      <c r="J27" s="61">
        <f t="shared" si="4"/>
        <v>-1</v>
      </c>
      <c r="K27" s="59">
        <v>0</v>
      </c>
      <c r="L27" s="61">
        <f>+K27/$K$20</f>
        <v>0</v>
      </c>
      <c r="M27" s="59">
        <v>1427.9319699999999</v>
      </c>
      <c r="N27" s="61">
        <f>IF($M$20=0,0,M27/$M$20)</f>
        <v>3.1467425255795192</v>
      </c>
      <c r="O27" s="61" t="str">
        <f>IF(K27=0,"",(M27-K27)/ABS(K27)+1)</f>
        <v/>
      </c>
      <c r="P27" s="59">
        <v>1316.846</v>
      </c>
      <c r="Q27" s="61">
        <f>+P27/$P$20</f>
        <v>8.7670262144766586E-2</v>
      </c>
      <c r="R27" s="28">
        <f t="shared" si="9"/>
        <v>8.4357601420363401E-2</v>
      </c>
      <c r="S27" s="45"/>
      <c r="T27" s="45"/>
      <c r="U27" s="45"/>
    </row>
    <row r="28" spans="2:21" x14ac:dyDescent="0.2">
      <c r="B28" s="3" t="s">
        <v>33</v>
      </c>
      <c r="C28" s="59">
        <f>SUM(C26:C27)</f>
        <v>7</v>
      </c>
      <c r="D28" s="61">
        <f>+C28/$C$20</f>
        <v>4.807692307692308E-3</v>
      </c>
      <c r="E28" s="59">
        <f>SUM(E26:E27)</f>
        <v>323.79300000000001</v>
      </c>
      <c r="F28" s="61">
        <f>IF($E$20=0,0,E28/$E$20)</f>
        <v>0</v>
      </c>
      <c r="G28" s="61">
        <f>IF(C28=0,"",(E28-C28)/ABS(C28)+1)</f>
        <v>46.256142857142855</v>
      </c>
      <c r="H28" s="59">
        <f>SUM(H26:H27)</f>
        <v>3758.1612</v>
      </c>
      <c r="I28" s="61" t="e">
        <f>+H28/$H$20</f>
        <v>#DIV/0!</v>
      </c>
      <c r="J28" s="61">
        <f t="shared" si="4"/>
        <v>-0.913842705842421</v>
      </c>
      <c r="K28" s="59">
        <f>SUM(K26:K27)</f>
        <v>61</v>
      </c>
      <c r="L28" s="61">
        <f>+K28/$K$20</f>
        <v>4.5306001188354129E-3</v>
      </c>
      <c r="M28" s="59">
        <f>SUM(M26:M27)</f>
        <v>22072.934660000003</v>
      </c>
      <c r="N28" s="61">
        <f>IF($M$20=0,0,M28/$M$20)</f>
        <v>48.642262809593177</v>
      </c>
      <c r="O28" s="61">
        <f>IF(K28=0,"",(M28-K28)/ABS(K28)+1)</f>
        <v>361.8513878688525</v>
      </c>
      <c r="P28" s="59">
        <f>SUM(P26:P27)</f>
        <v>25952.133290000002</v>
      </c>
      <c r="Q28" s="61">
        <f>+P28/$P$20</f>
        <v>1.7277877054342146</v>
      </c>
      <c r="R28" s="28">
        <f t="shared" si="9"/>
        <v>-0.14947513511325677</v>
      </c>
      <c r="S28" s="45"/>
      <c r="T28" s="45"/>
      <c r="U28" s="45"/>
    </row>
    <row r="29" spans="2:21" x14ac:dyDescent="0.2">
      <c r="J29" s="61" t="str">
        <f t="shared" si="4"/>
        <v/>
      </c>
      <c r="R29" s="28" t="str">
        <f t="shared" si="9"/>
        <v/>
      </c>
      <c r="S29" s="45"/>
      <c r="T29" s="45"/>
      <c r="U29" s="45"/>
    </row>
    <row r="30" spans="2:21" x14ac:dyDescent="0.2">
      <c r="B30" s="3" t="s">
        <v>35</v>
      </c>
      <c r="C30" s="59">
        <v>0</v>
      </c>
      <c r="D30" s="61">
        <f>+C30/$C$20</f>
        <v>0</v>
      </c>
      <c r="E30" s="59">
        <v>586.92600000000004</v>
      </c>
      <c r="F30" s="61">
        <f>IF($E$20=0,0,E30/$E$20)</f>
        <v>0</v>
      </c>
      <c r="G30" s="61" t="str">
        <f>IF(C30=0,"",(E30-C30)/ABS(C30)+1)</f>
        <v/>
      </c>
      <c r="H30" s="59">
        <v>1115.0654199999999</v>
      </c>
      <c r="I30" s="61"/>
      <c r="J30" s="61">
        <f t="shared" si="4"/>
        <v>-0.47363985155238686</v>
      </c>
      <c r="K30" s="59">
        <v>0</v>
      </c>
      <c r="L30" s="61">
        <f>+K30/$K$20</f>
        <v>0</v>
      </c>
      <c r="M30" s="59">
        <v>6642.53971</v>
      </c>
      <c r="N30" s="61">
        <f>IF($M$20=0,0,M30/$M$20)</f>
        <v>14.638205896677031</v>
      </c>
      <c r="O30" s="61" t="str">
        <f>IF(K30=0,"",(M30-K30)/ABS(K30)+1)</f>
        <v/>
      </c>
      <c r="P30" s="59">
        <v>10035.58905</v>
      </c>
      <c r="Q30" s="61">
        <f>+P30/$P$20</f>
        <v>0.66812878862877589</v>
      </c>
      <c r="R30" s="28">
        <f t="shared" si="9"/>
        <v>-0.33810166230351973</v>
      </c>
    </row>
    <row r="31" spans="2:21" x14ac:dyDescent="0.2">
      <c r="B31" s="3" t="s">
        <v>37</v>
      </c>
      <c r="C31" s="59"/>
      <c r="D31" s="61"/>
      <c r="E31" s="59">
        <v>0</v>
      </c>
      <c r="F31" s="61">
        <f>IF($E$20=0,0,E31/$E$20)</f>
        <v>0</v>
      </c>
      <c r="G31" s="61" t="str">
        <f>IF(C31=0,"",(E31-C31)/ABS(C31)+1)</f>
        <v/>
      </c>
      <c r="H31" s="59">
        <v>0</v>
      </c>
      <c r="I31" s="61"/>
      <c r="J31" s="61" t="str">
        <f>IF(H31&lt;=0,"",(E31-H31)/ABS(H31))</f>
        <v/>
      </c>
      <c r="K31" s="59">
        <v>0</v>
      </c>
      <c r="L31" s="61">
        <f>+K31/$K$20</f>
        <v>0</v>
      </c>
      <c r="M31" s="59">
        <v>2069.0650000000001</v>
      </c>
      <c r="N31" s="61">
        <f>IF($M$20=0,0,M31/$M$20)</f>
        <v>4.5596113543757895</v>
      </c>
      <c r="O31" s="61" t="str">
        <f>IF(K31=0,"",(M31-K31)/ABS(K31)+1)</f>
        <v/>
      </c>
      <c r="P31" s="59">
        <v>1580.6770200000001</v>
      </c>
      <c r="Q31" s="61">
        <f>+P39/$P$20</f>
        <v>0</v>
      </c>
      <c r="R31" s="28">
        <f>IF(P31&lt;=0,"",(M31-P31)/ABS(P31))</f>
        <v>0.30897392308518534</v>
      </c>
      <c r="S31" s="45"/>
      <c r="T31" s="45"/>
      <c r="U31" s="45"/>
    </row>
    <row r="32" spans="2:21" x14ac:dyDescent="0.2">
      <c r="B32" s="3" t="s">
        <v>38</v>
      </c>
      <c r="C32" s="59">
        <f>SUM(C30:C31)</f>
        <v>0</v>
      </c>
      <c r="D32" s="61">
        <f>+C32/$C$20</f>
        <v>0</v>
      </c>
      <c r="E32" s="59">
        <f>SUM(E30:E31)</f>
        <v>586.92600000000004</v>
      </c>
      <c r="F32" s="61">
        <f>IF($E$20=0,0,E32/$E$20)</f>
        <v>0</v>
      </c>
      <c r="G32" s="61" t="str">
        <f>IF(C32=0,"",(E32-C32)/ABS(C32)+1)</f>
        <v/>
      </c>
      <c r="H32" s="59">
        <f>SUM(H30:H31)</f>
        <v>1115.0654199999999</v>
      </c>
      <c r="I32" s="61" t="e">
        <f>+H32/$H$20</f>
        <v>#DIV/0!</v>
      </c>
      <c r="J32" s="61">
        <f>IF(H32&lt;=0,"",(E32-H32)/ABS(H32))</f>
        <v>-0.47363985155238686</v>
      </c>
      <c r="K32" s="59">
        <f>SUM(K30:K31)</f>
        <v>0</v>
      </c>
      <c r="L32" s="61">
        <f>+K32/$K$20</f>
        <v>0</v>
      </c>
      <c r="M32" s="59">
        <f>SUM(M30:M31)</f>
        <v>8711.6047099999996</v>
      </c>
      <c r="N32" s="61">
        <f>IF($M$20=0,0,M32/$M$20)</f>
        <v>19.197817251052818</v>
      </c>
      <c r="O32" s="61" t="str">
        <f>IF(K32=0,"",(M32-K32)/ABS(K32)+1)</f>
        <v/>
      </c>
      <c r="P32" s="59">
        <f>+P30+P31</f>
        <v>11616.266070000001</v>
      </c>
      <c r="Q32" s="61">
        <f>+P32/$P$20</f>
        <v>0.7733638493037589</v>
      </c>
      <c r="R32" s="28">
        <f>IF(P32&lt;=0,"",(M32-P32)/ABS(P32))</f>
        <v>-0.2500512077199693</v>
      </c>
    </row>
    <row r="33" spans="1:21" x14ac:dyDescent="0.2">
      <c r="S33" s="45"/>
      <c r="T33" s="45"/>
      <c r="U33" s="45"/>
    </row>
    <row r="34" spans="1:21" x14ac:dyDescent="0.2">
      <c r="B34" s="3" t="s">
        <v>39</v>
      </c>
      <c r="C34" s="59">
        <f>C28+C32</f>
        <v>7</v>
      </c>
      <c r="D34" s="61">
        <f>+C34/$C$20</f>
        <v>4.807692307692308E-3</v>
      </c>
      <c r="E34" s="59">
        <f>E28+E32</f>
        <v>910.71900000000005</v>
      </c>
      <c r="F34" s="61">
        <f>IF($E$20=0,0,E34/$E$20)</f>
        <v>0</v>
      </c>
      <c r="G34" s="61">
        <f>IF(C34=0,"",(E34-C34)/ABS(C34)+1)</f>
        <v>130.10271428571428</v>
      </c>
      <c r="H34" s="59">
        <f>+H32+H28</f>
        <v>4873.2266199999995</v>
      </c>
      <c r="I34" s="61" t="e">
        <f>+H34/$H$20</f>
        <v>#DIV/0!</v>
      </c>
      <c r="J34" s="61">
        <f>IF(H34&lt;=0,"",(E34-H34)/ABS(H34))</f>
        <v>-0.8131178639913117</v>
      </c>
      <c r="K34" s="59">
        <f>K28+K32</f>
        <v>61</v>
      </c>
      <c r="L34" s="61">
        <f>+K34/$K$20</f>
        <v>4.5306001188354129E-3</v>
      </c>
      <c r="M34" s="59">
        <f>M28+M32</f>
        <v>30784.539370000002</v>
      </c>
      <c r="N34" s="61">
        <f>IF($M$20=0,0,M34/$M$20)</f>
        <v>67.840080060646002</v>
      </c>
      <c r="O34" s="61">
        <f>IF(K34=0,"",(M34-K34)/ABS(K34)+1)</f>
        <v>504.66457983606563</v>
      </c>
      <c r="P34" s="59">
        <f>P28+P32</f>
        <v>37568.399360000003</v>
      </c>
      <c r="Q34" s="61">
        <f>+P34/$P$20</f>
        <v>2.5011515547379735</v>
      </c>
      <c r="R34" s="28">
        <f>IF(P34&lt;=0,"",(M34-P34)/ABS(P34))</f>
        <v>-0.18057356995685431</v>
      </c>
      <c r="S34" s="45"/>
      <c r="T34" s="45"/>
      <c r="U34" s="45"/>
    </row>
    <row r="35" spans="1:21" x14ac:dyDescent="0.2">
      <c r="J35" s="61" t="str">
        <f t="shared" si="4"/>
        <v/>
      </c>
      <c r="R35" s="28" t="str">
        <f t="shared" si="9"/>
        <v/>
      </c>
      <c r="S35" s="45"/>
      <c r="T35" s="45"/>
      <c r="U35" s="45"/>
    </row>
    <row r="36" spans="1:21" x14ac:dyDescent="0.2">
      <c r="B36" s="17" t="s">
        <v>40</v>
      </c>
      <c r="C36" s="63">
        <f>C24-C34</f>
        <v>-857</v>
      </c>
      <c r="D36" s="66">
        <f>+C36/$C$20</f>
        <v>-0.58859890109890112</v>
      </c>
      <c r="E36" s="63">
        <f>E24-E34</f>
        <v>-910.71900000000005</v>
      </c>
      <c r="F36" s="66">
        <f>IF($E$20=0,0,E36/$E$20)</f>
        <v>0</v>
      </c>
      <c r="G36" s="66">
        <f>IF(C36=0,"",(E36-C36)/ABS(C36)+1)</f>
        <v>0.93731738623103844</v>
      </c>
      <c r="H36" s="63">
        <f>+H24-H34</f>
        <v>-10354.457619999999</v>
      </c>
      <c r="I36" s="66" t="e">
        <f>+H36/$H$20</f>
        <v>#DIV/0!</v>
      </c>
      <c r="J36" s="66" t="str">
        <f t="shared" si="4"/>
        <v/>
      </c>
      <c r="K36" s="63">
        <f>K24-K34</f>
        <v>-7925</v>
      </c>
      <c r="L36" s="66">
        <f>+K36/$K$20</f>
        <v>-0.58860665478312535</v>
      </c>
      <c r="M36" s="63">
        <f>M24-M34</f>
        <v>-30648.317370000001</v>
      </c>
      <c r="N36" s="66">
        <f>IF($M$20=0,0,M36/$M$20)</f>
        <v>-67.539886795612858</v>
      </c>
      <c r="O36" s="66">
        <f>IF(K36=0,"",(M36-K36)/ABS(K36)+1)</f>
        <v>-1.867295567192429</v>
      </c>
      <c r="P36" s="63">
        <f>P24-P34</f>
        <v>-34042.966360000006</v>
      </c>
      <c r="Q36" s="66">
        <f>+P36/$P$20</f>
        <v>-2.2664425338776675</v>
      </c>
      <c r="R36" s="36" t="str">
        <f t="shared" si="9"/>
        <v/>
      </c>
    </row>
    <row r="37" spans="1:21" x14ac:dyDescent="0.2">
      <c r="A37" s="73"/>
      <c r="J37" s="61" t="str">
        <f t="shared" si="4"/>
        <v/>
      </c>
      <c r="R37" s="28" t="str">
        <f t="shared" si="9"/>
        <v/>
      </c>
      <c r="S37" s="45"/>
      <c r="T37" s="45"/>
      <c r="U37" s="45"/>
    </row>
    <row r="38" spans="1:21" x14ac:dyDescent="0.2">
      <c r="B38" s="3" t="s">
        <v>41</v>
      </c>
      <c r="C38" s="59"/>
      <c r="D38" s="61">
        <f>+C38/$C$20</f>
        <v>0</v>
      </c>
      <c r="E38" s="59">
        <v>0</v>
      </c>
      <c r="F38" s="61">
        <f>IF($E$20=0,0,E38/$E$20)</f>
        <v>0</v>
      </c>
      <c r="G38" s="61" t="str">
        <f>IF(C38=0,"",(E38-C38)/ABS(C38)+1)</f>
        <v/>
      </c>
      <c r="H38" s="59">
        <v>0</v>
      </c>
      <c r="I38" s="61" t="e">
        <f>+H38/$H$20</f>
        <v>#DIV/0!</v>
      </c>
      <c r="J38" s="61" t="str">
        <f t="shared" si="4"/>
        <v/>
      </c>
      <c r="K38" s="59"/>
      <c r="L38" s="61">
        <f>+K38/$K$20</f>
        <v>0</v>
      </c>
      <c r="M38" s="59">
        <v>285.55900000000003</v>
      </c>
      <c r="N38" s="61">
        <f>IF($M$20=0,0,M38/$M$20)</f>
        <v>0.62928813678845086</v>
      </c>
      <c r="O38" s="61" t="str">
        <f>IF(K38=0,"",(M38-K38)/ABS(K38)+1)</f>
        <v/>
      </c>
      <c r="P38" s="59">
        <v>0</v>
      </c>
      <c r="Q38" s="61">
        <f>+P38/$P$20</f>
        <v>0</v>
      </c>
      <c r="R38" s="28" t="str">
        <f t="shared" si="9"/>
        <v/>
      </c>
    </row>
    <row r="39" spans="1:21" x14ac:dyDescent="0.2">
      <c r="B39" s="3" t="s">
        <v>42</v>
      </c>
      <c r="C39" s="59"/>
      <c r="D39" s="61"/>
      <c r="E39" s="59">
        <v>2536.8000000000002</v>
      </c>
      <c r="F39" s="61">
        <f>IF($E$20=0,0,E39/$E$20)</f>
        <v>0</v>
      </c>
      <c r="G39" s="61" t="str">
        <f>IF(C39=0,"",(E39-C39)/ABS(C39)+1)</f>
        <v/>
      </c>
      <c r="H39" s="59">
        <v>0</v>
      </c>
      <c r="I39" s="61"/>
      <c r="J39" s="61" t="str">
        <f t="shared" si="4"/>
        <v/>
      </c>
      <c r="K39" s="59">
        <v>0</v>
      </c>
      <c r="L39" s="61">
        <f>+K39/$K$20</f>
        <v>0</v>
      </c>
      <c r="M39" s="59">
        <v>17939.758000000002</v>
      </c>
      <c r="N39" s="61">
        <f>IF($M$20=0,0,M39/$M$20)</f>
        <v>39.533955806876008</v>
      </c>
      <c r="O39" s="61" t="str">
        <f>IF(K39=0,"",(M39-K39)/ABS(K39)+1)</f>
        <v/>
      </c>
      <c r="P39" s="59">
        <v>0</v>
      </c>
      <c r="Q39" s="61">
        <f>+P39/$P$20</f>
        <v>0</v>
      </c>
      <c r="R39" s="28" t="str">
        <f t="shared" si="9"/>
        <v/>
      </c>
      <c r="S39" s="45"/>
      <c r="T39" s="45"/>
      <c r="U39" s="45"/>
    </row>
    <row r="40" spans="1:21" x14ac:dyDescent="0.2">
      <c r="J40" s="61" t="str">
        <f t="shared" si="4"/>
        <v/>
      </c>
      <c r="R40" s="28" t="str">
        <f t="shared" si="9"/>
        <v/>
      </c>
      <c r="S40" s="45"/>
      <c r="T40" s="45"/>
      <c r="U40" s="45"/>
    </row>
    <row r="41" spans="1:21" x14ac:dyDescent="0.2">
      <c r="B41" s="3" t="s">
        <v>43</v>
      </c>
      <c r="C41" s="59">
        <f>+C36-C39</f>
        <v>-857</v>
      </c>
      <c r="D41" s="61">
        <f>+C41/$C$20</f>
        <v>-0.58859890109890112</v>
      </c>
      <c r="E41" s="59">
        <f>+E36-E39</f>
        <v>-3447.5190000000002</v>
      </c>
      <c r="F41" s="61">
        <f>IF($E$20=0,0,E41/$E$20)</f>
        <v>0</v>
      </c>
      <c r="G41" s="61">
        <f>IF(C41=0,"",(E41-C41)/ABS(C41)+1)</f>
        <v>-2.0227759626604436</v>
      </c>
      <c r="H41" s="59">
        <f>+H36+H38-H39</f>
        <v>-10354.457619999999</v>
      </c>
      <c r="I41" s="61" t="e">
        <f>+H41/$H$20</f>
        <v>#DIV/0!</v>
      </c>
      <c r="J41" s="61" t="str">
        <f t="shared" si="4"/>
        <v/>
      </c>
      <c r="K41" s="59">
        <f>K36+K38-K39</f>
        <v>-7925</v>
      </c>
      <c r="L41" s="61">
        <f>+K41/$K$20</f>
        <v>-0.58860665478312535</v>
      </c>
      <c r="M41" s="59">
        <f>M36+M38-M39</f>
        <v>-48302.516369999998</v>
      </c>
      <c r="N41" s="61">
        <f>IF($M$20=0,0,M41/$M$20)</f>
        <v>-106.44455446570041</v>
      </c>
      <c r="O41" s="61">
        <f>IF(K41=0,"",(M41-K41)/ABS(K41)+1)</f>
        <v>-4.094954747003154</v>
      </c>
      <c r="P41" s="59">
        <f>+P36-P39</f>
        <v>-34042.966360000006</v>
      </c>
      <c r="Q41" s="61">
        <f>+P41/$P$20</f>
        <v>-2.2664425338776675</v>
      </c>
      <c r="R41" s="28" t="str">
        <f t="shared" si="9"/>
        <v/>
      </c>
    </row>
    <row r="42" spans="1:21" x14ac:dyDescent="0.2">
      <c r="B42" s="3" t="s">
        <v>29</v>
      </c>
      <c r="C42" s="59">
        <v>-311</v>
      </c>
      <c r="D42" s="61">
        <f>+C42/$C$20</f>
        <v>-0.21359890109890109</v>
      </c>
      <c r="E42" s="59"/>
      <c r="F42" s="61">
        <f>IF($E$20=0,0,E42/$E$20)</f>
        <v>0</v>
      </c>
      <c r="G42" s="61">
        <f>IF(C42=0,"",(E42-C42)/ABS(C42)+1)</f>
        <v>2</v>
      </c>
      <c r="H42" s="59"/>
      <c r="I42" s="61" t="e">
        <f>+I41*33%</f>
        <v>#DIV/0!</v>
      </c>
      <c r="J42" s="61" t="str">
        <f t="shared" si="4"/>
        <v/>
      </c>
      <c r="K42" s="59">
        <v>-2873</v>
      </c>
      <c r="L42" s="61">
        <f>+K42/$K$20</f>
        <v>-0.21338383838383837</v>
      </c>
      <c r="M42" s="59">
        <f>+U43+E42</f>
        <v>0</v>
      </c>
      <c r="N42" s="61">
        <f>IF($M$20=0,0,M42/$M$20)</f>
        <v>0</v>
      </c>
      <c r="O42" s="61">
        <f>IF(K42=0,"",(M42-K42)/ABS(K42)+1)</f>
        <v>2</v>
      </c>
      <c r="P42" s="59">
        <v>0</v>
      </c>
      <c r="Q42" s="61">
        <f>+P42/$P$20</f>
        <v>0</v>
      </c>
      <c r="R42" s="28" t="str">
        <f t="shared" si="9"/>
        <v/>
      </c>
      <c r="S42" s="45"/>
      <c r="T42" s="45"/>
      <c r="U42" s="45"/>
    </row>
    <row r="43" spans="1:21" x14ac:dyDescent="0.2">
      <c r="B43" s="17" t="s">
        <v>44</v>
      </c>
      <c r="C43" s="63">
        <f>+C41</f>
        <v>-857</v>
      </c>
      <c r="D43" s="66">
        <f>+C43/$C$20</f>
        <v>-0.58859890109890112</v>
      </c>
      <c r="E43" s="63">
        <f>E41-E42</f>
        <v>-3447.5190000000002</v>
      </c>
      <c r="F43" s="66">
        <f>IF($E$20=0,0,E43/$E$20)</f>
        <v>0</v>
      </c>
      <c r="G43" s="66">
        <f>IF(C43=0,"",(E43-C43)/ABS(C43)+1)</f>
        <v>-2.0227759626604436</v>
      </c>
      <c r="H43" s="63">
        <f>+H41-H42</f>
        <v>-10354.457619999999</v>
      </c>
      <c r="I43" s="66" t="e">
        <f>+H43/$H$20</f>
        <v>#DIV/0!</v>
      </c>
      <c r="J43" s="61" t="str">
        <f t="shared" si="4"/>
        <v/>
      </c>
      <c r="K43" s="63">
        <f>K41-K42</f>
        <v>-5052</v>
      </c>
      <c r="L43" s="66">
        <f>+K43/$K$20</f>
        <v>-0.37522281639928701</v>
      </c>
      <c r="M43" s="63">
        <f>+M41-M42</f>
        <v>-48302.516369999998</v>
      </c>
      <c r="N43" s="66">
        <f>IF($M$20=0,0,M43/$M$20)</f>
        <v>-106.44455446570041</v>
      </c>
      <c r="O43" s="66">
        <f>IF(K43=0,"",(M43-K43)/ABS(K43)+1)</f>
        <v>-7.5610681650831353</v>
      </c>
      <c r="P43" s="63">
        <f>P41-P42</f>
        <v>-34042.966360000006</v>
      </c>
      <c r="Q43" s="66">
        <f>+P43/$P$20</f>
        <v>-2.2664425338776675</v>
      </c>
      <c r="R43" s="28" t="str">
        <f t="shared" si="9"/>
        <v/>
      </c>
      <c r="S43" s="45"/>
      <c r="T43" s="45"/>
      <c r="U43" s="45"/>
    </row>
    <row r="44" spans="1:21" x14ac:dyDescent="0.2">
      <c r="J44" s="61" t="str">
        <f t="shared" si="4"/>
        <v/>
      </c>
      <c r="R44" s="28" t="str">
        <f t="shared" si="9"/>
        <v/>
      </c>
      <c r="S44" s="45"/>
      <c r="T44" s="45"/>
      <c r="U44" s="45"/>
    </row>
    <row r="45" spans="1:21" x14ac:dyDescent="0.2">
      <c r="B45" s="3" t="s">
        <v>45</v>
      </c>
      <c r="C45" s="59">
        <v>-857</v>
      </c>
      <c r="D45" s="61">
        <f>+C45/$C$20</f>
        <v>-0.58859890109890112</v>
      </c>
      <c r="E45" s="59">
        <v>0</v>
      </c>
      <c r="F45" s="61">
        <f>IF($E$20=0,0,E45/$E$20)</f>
        <v>0</v>
      </c>
      <c r="G45" s="61">
        <f>IF(C45=0,"",(E45-C45)/ABS(C45)+1)</f>
        <v>2</v>
      </c>
      <c r="H45" s="59">
        <v>-6853.3179999999993</v>
      </c>
      <c r="I45" s="61" t="e">
        <f>+H45/$H$20</f>
        <v>#DIV/0!</v>
      </c>
      <c r="J45" s="61" t="str">
        <f t="shared" si="4"/>
        <v/>
      </c>
      <c r="K45" s="59">
        <v>-7925</v>
      </c>
      <c r="L45" s="61">
        <f>+K45/$K$20</f>
        <v>-0.58860665478312535</v>
      </c>
      <c r="M45" s="59">
        <v>-8717.9605699999993</v>
      </c>
      <c r="N45" s="61">
        <f>IF($M$20=0,0,M45/$M$20)</f>
        <v>-19.211823699097138</v>
      </c>
      <c r="O45" s="61">
        <f>IF(K45=0,"",(M45-K45)/ABS(K45)+1)</f>
        <v>0.89994188391167196</v>
      </c>
      <c r="P45" s="59">
        <v>-2678.4840200000071</v>
      </c>
      <c r="Q45" s="61">
        <f>+P45/$P$20</f>
        <v>-0.17832259518878354</v>
      </c>
      <c r="R45" s="28" t="str">
        <f t="shared" si="9"/>
        <v/>
      </c>
    </row>
    <row r="46" spans="1:21" x14ac:dyDescent="0.2">
      <c r="B46" s="3" t="s">
        <v>20</v>
      </c>
      <c r="C46" s="59">
        <v>0</v>
      </c>
      <c r="D46" s="61">
        <f>+C46/$C$20</f>
        <v>0</v>
      </c>
      <c r="E46" s="59">
        <v>0</v>
      </c>
      <c r="F46" s="61">
        <f>IF($E$20=0,0,E46/$E$20)</f>
        <v>0</v>
      </c>
      <c r="G46" s="61" t="str">
        <f>IF(C46=0,"",(E46-C46)/ABS(C46)+1)</f>
        <v/>
      </c>
      <c r="H46" s="59">
        <v>0</v>
      </c>
      <c r="I46" s="61" t="e">
        <f>+H46/$H$20</f>
        <v>#DIV/0!</v>
      </c>
      <c r="J46" s="61" t="str">
        <f t="shared" si="4"/>
        <v/>
      </c>
      <c r="K46" s="59">
        <v>0</v>
      </c>
      <c r="L46" s="61">
        <f>+K46/$K$20</f>
        <v>0</v>
      </c>
      <c r="M46" s="59">
        <v>0</v>
      </c>
      <c r="N46" s="61">
        <f>IF($M$20=0,0,M46/$M$20)</f>
        <v>0</v>
      </c>
      <c r="O46" s="61" t="str">
        <f>IF(K46=0,"",(M46-K46)/ABS(K46)+1)</f>
        <v/>
      </c>
      <c r="P46" s="59">
        <v>0</v>
      </c>
      <c r="Q46" s="59">
        <f>+P46/$P$20</f>
        <v>0</v>
      </c>
      <c r="R46" s="28" t="str">
        <f>IF(P46=0,"",(M46-P46)/ABS(P46))</f>
        <v/>
      </c>
      <c r="S46" s="45"/>
      <c r="T46" s="45"/>
      <c r="U46" s="45"/>
    </row>
    <row r="48" spans="1:21" x14ac:dyDescent="0.2">
      <c r="M48" s="47" t="s">
        <v>47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611DC-3DFB-435D-B08E-1E161080F8E3}">
  <sheetPr>
    <tabColor theme="2" tint="-9.9978637043366805E-2"/>
  </sheetPr>
  <dimension ref="A3:AJ48"/>
  <sheetViews>
    <sheetView showGridLines="0" zoomScale="91" zoomScaleNormal="91" workbookViewId="0">
      <selection activeCell="M4" sqref="M4"/>
    </sheetView>
  </sheetViews>
  <sheetFormatPr baseColWidth="10" defaultRowHeight="12.75" x14ac:dyDescent="0.2"/>
  <cols>
    <col min="1" max="1" width="4.5703125" style="10" customWidth="1"/>
    <col min="2" max="2" width="29.28515625" style="10" customWidth="1"/>
    <col min="3" max="3" width="14.42578125" style="10" customWidth="1"/>
    <col min="4" max="4" width="8" style="10" customWidth="1"/>
    <col min="5" max="5" width="10.28515625" style="10" bestFit="1" customWidth="1"/>
    <col min="6" max="6" width="6.28515625" style="10" bestFit="1" customWidth="1"/>
    <col min="7" max="7" width="6.5703125" style="10" bestFit="1" customWidth="1"/>
    <col min="8" max="8" width="11.28515625" style="10" customWidth="1"/>
    <col min="9" max="9" width="6.42578125" style="10" customWidth="1"/>
    <col min="10" max="10" width="8.140625" style="10" customWidth="1"/>
    <col min="11" max="11" width="13.28515625" style="10" customWidth="1"/>
    <col min="12" max="12" width="6.7109375" style="10" customWidth="1"/>
    <col min="13" max="15" width="10.140625" style="10" customWidth="1"/>
    <col min="16" max="16" width="11.5703125" style="10" customWidth="1"/>
    <col min="17" max="17" width="8.5703125" style="10" customWidth="1"/>
    <col min="18" max="18" width="9.42578125" style="10" customWidth="1"/>
    <col min="19" max="19" width="8.42578125" style="10" customWidth="1"/>
    <col min="20" max="21" width="11.42578125" style="10" hidden="1" customWidth="1"/>
    <col min="22" max="22" width="25.5703125" style="10" customWidth="1"/>
    <col min="23" max="24" width="11.42578125" style="10"/>
    <col min="25" max="25" width="12.5703125" style="10" customWidth="1"/>
    <col min="26" max="27" width="11.42578125" style="10"/>
    <col min="28" max="28" width="12.42578125" style="10" customWidth="1"/>
    <col min="29" max="29" width="8.42578125" style="10" customWidth="1"/>
    <col min="30" max="30" width="10.28515625" style="10" bestFit="1" customWidth="1"/>
    <col min="31" max="31" width="9.140625" style="10" customWidth="1"/>
    <col min="32" max="32" width="11.42578125" style="10"/>
    <col min="33" max="33" width="27" style="10" customWidth="1"/>
    <col min="34" max="34" width="11.5703125" style="10" customWidth="1"/>
    <col min="35" max="16384" width="11.42578125" style="10"/>
  </cols>
  <sheetData>
    <row r="3" spans="1:36" s="7" customFormat="1" ht="18" x14ac:dyDescent="0.25">
      <c r="B3" s="13" t="s">
        <v>78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75"/>
      <c r="V3" s="10" t="str">
        <f>+B3</f>
        <v>MUSICAR  COLOMBIA</v>
      </c>
    </row>
    <row r="4" spans="1:36" ht="17.25" customHeight="1" x14ac:dyDescent="0.2">
      <c r="A4" s="7"/>
      <c r="B4" s="16" t="s">
        <v>79</v>
      </c>
      <c r="V4" s="16" t="str">
        <f>+'COLOMB$ '!T4</f>
        <v xml:space="preserve">Flujo de Caja </v>
      </c>
      <c r="Z4" s="12"/>
      <c r="AA4" s="12"/>
    </row>
    <row r="5" spans="1:36" x14ac:dyDescent="0.2">
      <c r="B5" s="16" t="s">
        <v>80</v>
      </c>
      <c r="V5" s="16" t="s">
        <v>80</v>
      </c>
      <c r="AI5" s="76">
        <f>+Paramet!C8-Paramet!C9</f>
        <v>697.38999999999987</v>
      </c>
      <c r="AJ5" s="77">
        <f>+AI5/Paramet!C9</f>
        <v>0.1818639364953529</v>
      </c>
    </row>
    <row r="6" spans="1:36" ht="13.5" thickBot="1" x14ac:dyDescent="0.25">
      <c r="B6" s="33" t="str">
        <f>+'COLOMB$ '!B6</f>
        <v>SEPTIEMBRE de 2022</v>
      </c>
      <c r="C6" s="78"/>
      <c r="K6" s="79" t="s">
        <v>8</v>
      </c>
      <c r="L6" s="79"/>
      <c r="M6" s="79"/>
      <c r="N6" s="79"/>
      <c r="O6" s="79"/>
      <c r="P6" s="79"/>
      <c r="Q6" s="79"/>
      <c r="R6" s="79"/>
      <c r="V6" s="33" t="str">
        <f>+B6</f>
        <v>SEPTIEMBRE de 2022</v>
      </c>
      <c r="Z6" s="18" t="s">
        <v>8</v>
      </c>
      <c r="AA6" s="18"/>
      <c r="AB6" s="18"/>
      <c r="AC6" s="18"/>
      <c r="AD6" s="18"/>
      <c r="AE6" s="18"/>
    </row>
    <row r="7" spans="1:36" ht="15.75" customHeight="1" x14ac:dyDescent="0.2">
      <c r="C7" s="19" t="str">
        <f>+'COLOMB$ '!D7:D7</f>
        <v>Ppto 2022</v>
      </c>
      <c r="D7" s="19"/>
      <c r="E7" s="19" t="str">
        <f>+'COLOMB$ '!F7:F7</f>
        <v>Real 2022</v>
      </c>
      <c r="F7" s="19"/>
      <c r="G7" s="19" t="s">
        <v>9</v>
      </c>
      <c r="H7" s="19" t="str">
        <f>+'COLOMB$ '!I7:I7</f>
        <v>Real 2021</v>
      </c>
      <c r="I7" s="19"/>
      <c r="J7" s="19" t="s">
        <v>10</v>
      </c>
      <c r="K7" s="19" t="str">
        <f>+C7</f>
        <v>Ppto 2022</v>
      </c>
      <c r="L7" s="19"/>
      <c r="M7" s="19" t="str">
        <f>+E7</f>
        <v>Real 2022</v>
      </c>
      <c r="N7" s="19"/>
      <c r="O7" s="19" t="s">
        <v>9</v>
      </c>
      <c r="P7" s="19" t="str">
        <f>+H7</f>
        <v>Real 2021</v>
      </c>
      <c r="Q7" s="19"/>
      <c r="R7" s="19" t="s">
        <v>10</v>
      </c>
      <c r="T7" s="7"/>
      <c r="W7" s="12" t="str">
        <f>+C7</f>
        <v>Ppto 2022</v>
      </c>
      <c r="X7" s="12" t="str">
        <f>+M7</f>
        <v>Real 2022</v>
      </c>
      <c r="Y7" s="12" t="str">
        <f>+H7</f>
        <v>Real 2021</v>
      </c>
      <c r="Z7" s="12" t="str">
        <f>+W7</f>
        <v>Ppto 2022</v>
      </c>
      <c r="AA7" s="12" t="str">
        <f>+X7</f>
        <v>Real 2022</v>
      </c>
      <c r="AB7" s="12" t="s">
        <v>11</v>
      </c>
      <c r="AC7" s="12" t="s">
        <v>9</v>
      </c>
      <c r="AD7" s="12" t="str">
        <f>+Y7</f>
        <v>Real 2021</v>
      </c>
      <c r="AE7" s="12" t="s">
        <v>10</v>
      </c>
      <c r="AI7" s="10" t="s">
        <v>81</v>
      </c>
    </row>
    <row r="8" spans="1:36" ht="13.5" thickBot="1" x14ac:dyDescent="0.25">
      <c r="B8" s="80" t="s">
        <v>12</v>
      </c>
      <c r="C8" s="81" t="s">
        <v>13</v>
      </c>
      <c r="D8" s="81" t="s">
        <v>14</v>
      </c>
      <c r="E8" s="81" t="s">
        <v>13</v>
      </c>
      <c r="F8" s="81" t="s">
        <v>14</v>
      </c>
      <c r="G8" s="81" t="s">
        <v>15</v>
      </c>
      <c r="H8" s="81" t="s">
        <v>13</v>
      </c>
      <c r="I8" s="81" t="s">
        <v>14</v>
      </c>
      <c r="J8" s="81" t="s">
        <v>15</v>
      </c>
      <c r="K8" s="81" t="s">
        <v>13</v>
      </c>
      <c r="L8" s="81" t="s">
        <v>14</v>
      </c>
      <c r="M8" s="81" t="s">
        <v>13</v>
      </c>
      <c r="N8" s="81" t="s">
        <v>14</v>
      </c>
      <c r="O8" s="81" t="s">
        <v>15</v>
      </c>
      <c r="P8" s="81" t="s">
        <v>13</v>
      </c>
      <c r="Q8" s="81" t="s">
        <v>14</v>
      </c>
      <c r="R8" s="81" t="s">
        <v>15</v>
      </c>
      <c r="T8" s="14" t="s">
        <v>82</v>
      </c>
      <c r="U8" s="14"/>
      <c r="V8" s="24"/>
      <c r="W8" s="25"/>
      <c r="X8" s="25"/>
      <c r="Y8" s="25"/>
      <c r="Z8" s="25"/>
      <c r="AA8" s="25"/>
      <c r="AB8" s="25"/>
      <c r="AC8" s="25" t="s">
        <v>15</v>
      </c>
      <c r="AD8" s="25"/>
      <c r="AE8" s="25" t="s">
        <v>15</v>
      </c>
    </row>
    <row r="9" spans="1:36" x14ac:dyDescent="0.2">
      <c r="T9" s="30"/>
      <c r="U9" s="14" t="s">
        <v>83</v>
      </c>
      <c r="AH9" s="76"/>
    </row>
    <row r="10" spans="1:36" x14ac:dyDescent="0.2">
      <c r="B10" s="16" t="str">
        <f>+'COLOMB$ '!B10</f>
        <v>Musical Experience  (Ambiental)</v>
      </c>
      <c r="C10" s="26">
        <f>+'COL. CONS.$'!C10/Paramet!$C$10*1000</f>
        <v>106078.82352941176</v>
      </c>
      <c r="D10" s="27">
        <f t="shared" ref="D10:D15" si="0">+C10/$C$20</f>
        <v>0.41730312872056946</v>
      </c>
      <c r="E10" s="26">
        <f>+'COL. CONS.$'!E10/Paramet!$C$8*1000</f>
        <v>71414.336715893631</v>
      </c>
      <c r="F10" s="27">
        <f t="shared" ref="F10:F18" si="1">+E10/$E$20</f>
        <v>0.38185703778770852</v>
      </c>
      <c r="G10" s="27">
        <f t="shared" ref="G10:G18" si="2">IF(C10=0,"",(E10-C10)/ABS(C10)+1)</f>
        <v>0.67321953939367596</v>
      </c>
      <c r="H10" s="26">
        <f>+'COL. CONS.$'!H10/Paramet!$C$9*1000</f>
        <v>89126.210270478899</v>
      </c>
      <c r="I10" s="27">
        <f t="shared" ref="I10:I18" si="3">+H10/$H$20</f>
        <v>0.43404397770582581</v>
      </c>
      <c r="J10" s="28">
        <f t="shared" ref="J10:J18" si="4">IF(H10=0,"",(E10-H10)/ABS(H10))</f>
        <v>-0.19872800044828046</v>
      </c>
      <c r="K10" s="26">
        <f>+'COL. CONS.$'!K10/Paramet!$C$10*1000</f>
        <v>964659.1176470588</v>
      </c>
      <c r="L10" s="27">
        <f t="shared" ref="L10:L18" si="5">+K10/$K$20</f>
        <v>0.43128898143934158</v>
      </c>
      <c r="M10" s="26">
        <f>+'COL. CONS.$'!M10/Paramet!$C$8*1000</f>
        <v>709530.82057426299</v>
      </c>
      <c r="N10" s="27">
        <f t="shared" ref="N10:N18" si="6">+M10/$M$20</f>
        <v>0.43404454191931563</v>
      </c>
      <c r="O10" s="27">
        <f t="shared" ref="O10:O18" si="7">IF(K10=0,"",(M10-K10)/ABS(K10)+1)</f>
        <v>0.73552492024841887</v>
      </c>
      <c r="P10" s="26">
        <f>+'COL. CONS.$'!P10/Paramet!$C$9*1000</f>
        <v>797798.26582661399</v>
      </c>
      <c r="Q10" s="27">
        <f t="shared" ref="Q10:Q18" si="8">+P10/$P$20</f>
        <v>0.51421871962986554</v>
      </c>
      <c r="R10" s="28">
        <f t="shared" ref="R10:R18" si="9">IF(P10=0,"",(M10-P10)/ABS(P10))</f>
        <v>-0.11063880310756932</v>
      </c>
      <c r="T10" s="30"/>
      <c r="U10" s="29" t="s">
        <v>84</v>
      </c>
      <c r="V10" s="16" t="s">
        <v>16</v>
      </c>
      <c r="W10" s="26">
        <f>+'COL. CONS.$'!U10/Paramet!C10*1000</f>
        <v>40999.411764705881</v>
      </c>
      <c r="X10" s="26">
        <f>'COLOMB$ '!V10/Paramet!$C$8*1000</f>
        <v>20352.928807366145</v>
      </c>
      <c r="Y10" s="26">
        <f>'COLOMB$ '!W10/Paramet!$C$9*1000</f>
        <v>258657.82803258684</v>
      </c>
      <c r="Z10" s="26">
        <f>'COLOMB$ '!X10/Paramet!$C$10*1000</f>
        <v>142468.23529411765</v>
      </c>
      <c r="AA10" s="26">
        <f>+'COL. CONS.$'!Y10/Paramet!C8*1000</f>
        <v>106880.96167976224</v>
      </c>
      <c r="AB10" s="29">
        <f>+AA10-Z10</f>
        <v>-35587.273614355407</v>
      </c>
      <c r="AC10" s="30">
        <f>IF(Z10=0,"",(AA10-Z10)/ABS(Z10)+1)</f>
        <v>0.75020906561460887</v>
      </c>
      <c r="AD10" s="26">
        <f>'COLOMB$ '!AB10/Paramet!$C$9*1000</f>
        <v>153959.13087923895</v>
      </c>
      <c r="AE10" s="28">
        <f>IF(Y10=0,"",(AA10-AD10)/ABS(AD10))</f>
        <v>-0.30578354742989194</v>
      </c>
      <c r="AF10" s="76"/>
    </row>
    <row r="11" spans="1:36" x14ac:dyDescent="0.2">
      <c r="B11" s="16" t="str">
        <f>+'COLOMB$ '!B11</f>
        <v>Instalaciones</v>
      </c>
      <c r="C11" s="26">
        <f>+'COL. CONS.$'!C11/Paramet!$C$10*1000</f>
        <v>17624.411764705881</v>
      </c>
      <c r="D11" s="27">
        <f t="shared" si="0"/>
        <v>6.9332614433003995E-2</v>
      </c>
      <c r="E11" s="26">
        <f>+'COL. CONS.$'!E11/Paramet!$C$8*1000</f>
        <v>7822.6876460425383</v>
      </c>
      <c r="F11" s="27">
        <f t="shared" si="1"/>
        <v>4.1828412464853165E-2</v>
      </c>
      <c r="G11" s="27">
        <f t="shared" si="2"/>
        <v>0.44385524751004835</v>
      </c>
      <c r="H11" s="26">
        <f>+'COL. CONS.$'!H11/Paramet!$C$9*1000</f>
        <v>12413.796457592289</v>
      </c>
      <c r="I11" s="27">
        <f t="shared" si="3"/>
        <v>6.0455095942394718E-2</v>
      </c>
      <c r="J11" s="28">
        <f t="shared" si="4"/>
        <v>-0.36983922100171251</v>
      </c>
      <c r="K11" s="26">
        <f>+'COL. CONS.$'!K11/Paramet!$C$10*1000</f>
        <v>118565.29411764706</v>
      </c>
      <c r="L11" s="27">
        <f t="shared" si="5"/>
        <v>5.3009300382485081E-2</v>
      </c>
      <c r="M11" s="26">
        <f>+'COL. CONS.$'!M11/Paramet!$C$8*1000</f>
        <v>74305.371055610347</v>
      </c>
      <c r="N11" s="27">
        <f t="shared" si="6"/>
        <v>4.5455165310329927E-2</v>
      </c>
      <c r="O11" s="27">
        <f t="shared" si="7"/>
        <v>0.62670422747722809</v>
      </c>
      <c r="P11" s="26">
        <f>+'COL. CONS.$'!P11/Paramet!$C$9*1000</f>
        <v>73268.2346375708</v>
      </c>
      <c r="Q11" s="27">
        <f t="shared" si="8"/>
        <v>4.7224842944269256E-2</v>
      </c>
      <c r="R11" s="28">
        <f t="shared" si="9"/>
        <v>1.415533516222758E-2</v>
      </c>
      <c r="T11" s="30">
        <f>+E22/C22</f>
        <v>1.0785558700421174</v>
      </c>
      <c r="U11" s="29" t="s">
        <v>85</v>
      </c>
      <c r="V11" s="16" t="s">
        <v>17</v>
      </c>
      <c r="W11" s="26">
        <f>'COLOMB$ '!U11/Paramet!$C$10*1000</f>
        <v>314789.4117647059</v>
      </c>
      <c r="X11" s="26">
        <f>'COLOMB$ '!V11/Paramet!$C$8*1000</f>
        <v>256439.76564130743</v>
      </c>
      <c r="Y11" s="26">
        <f>'COLOMB$ '!W11/Paramet!$C$9*1000</f>
        <v>263793.09742925095</v>
      </c>
      <c r="Z11" s="26">
        <f>'COLOMB$ '!X11/Paramet!$C$10*1000</f>
        <v>2693216.7647058824</v>
      </c>
      <c r="AA11" s="26">
        <f>'COLOMB$ '!Y11/Paramet!$C$8*1000</f>
        <v>2026595.8262802649</v>
      </c>
      <c r="AB11" s="29">
        <f>+AA11-Z11</f>
        <v>-666620.93842561753</v>
      </c>
      <c r="AC11" s="30">
        <f>IF(Z11=0,"",(AA11-Z11)/ABS(Z11)+1)</f>
        <v>0.75248151312528422</v>
      </c>
      <c r="AD11" s="26">
        <f>'COLOMB$ '!AB11/Paramet!$C$9*1000</f>
        <v>2238953.8961112788</v>
      </c>
      <c r="AE11" s="28">
        <f>IF(AD11=0,"",(AA11-AD11)/ABS(AD11))</f>
        <v>-9.4847004308506511E-2</v>
      </c>
      <c r="AF11" s="76"/>
    </row>
    <row r="12" spans="1:36" x14ac:dyDescent="0.2">
      <c r="B12" s="16" t="str">
        <f>+'COLOMB$ '!B12</f>
        <v>Voice Experience (Publihold)</v>
      </c>
      <c r="C12" s="26">
        <f>+'COL. CONS.$'!C12/Paramet!$C$10*1000</f>
        <v>22623.823529411766</v>
      </c>
      <c r="D12" s="27">
        <f t="shared" si="0"/>
        <v>8.8999783635684143E-2</v>
      </c>
      <c r="E12" s="26">
        <f>+'COL. CONS.$'!E12/Paramet!$C$8*1000</f>
        <v>18780.113722868358</v>
      </c>
      <c r="F12" s="27">
        <f t="shared" si="1"/>
        <v>0.10041847233084771</v>
      </c>
      <c r="G12" s="27">
        <f t="shared" si="2"/>
        <v>0.83010343934364372</v>
      </c>
      <c r="H12" s="26">
        <f>+'COL. CONS.$'!H12/Paramet!$C$9*1000</f>
        <v>21253.519980806745</v>
      </c>
      <c r="I12" s="27">
        <f t="shared" si="3"/>
        <v>0.10350448341429337</v>
      </c>
      <c r="J12" s="28">
        <f t="shared" si="4"/>
        <v>-0.11637631132029078</v>
      </c>
      <c r="K12" s="26">
        <f>+'COL. CONS.$'!K12/Paramet!$C$10*1000</f>
        <v>215901.17647058825</v>
      </c>
      <c r="L12" s="27">
        <f t="shared" si="5"/>
        <v>9.6527153258736884E-2</v>
      </c>
      <c r="M12" s="26">
        <f>+'COL. CONS.$'!M12/Paramet!$C$8*1000</f>
        <v>175615.68704808177</v>
      </c>
      <c r="N12" s="27">
        <f t="shared" si="6"/>
        <v>0.10743018939887257</v>
      </c>
      <c r="O12" s="27">
        <f t="shared" si="7"/>
        <v>0.81340773551553813</v>
      </c>
      <c r="P12" s="26">
        <f>+'COL. CONS.$'!P12/Paramet!$C$9*1000</f>
        <v>223150.89008730848</v>
      </c>
      <c r="Q12" s="27">
        <f t="shared" si="8"/>
        <v>0.14383130410300859</v>
      </c>
      <c r="R12" s="28">
        <f t="shared" si="9"/>
        <v>-0.21301820943052663</v>
      </c>
      <c r="T12" s="30">
        <f>+E24/C24</f>
        <v>0.69536606269676526</v>
      </c>
      <c r="U12" s="82">
        <v>1208</v>
      </c>
      <c r="AE12" s="2"/>
      <c r="AF12" s="76"/>
    </row>
    <row r="13" spans="1:36" x14ac:dyDescent="0.2">
      <c r="B13" s="16" t="str">
        <f>+'COLOMB$ '!B13</f>
        <v>Service &amp; Equipment Experience</v>
      </c>
      <c r="C13" s="26">
        <f>+'COL. CONS.$'!C13/Paramet!$C$10*1000</f>
        <v>33863.529411764706</v>
      </c>
      <c r="D13" s="27">
        <f t="shared" si="0"/>
        <v>0.13321562497469</v>
      </c>
      <c r="E13" s="26">
        <f>+'COL. CONS.$'!E13/Paramet!$C$8*1000</f>
        <v>35020.568746731624</v>
      </c>
      <c r="F13" s="27">
        <f t="shared" si="1"/>
        <v>0.18725722674522222</v>
      </c>
      <c r="G13" s="27">
        <f t="shared" si="2"/>
        <v>1.0341677124347513</v>
      </c>
      <c r="H13" s="26">
        <f>+'COL. CONS.$'!H13/Paramet!$C$9*1000</f>
        <v>18195.845024878217</v>
      </c>
      <c r="I13" s="27">
        <f t="shared" si="3"/>
        <v>8.8613629238231781E-2</v>
      </c>
      <c r="J13" s="28">
        <f t="shared" si="4"/>
        <v>0.92464646180761878</v>
      </c>
      <c r="K13" s="26">
        <f>+'COL. CONS.$'!K13/Paramet!$C$10*1000</f>
        <v>247757.64705882352</v>
      </c>
      <c r="L13" s="27">
        <f t="shared" si="5"/>
        <v>0.11076984738862243</v>
      </c>
      <c r="M13" s="26">
        <f>+'COL. CONS.$'!M13/Paramet!$C$8*1000</f>
        <v>174285.86010366125</v>
      </c>
      <c r="N13" s="27">
        <f t="shared" si="6"/>
        <v>0.10661668826518565</v>
      </c>
      <c r="O13" s="27">
        <f t="shared" si="7"/>
        <v>0.703453000029023</v>
      </c>
      <c r="P13" s="26">
        <f>+'COL. CONS.$'!P13/Paramet!$C$9*1000</f>
        <v>130620.0608655742</v>
      </c>
      <c r="Q13" s="27">
        <f t="shared" si="8"/>
        <v>8.4190807793593489E-2</v>
      </c>
      <c r="R13" s="28">
        <f t="shared" si="9"/>
        <v>0.33429627079277741</v>
      </c>
      <c r="T13" s="30">
        <f>+E26/C26</f>
        <v>0.70611949089751047</v>
      </c>
      <c r="U13" s="29" t="s">
        <v>86</v>
      </c>
      <c r="V13" s="16" t="s">
        <v>18</v>
      </c>
      <c r="W13" s="26">
        <f>'COLOMB$ '!U13/Paramet!$C$10*1000</f>
        <v>30680</v>
      </c>
      <c r="X13" s="26">
        <f>'COLOMB$ '!V13/Paramet!$C$8*1000</f>
        <v>27550.978471206316</v>
      </c>
      <c r="Y13" s="26">
        <f>'COLOMB$ '!W13/Paramet!$C$9*1000</f>
        <v>74148.626691145022</v>
      </c>
      <c r="Z13" s="26">
        <f>'COLOMB$ '!X13/Paramet!$C$10*1000</f>
        <v>359421.76470588235</v>
      </c>
      <c r="AA13" s="26">
        <f>'COLOMB$ '!Y13/Paramet!$C$8*1000</f>
        <v>255247.41220457762</v>
      </c>
      <c r="AB13" s="29">
        <f>+Z13-AA13</f>
        <v>104174.35250130473</v>
      </c>
      <c r="AC13" s="30">
        <f>IF(Z13=0,"",(AA13-Z13)/ABS(Z13)+1)</f>
        <v>0.71016125696630694</v>
      </c>
      <c r="AD13" s="26">
        <f>'COLOMB$ '!AB13/Paramet!$C$9*1000</f>
        <v>502138.29514587921</v>
      </c>
      <c r="AE13" s="28">
        <f>IF(AD13=0,"",(AA13-AD13)/ABS(AD13))</f>
        <v>-0.49167905600503115</v>
      </c>
      <c r="AF13" s="76"/>
      <c r="AG13" s="31"/>
    </row>
    <row r="14" spans="1:36" x14ac:dyDescent="0.2">
      <c r="B14" s="16" t="str">
        <f>+'COLOMB$ '!B14</f>
        <v>POP Satelital</v>
      </c>
      <c r="C14" s="26">
        <f>+'COL. CONS.$'!C14/Paramet!$C$10*1000</f>
        <v>0</v>
      </c>
      <c r="D14" s="27">
        <f t="shared" si="0"/>
        <v>0</v>
      </c>
      <c r="E14" s="26">
        <f>+'COL. CONS.$'!E14/Paramet!$C$8*1000</f>
        <v>0</v>
      </c>
      <c r="F14" s="27">
        <f t="shared" si="1"/>
        <v>0</v>
      </c>
      <c r="G14" s="27" t="str">
        <f t="shared" si="2"/>
        <v/>
      </c>
      <c r="H14" s="26">
        <f>+'COL. CONS.$'!H14/Paramet!$C$9*1000</f>
        <v>0</v>
      </c>
      <c r="I14" s="27">
        <f t="shared" si="3"/>
        <v>0</v>
      </c>
      <c r="J14" s="28" t="str">
        <f t="shared" si="4"/>
        <v/>
      </c>
      <c r="K14" s="26">
        <f>+'COL. CONS.$'!K14/Paramet!$C$10*1000</f>
        <v>0</v>
      </c>
      <c r="L14" s="27">
        <f t="shared" si="5"/>
        <v>0</v>
      </c>
      <c r="M14" s="26">
        <f>+'COL. CONS.$'!M14/Paramet!$C$8*1000</f>
        <v>0</v>
      </c>
      <c r="N14" s="27">
        <f t="shared" si="6"/>
        <v>0</v>
      </c>
      <c r="O14" s="27" t="str">
        <f t="shared" si="7"/>
        <v/>
      </c>
      <c r="P14" s="26">
        <f>+'COL. CONS.$'!P14/Paramet!$C$9*1000</f>
        <v>0</v>
      </c>
      <c r="Q14" s="27">
        <f t="shared" si="8"/>
        <v>0</v>
      </c>
      <c r="R14" s="28" t="str">
        <f t="shared" si="9"/>
        <v/>
      </c>
      <c r="T14" s="30"/>
      <c r="U14" s="29"/>
      <c r="V14" s="16" t="s">
        <v>19</v>
      </c>
      <c r="W14" s="26">
        <f>'COLOMB$ '!U14/Paramet!$C$10*1000</f>
        <v>2456.7647058823527</v>
      </c>
      <c r="X14" s="26">
        <f>'COLOMB$ '!V14/Paramet!$C$8*1000</f>
        <v>2488.1008016204514</v>
      </c>
      <c r="Y14" s="26">
        <f>'COLOMB$ '!W14/Paramet!$C$9*1000</f>
        <v>2174.8044165354086</v>
      </c>
      <c r="Z14" s="26">
        <f>'COLOMB$ '!X14/Paramet!$C$10*1000</f>
        <v>22110.882352941175</v>
      </c>
      <c r="AA14" s="26">
        <f>'COLOMB$ '!Y14/Paramet!$C$8*1000</f>
        <v>19909.479985966678</v>
      </c>
      <c r="AB14" s="29">
        <f>+Z14-AA14</f>
        <v>2201.4023669744965</v>
      </c>
      <c r="AC14" s="30">
        <f>IF(Z14=0,"",(AA14-Z14)/ABS(Z14)+1)</f>
        <v>0.90043805887820361</v>
      </c>
      <c r="AD14" s="26">
        <f>'COLOMB$ '!AB14/Paramet!$C$9*1000</f>
        <v>16988.405551441061</v>
      </c>
      <c r="AE14" s="28">
        <f>IF(AD14=0,"",(AA14-AD14)/ABS(AD14))</f>
        <v>0.17194517906230661</v>
      </c>
      <c r="AF14" s="76"/>
    </row>
    <row r="15" spans="1:36" x14ac:dyDescent="0.2">
      <c r="B15" s="16" t="str">
        <f>+'COLOMB$ '!B15</f>
        <v>Voice Experience (Audicóm)</v>
      </c>
      <c r="C15" s="26">
        <f>+'COL. CONS.$'!C15/Paramet!$C$10*1000</f>
        <v>35195</v>
      </c>
      <c r="D15" s="27">
        <f t="shared" si="0"/>
        <v>0.13845349266386126</v>
      </c>
      <c r="E15" s="26">
        <f>+'COL. CONS.$'!E15/Paramet!$C$8*1000</f>
        <v>25092.350074027985</v>
      </c>
      <c r="F15" s="27">
        <f t="shared" si="1"/>
        <v>0.13417040486589102</v>
      </c>
      <c r="G15" s="27">
        <f t="shared" si="2"/>
        <v>0.71295212598459967</v>
      </c>
      <c r="H15" s="26">
        <f>+'COL. CONS.$'!H15/Paramet!$C$9*1000</f>
        <v>28638.115305579606</v>
      </c>
      <c r="I15" s="27">
        <f t="shared" si="3"/>
        <v>0.13946740743838287</v>
      </c>
      <c r="J15" s="28">
        <f t="shared" si="4"/>
        <v>-0.12381279961048254</v>
      </c>
      <c r="K15" s="26">
        <f>+'COL. CONS.$'!K15/Paramet!$C$10*1000</f>
        <v>328608.82352941181</v>
      </c>
      <c r="L15" s="27">
        <f t="shared" si="5"/>
        <v>0.14691756103199308</v>
      </c>
      <c r="M15" s="26">
        <f>+'COL. CONS.$'!M15/Paramet!$C$8*1000</f>
        <v>242836.95927026725</v>
      </c>
      <c r="N15" s="27">
        <f t="shared" si="6"/>
        <v>0.1485517664507299</v>
      </c>
      <c r="O15" s="27">
        <f t="shared" si="7"/>
        <v>0.73898490205492728</v>
      </c>
      <c r="P15" s="26">
        <f>+'COL. CONS.$'!P15/Paramet!$C$9*1000</f>
        <v>271775.21696725674</v>
      </c>
      <c r="Q15" s="27">
        <f t="shared" si="8"/>
        <v>0.17517198279596666</v>
      </c>
      <c r="R15" s="28">
        <f t="shared" si="9"/>
        <v>-0.10647864812660952</v>
      </c>
      <c r="T15" s="30"/>
      <c r="U15" s="82"/>
      <c r="V15" s="16" t="s">
        <v>20</v>
      </c>
      <c r="W15" s="26">
        <f>'COLOMB$ '!U15/Paramet!$C$10*1000</f>
        <v>111836.76470588236</v>
      </c>
      <c r="X15" s="26">
        <f>'COLOMB$ '!V15/Paramet!$C$8*1000</f>
        <v>78673.653760864239</v>
      </c>
      <c r="Y15" s="26">
        <f>'COLOMB$ '!W15/Paramet!$C$9*1000</f>
        <v>84288.726829878899</v>
      </c>
      <c r="Z15" s="26">
        <f>'COLOMB$ '!X15/Paramet!$C$10*1000</f>
        <v>1042547.9411764706</v>
      </c>
      <c r="AA15" s="26">
        <f>'COLOMB$ '!Y15/Paramet!$C$8*1000</f>
        <v>763802.76855388389</v>
      </c>
      <c r="AB15" s="29">
        <f>+Z15-AA15</f>
        <v>278745.17262258672</v>
      </c>
      <c r="AC15" s="30">
        <f>IF(Z15=0,"",(AA15-Z15)/ABS(Z15)+1)</f>
        <v>0.7326308348870415</v>
      </c>
      <c r="AD15" s="26">
        <f>'COLOMB$ '!AB15/Paramet!$C$9*1000</f>
        <v>776965.7861933721</v>
      </c>
      <c r="AE15" s="28">
        <f>IF(AD15=0,"",(AA15-AD15)/ABS(AD15))</f>
        <v>-1.6941566634456912E-2</v>
      </c>
      <c r="AF15" s="76"/>
    </row>
    <row r="16" spans="1:36" x14ac:dyDescent="0.2">
      <c r="B16" s="16" t="str">
        <f>+'COLOMB$ '!B16</f>
        <v>Fact. Servicio Satelital</v>
      </c>
      <c r="C16" s="26">
        <f>+'COL. CONS.$'!C16/Paramet!$C$8*1000</f>
        <v>0</v>
      </c>
      <c r="D16" s="27"/>
      <c r="E16" s="26">
        <f>+'COL. CONS.$'!E16/Paramet!$C$8*1000</f>
        <v>0</v>
      </c>
      <c r="F16" s="27">
        <f t="shared" si="1"/>
        <v>0</v>
      </c>
      <c r="G16" s="27" t="str">
        <f t="shared" si="2"/>
        <v/>
      </c>
      <c r="H16" s="26">
        <f>+'COL. CONS.$'!H16/Paramet!$C$9*1000</f>
        <v>0</v>
      </c>
      <c r="I16" s="27">
        <f t="shared" si="3"/>
        <v>0</v>
      </c>
      <c r="J16" s="28" t="str">
        <f t="shared" si="4"/>
        <v/>
      </c>
      <c r="K16" s="26">
        <f>+'COL. CONS.$'!K16/Paramet!$C$8*1000</f>
        <v>0</v>
      </c>
      <c r="L16" s="27">
        <f t="shared" si="5"/>
        <v>0</v>
      </c>
      <c r="M16" s="26">
        <f>+'COL. CONS.$'!M16/Paramet!$C$8*1000</f>
        <v>0</v>
      </c>
      <c r="N16" s="27">
        <f t="shared" si="6"/>
        <v>0</v>
      </c>
      <c r="O16" s="27" t="str">
        <f t="shared" si="7"/>
        <v/>
      </c>
      <c r="P16" s="26">
        <f>+'COL. CONS.$'!P16/Paramet!$C$9*1000</f>
        <v>0</v>
      </c>
      <c r="Q16" s="27">
        <f t="shared" si="8"/>
        <v>0</v>
      </c>
      <c r="R16" s="28" t="str">
        <f t="shared" si="9"/>
        <v/>
      </c>
      <c r="V16" s="16" t="s">
        <v>21</v>
      </c>
      <c r="W16" s="26">
        <f>'COLOMB$ '!U16/Paramet!$C$10*1000</f>
        <v>66933.529411764714</v>
      </c>
      <c r="X16" s="26">
        <f>'COLOMB$ '!V16/Paramet!$C$8*1000</f>
        <v>47217.067225351777</v>
      </c>
      <c r="Y16" s="26">
        <f>'COLOMB$ '!W16/Paramet!$C$9*1000</f>
        <v>48622.146046084687</v>
      </c>
      <c r="Z16" s="26">
        <f>'COLOMB$ '!X16/Paramet!$C$10*1000</f>
        <v>661297.9411764706</v>
      </c>
      <c r="AA16" s="26">
        <f>'COLOMB$ '!Y16/Paramet!$C$8*1000</f>
        <v>486753.0585891215</v>
      </c>
      <c r="AB16" s="29">
        <f>+Z16-AA16</f>
        <v>174544.8825873491</v>
      </c>
      <c r="AC16" s="30">
        <f>IF(Z16=0,"",(AA16-Z16)/ABS(Z16)+1)</f>
        <v>0.73605712082389352</v>
      </c>
      <c r="AD16" s="26">
        <f>'COLOMB$ '!AB16/Paramet!$C$9*1000</f>
        <v>387726.21991926315</v>
      </c>
      <c r="AE16" s="28">
        <f>IF(AD16=0,"",(AA16-AD16)/ABS(AD16))</f>
        <v>0.25540402888016928</v>
      </c>
      <c r="AF16" s="76"/>
    </row>
    <row r="17" spans="2:33" x14ac:dyDescent="0.2">
      <c r="B17" s="16" t="str">
        <f>+'COLOMB$ '!B17</f>
        <v>Visual Experience</v>
      </c>
      <c r="C17" s="26">
        <f>+'COL. CONS.$'!C17/Paramet!$C$10*1000</f>
        <v>5518.2352941176478</v>
      </c>
      <c r="D17" s="27"/>
      <c r="E17" s="26">
        <f>+'COL. CONS.$'!E17/Paramet!$C$8*1000</f>
        <v>3893.4811245192595</v>
      </c>
      <c r="F17" s="27">
        <f t="shared" si="1"/>
        <v>2.0818693238109934E-2</v>
      </c>
      <c r="G17" s="27">
        <f t="shared" si="2"/>
        <v>0.70556634811669761</v>
      </c>
      <c r="H17" s="26">
        <f>+'COL. CONS.$'!H17/Paramet!$C$9*1000</f>
        <v>3334.0562967444484</v>
      </c>
      <c r="I17" s="27">
        <f t="shared" si="3"/>
        <v>1.6236829239596254E-2</v>
      </c>
      <c r="J17" s="28">
        <f t="shared" si="4"/>
        <v>0.16779105629411942</v>
      </c>
      <c r="K17" s="26">
        <f>+'COL. CONS.$'!K17/Paramet!$C$10*1000</f>
        <v>72507.058823529398</v>
      </c>
      <c r="L17" s="27">
        <f t="shared" si="5"/>
        <v>3.2417146093469844E-2</v>
      </c>
      <c r="M17" s="26">
        <f>+'COL. CONS.$'!M17/Paramet!$C$8*1000</f>
        <v>54364.986419009416</v>
      </c>
      <c r="N17" s="27">
        <f t="shared" si="6"/>
        <v>3.3256942394116897E-2</v>
      </c>
      <c r="O17" s="27">
        <f t="shared" si="7"/>
        <v>0.74978887988444143</v>
      </c>
      <c r="P17" s="26">
        <f>+'COL. CONS.$'!P17/Paramet!$C$9*1000</f>
        <v>54863.844179957654</v>
      </c>
      <c r="Q17" s="27">
        <f t="shared" si="8"/>
        <v>3.5362342733296449E-2</v>
      </c>
      <c r="R17" s="28">
        <f t="shared" si="9"/>
        <v>-9.0926505133680762E-3</v>
      </c>
      <c r="V17" s="16" t="s">
        <v>22</v>
      </c>
      <c r="W17" s="26">
        <f>'COLOMB$ '!U17/Paramet!$C$10*1000</f>
        <v>211907.0588235294</v>
      </c>
      <c r="X17" s="26">
        <f>'COLOMB$ '!V17/Paramet!$C$8*1000</f>
        <v>155929.80025904279</v>
      </c>
      <c r="Y17" s="26">
        <f>'COLOMB$ '!W17/Paramet!$C$9*1000</f>
        <v>209234.30398364403</v>
      </c>
      <c r="Z17" s="26">
        <f>'COLOMB$ '!X17/Paramet!$C$10*1000</f>
        <v>2085378.5294117648</v>
      </c>
      <c r="AA17" s="26">
        <f>'COLOMB$ '!Y17/Paramet!$C$8*1000</f>
        <v>1525712.7193335495</v>
      </c>
      <c r="AB17" s="29">
        <f>+AA17-Z17</f>
        <v>-559665.81007821532</v>
      </c>
      <c r="AC17" s="30">
        <f>IF(Z17=0,"",(AA17-Z17)/ABS(Z17)+1)</f>
        <v>0.73162387442624932</v>
      </c>
      <c r="AD17" s="26">
        <f>'COLOMB$ '!AB17/Paramet!$C$9*1000</f>
        <v>1683818.7068099554</v>
      </c>
      <c r="AE17" s="28">
        <f>IF(AD17=0,"",(AA17-AD17)/ABS(AD17))</f>
        <v>-9.3897274591955571E-2</v>
      </c>
      <c r="AF17" s="76"/>
    </row>
    <row r="18" spans="2:33" x14ac:dyDescent="0.2">
      <c r="B18" s="16" t="str">
        <f>+'COL. CONS.$'!B18</f>
        <v>Olfa Experience</v>
      </c>
      <c r="C18" s="26">
        <f>+'COL. CONS.$'!C18/Paramet!$C$10*1000</f>
        <v>33297.058823529413</v>
      </c>
      <c r="D18" s="27"/>
      <c r="E18" s="26">
        <f>+'COL. CONS.$'!E18/Paramet!$C$8*1000</f>
        <v>24994.97845355434</v>
      </c>
      <c r="F18" s="27">
        <f t="shared" si="1"/>
        <v>0.13364975256736761</v>
      </c>
      <c r="G18" s="27">
        <f t="shared" si="2"/>
        <v>0.75066625511955443</v>
      </c>
      <c r="H18" s="26">
        <f>+'COL. CONS.$'!H18/Paramet!$C$9*1000</f>
        <v>23607.913567755328</v>
      </c>
      <c r="I18" s="27">
        <f t="shared" si="3"/>
        <v>0.11497036258118459</v>
      </c>
      <c r="J18" s="32">
        <f t="shared" si="4"/>
        <v>5.8754234329861481E-2</v>
      </c>
      <c r="K18" s="26">
        <f>+'COL. CONS.$'!K18/Paramet!$C$10*1000</f>
        <v>288689.4117647059</v>
      </c>
      <c r="L18" s="27">
        <f t="shared" si="5"/>
        <v>0.1290700104053511</v>
      </c>
      <c r="M18" s="26">
        <f>+'COL. CONS.$'!M18/Paramet!$C$8*1000</f>
        <v>203756.18668731948</v>
      </c>
      <c r="N18" s="27">
        <f t="shared" si="6"/>
        <v>0.12464470626144936</v>
      </c>
      <c r="O18" s="27">
        <f t="shared" si="7"/>
        <v>0.70579722838394021</v>
      </c>
      <c r="P18" s="26">
        <f>+'COL. CONS.$'!P18/Paramet!$C$9*1000</f>
        <v>188455.84299081017</v>
      </c>
      <c r="Q18" s="27">
        <f t="shared" si="8"/>
        <v>0.12146870511067562</v>
      </c>
      <c r="R18" s="32">
        <f t="shared" si="9"/>
        <v>8.1187950735257475E-2</v>
      </c>
      <c r="AE18" s="2"/>
      <c r="AF18" s="76"/>
    </row>
    <row r="19" spans="2:33" x14ac:dyDescent="0.2">
      <c r="B19" s="16" t="str">
        <f>+'COLOMB$ '!B19</f>
        <v>Locutor virtual</v>
      </c>
      <c r="C19" s="26"/>
      <c r="D19" s="27"/>
      <c r="E19" s="26"/>
      <c r="F19" s="27"/>
      <c r="G19" s="27"/>
      <c r="H19" s="26">
        <f>+'COL. CONS.$'!H19/Paramet!$C$9*1000</f>
        <v>8769.6673516434239</v>
      </c>
      <c r="I19" s="27"/>
      <c r="J19" s="28"/>
      <c r="K19" s="26"/>
      <c r="L19" s="27"/>
      <c r="M19" s="26"/>
      <c r="N19" s="27"/>
      <c r="O19" s="27"/>
      <c r="P19" s="26"/>
      <c r="Q19" s="27"/>
      <c r="R19" s="28"/>
      <c r="T19" s="30">
        <f>+E27/C27</f>
        <v>0.76066276169386193</v>
      </c>
      <c r="U19" s="29" t="s">
        <v>87</v>
      </c>
      <c r="V19" s="16" t="s">
        <v>23</v>
      </c>
      <c r="W19" s="26">
        <f>+W11-W17</f>
        <v>102882.3529411765</v>
      </c>
      <c r="X19" s="26">
        <f>+X11-X17</f>
        <v>100509.96538226464</v>
      </c>
      <c r="Y19" s="26">
        <f>+Y11-Y17</f>
        <v>54558.79344560692</v>
      </c>
      <c r="Z19" s="26">
        <f>+Z11-Z17</f>
        <v>607838.23529411759</v>
      </c>
      <c r="AA19" s="26">
        <f>+AA11-AA17</f>
        <v>500883.10694671539</v>
      </c>
      <c r="AB19" s="29">
        <f>+AA19-Z19</f>
        <v>-106955.12834740221</v>
      </c>
      <c r="AC19" s="30">
        <f>IF(Z19=0,"",(AA19-Z19)/ABS(Z19)+1)</f>
        <v>0.82404014401027381</v>
      </c>
      <c r="AD19" s="26">
        <f>+AD11-AD17</f>
        <v>555135.18930132338</v>
      </c>
      <c r="AE19" s="28">
        <f>IF(AD19=0,"",(AA19-AD19)/ABS(AD19))</f>
        <v>-9.772769480329295E-2</v>
      </c>
      <c r="AF19" s="76"/>
    </row>
    <row r="20" spans="2:33" x14ac:dyDescent="0.2">
      <c r="B20" s="33" t="s">
        <v>24</v>
      </c>
      <c r="C20" s="34">
        <f>SUM(C10:C19)</f>
        <v>254200.8823529412</v>
      </c>
      <c r="D20" s="35">
        <f>+C20/$C$20</f>
        <v>1</v>
      </c>
      <c r="E20" s="34">
        <f>SUM(E10:E19)</f>
        <v>187018.51648363771</v>
      </c>
      <c r="F20" s="35">
        <f>+E20/$E$20</f>
        <v>1</v>
      </c>
      <c r="G20" s="35">
        <f>IF(C20=0,"",(E20-C20)/ABS(C20)+1)</f>
        <v>0.73571151583956662</v>
      </c>
      <c r="H20" s="34">
        <f>+'COL. CONS.$'!H20/Paramet!$C$9*1000</f>
        <v>205339.12425547894</v>
      </c>
      <c r="I20" s="35">
        <f>+H20/$H$20</f>
        <v>1</v>
      </c>
      <c r="J20" s="36">
        <f>IF(H20=0,"",(E20-H20)/ABS(H20))</f>
        <v>-8.9221222883209939E-2</v>
      </c>
      <c r="K20" s="34">
        <f>SUM(K10:K19)</f>
        <v>2236688.5294117648</v>
      </c>
      <c r="L20" s="35">
        <f>+K20/$K$20</f>
        <v>1</v>
      </c>
      <c r="M20" s="34">
        <f>SUM(M10:M19)</f>
        <v>1634695.8711582127</v>
      </c>
      <c r="N20" s="35">
        <f>+M20/$M$20</f>
        <v>1</v>
      </c>
      <c r="O20" s="35">
        <f>IF(K20=0,"",(M20-K20)/ABS(K20)+1)</f>
        <v>0.73085539164817348</v>
      </c>
      <c r="P20" s="34">
        <f>SUM(P10:P17)</f>
        <v>1551476.5125642819</v>
      </c>
      <c r="Q20" s="35">
        <f>+P20/$P$20</f>
        <v>1</v>
      </c>
      <c r="R20" s="36">
        <f>IF(P20=0,"",(M20-P20)/ABS(P20))</f>
        <v>5.3638813040350633E-2</v>
      </c>
      <c r="T20" s="30">
        <f>+E28/C28</f>
        <v>0.73657158047750648</v>
      </c>
      <c r="U20" s="29"/>
      <c r="V20" s="16"/>
      <c r="W20" s="26"/>
      <c r="X20" s="26"/>
      <c r="Y20" s="26"/>
      <c r="Z20" s="26"/>
      <c r="AA20" s="26"/>
      <c r="AB20" s="29"/>
      <c r="AC20" s="30"/>
      <c r="AD20" s="26"/>
      <c r="AE20" s="28" t="str">
        <f>IF(AD20=0,"",(AA20-AD20)/ABS(AD20))</f>
        <v/>
      </c>
      <c r="AF20" s="76"/>
      <c r="AG20" s="31"/>
    </row>
    <row r="21" spans="2:33" x14ac:dyDescent="0.2">
      <c r="J21" s="28"/>
      <c r="R21" s="28"/>
      <c r="T21" s="30">
        <f>+E30/C30</f>
        <v>0.72831077021258384</v>
      </c>
      <c r="U21" s="29"/>
      <c r="V21" s="16" t="s">
        <v>25</v>
      </c>
      <c r="W21" s="26">
        <f>+'COL. CONS.$'!U21/Paramet!C10*1000</f>
        <v>143881.76470588235</v>
      </c>
      <c r="X21" s="26">
        <f>+X10+X19</f>
        <v>120862.89418963078</v>
      </c>
      <c r="Y21" s="26">
        <f>'COLOMB$ '!W21/Paramet!$C$9*1000</f>
        <v>313216.62147819373</v>
      </c>
      <c r="Z21" s="26">
        <f>'COLOMB$ '!X21/Paramet!$C$10*1000</f>
        <v>750306.47058823518</v>
      </c>
      <c r="AA21" s="26">
        <f>+'COL. CONS.$'!Y21/Paramet!C8*1000</f>
        <v>607764.06862647762</v>
      </c>
      <c r="AB21" s="29">
        <f>+AA21-Z21</f>
        <v>-142542.40196175757</v>
      </c>
      <c r="AC21" s="30">
        <f>IF(Z21=0,"",(AA21-Z21)/ABS(Z21)+1)</f>
        <v>0.81002109464682437</v>
      </c>
      <c r="AD21" s="26">
        <f>'COLOMB$ '!AB21/Paramet!$C$9*1000</f>
        <v>709094.32018056279</v>
      </c>
      <c r="AE21" s="28">
        <f>IF(AD21=0,"",(AA21-AD21)/ABS(AD21))</f>
        <v>-0.14290094938044715</v>
      </c>
      <c r="AF21" s="76"/>
      <c r="AG21" s="31"/>
    </row>
    <row r="22" spans="2:33" x14ac:dyDescent="0.2">
      <c r="B22" s="16" t="s">
        <v>26</v>
      </c>
      <c r="C22" s="26">
        <f>+'COL. CONS.$'!C22/Paramet!$C$10*1000</f>
        <v>26764.411764705885</v>
      </c>
      <c r="D22" s="27">
        <f>+C22/$C$20</f>
        <v>0.10528842983143252</v>
      </c>
      <c r="E22" s="26">
        <f>+'COL. CONS.$'!E22/Paramet!$C$8*1000</f>
        <v>28866.913417047839</v>
      </c>
      <c r="F22" s="27">
        <f>+E22/$E$20</f>
        <v>0.15435323710084831</v>
      </c>
      <c r="G22" s="27">
        <f>IF(C22=0,"",(E22-C22)/ABS(C22)+1)</f>
        <v>1.0785558700421174</v>
      </c>
      <c r="H22" s="26">
        <f>+'COL. CONS.$'!H22/Paramet!$C$9*1000</f>
        <v>14071.218547571116</v>
      </c>
      <c r="I22" s="27">
        <f>+H22/$H$20</f>
        <v>6.8526729129632299E-2</v>
      </c>
      <c r="J22" s="28">
        <f>IF(H22=0,"",(E22-H22)/ABS(H22))</f>
        <v>1.0514863954003943</v>
      </c>
      <c r="K22" s="26">
        <f>+'COL. CONS.$'!K22/Paramet!$C$10*1000</f>
        <v>198895.29411764708</v>
      </c>
      <c r="L22" s="27">
        <f>+K22/$K$20</f>
        <v>8.8924001488019128E-2</v>
      </c>
      <c r="M22" s="26">
        <f>+'COL. CONS.$'!M22/Paramet!$C$8*1000</f>
        <v>155357.59295862599</v>
      </c>
      <c r="N22" s="27">
        <f>+M22/$M$20</f>
        <v>9.5037612622433695E-2</v>
      </c>
      <c r="O22" s="27">
        <f>IF(K22=0,"",(M22-K22)/ABS(K22)+1)</f>
        <v>0.78110240691130461</v>
      </c>
      <c r="P22" s="26">
        <f>+'COL. CONS.$'!P22/Paramet!$C$9*1000</f>
        <v>103267.22523131003</v>
      </c>
      <c r="Q22" s="27">
        <f>+P22/$P$20</f>
        <v>6.6560611388586127E-2</v>
      </c>
      <c r="R22" s="28">
        <f>IF(P22=0,"",(M22-P22)/ABS(P22))</f>
        <v>0.50442304042388908</v>
      </c>
      <c r="T22" s="30">
        <f>+E32/C32</f>
        <v>0.75189468508263257</v>
      </c>
      <c r="U22" s="29"/>
      <c r="AE22" s="28"/>
      <c r="AF22" s="76"/>
      <c r="AG22" s="31"/>
    </row>
    <row r="23" spans="2:33" x14ac:dyDescent="0.2">
      <c r="J23" s="28"/>
      <c r="R23" s="28"/>
      <c r="T23" s="30">
        <f>+E33/C33</f>
        <v>0.74605971534859428</v>
      </c>
      <c r="U23" s="82">
        <v>2101</v>
      </c>
      <c r="V23" s="16" t="s">
        <v>27</v>
      </c>
      <c r="W23" s="26">
        <f>'COLOMB$ '!U23/Paramet!$C$10*1000</f>
        <v>0</v>
      </c>
      <c r="X23" s="26">
        <f>'COLOMB$ '!V23/Paramet!$C$8*1000</f>
        <v>23805.023642618056</v>
      </c>
      <c r="Y23" s="26">
        <f>'COLOMB$ '!W23/Paramet!$C$9*1000</f>
        <v>0</v>
      </c>
      <c r="Z23" s="26">
        <f>'COLOMB$ '!X23/Paramet!$C$10*1000</f>
        <v>124936.76470588235</v>
      </c>
      <c r="AA23" s="26">
        <f>'COLOMB$ '!Y23/Paramet!$C$8*1000</f>
        <v>157896.37770378657</v>
      </c>
      <c r="AB23" s="29">
        <f>+AA23-Z23</f>
        <v>32959.612997904216</v>
      </c>
      <c r="AC23" s="30">
        <f>IF(Z23=0,"",(AA23-Z23)/ABS(Z23)+1)</f>
        <v>1.2638103609893814</v>
      </c>
      <c r="AD23" s="26">
        <f>'COLOMB$ '!AB23/Paramet!$C$9*1000</f>
        <v>100319.13197450635</v>
      </c>
      <c r="AE23" s="28">
        <f>IF(AD23=0,"",(AA23-AD23)/ABS(AD23))</f>
        <v>0.57394082859401196</v>
      </c>
      <c r="AF23" s="76"/>
    </row>
    <row r="24" spans="2:33" x14ac:dyDescent="0.2">
      <c r="B24" s="16" t="s">
        <v>28</v>
      </c>
      <c r="C24" s="26">
        <f>C20-C22</f>
        <v>227436.47058823533</v>
      </c>
      <c r="D24" s="27">
        <f>+C24/$C$20</f>
        <v>0.8947115701685675</v>
      </c>
      <c r="E24" s="26">
        <f>E20-E22</f>
        <v>158151.60306658986</v>
      </c>
      <c r="F24" s="27">
        <f>+E24/$E$20</f>
        <v>0.84564676289915164</v>
      </c>
      <c r="G24" s="27">
        <f>IF(C24=0,"",(E24-C24)/ABS(C24)+1)</f>
        <v>0.69536606269676526</v>
      </c>
      <c r="H24" s="26">
        <f>+'COL. CONS.$'!H24/Paramet!$C$9*1000</f>
        <v>191267.90570790783</v>
      </c>
      <c r="I24" s="27">
        <f>+H24/$H$20</f>
        <v>0.9314732708703678</v>
      </c>
      <c r="J24" s="28">
        <f>IF(H24=0,"",(E24-H24)/ABS(H24))</f>
        <v>-0.17314092774085729</v>
      </c>
      <c r="K24" s="26">
        <f>K20-K22</f>
        <v>2037793.2352941178</v>
      </c>
      <c r="L24" s="27">
        <f>+K24/$K$20</f>
        <v>0.91107599851198096</v>
      </c>
      <c r="M24" s="26">
        <f>M20-M22</f>
        <v>1479338.2781995866</v>
      </c>
      <c r="N24" s="27">
        <f>+M24/$M$20</f>
        <v>0.90496238737756629</v>
      </c>
      <c r="O24" s="27">
        <f>IF(K24=0,"",(M24-K24)/ABS(K24)+1)</f>
        <v>0.72595111838521309</v>
      </c>
      <c r="P24" s="26">
        <f>P20-P22</f>
        <v>1448209.2873329718</v>
      </c>
      <c r="Q24" s="27">
        <f>+P24/$P$20</f>
        <v>0.93343938861141384</v>
      </c>
      <c r="R24" s="28">
        <f>IF(P24=0,"",(M24-P24)/ABS(P24))</f>
        <v>2.1494815106414638E-2</v>
      </c>
      <c r="T24" s="30">
        <f>+E34/C34</f>
        <v>0.7395768577072992</v>
      </c>
      <c r="U24" s="29" t="s">
        <v>88</v>
      </c>
      <c r="AE24" s="28"/>
      <c r="AF24" s="76"/>
    </row>
    <row r="25" spans="2:33" x14ac:dyDescent="0.2">
      <c r="J25" s="28"/>
      <c r="R25" s="28"/>
      <c r="T25" s="30">
        <f>+E36/C36</f>
        <v>0.12537865410474044</v>
      </c>
      <c r="U25" s="82" t="s">
        <v>89</v>
      </c>
      <c r="V25" s="16" t="s">
        <v>29</v>
      </c>
      <c r="W25" s="26">
        <f>'COLOMB$ '!U25/Paramet!$C$10*1000</f>
        <v>91103.823529411777</v>
      </c>
      <c r="X25" s="26">
        <f>'COLOMB$ '!V25/Paramet!$C$8*1000</f>
        <v>59255.2235314106</v>
      </c>
      <c r="Y25" s="26">
        <f>'COLOMB$ '!W25/Paramet!$C$9*1000</f>
        <v>65169.423688547678</v>
      </c>
      <c r="Z25" s="26">
        <f>'COLOMB$ '!X25/Paramet!$C$10*1000</f>
        <v>487171.4705882353</v>
      </c>
      <c r="AA25" s="26">
        <f>'COLOMB$ '!Y25/Paramet!$C$8*1000</f>
        <v>355036.17802681774</v>
      </c>
      <c r="AB25" s="29">
        <f>+AA25-Z25</f>
        <v>-132135.29256141756</v>
      </c>
      <c r="AC25" s="30">
        <f>IF(Z25=0,"",(AA25-Z25)/ABS(Z25)+1)</f>
        <v>0.72877046268355827</v>
      </c>
      <c r="AD25" s="26">
        <f>'COLOMB$ '!AB25/Paramet!$C$9*1000</f>
        <v>370441.34070117975</v>
      </c>
      <c r="AE25" s="28">
        <f>IF(AD25=0,"",(AA25-AD25)/ABS(AD25))</f>
        <v>-4.1585970521548089E-2</v>
      </c>
    </row>
    <row r="26" spans="2:33" x14ac:dyDescent="0.2">
      <c r="B26" s="16" t="s">
        <v>30</v>
      </c>
      <c r="C26" s="26">
        <f>+'COL. CONS.$'!C26/Paramet!$C$10*1000</f>
        <v>63697.058823529413</v>
      </c>
      <c r="D26" s="27">
        <f>+C26/$C$20</f>
        <v>0.25057764644219543</v>
      </c>
      <c r="E26" s="26">
        <f>+'COL. CONS.$'!E26/Paramet!$C$8*1000</f>
        <v>44977.734748139366</v>
      </c>
      <c r="F26" s="27">
        <f>+E26/$E$20</f>
        <v>0.24049883184735069</v>
      </c>
      <c r="G26" s="27">
        <f>IF(C26=0,"",(E26-C26)/ABS(C26)+1)</f>
        <v>0.70611949089751047</v>
      </c>
      <c r="H26" s="26">
        <f>+'COL. CONS.$'!H26/Paramet!$C$9*1000</f>
        <v>46214.052012162698</v>
      </c>
      <c r="I26" s="27">
        <f>+H26/$H$20</f>
        <v>0.22506208780097881</v>
      </c>
      <c r="J26" s="28">
        <f>IF(H26=0,"",(E26-H26)/ABS(H26))</f>
        <v>-2.6751977162659427E-2</v>
      </c>
      <c r="K26" s="26">
        <f>+'COL. CONS.$'!K26/Paramet!$C$10*1000</f>
        <v>524707.3529411765</v>
      </c>
      <c r="L26" s="27">
        <f>+K26/$K$20</f>
        <v>0.23459115833136199</v>
      </c>
      <c r="M26" s="26">
        <f>+'COL. CONS.$'!M26/Paramet!$C$8*1000</f>
        <v>385009.81669965381</v>
      </c>
      <c r="N26" s="27">
        <f>+M26/$M$20</f>
        <v>0.23552382035862557</v>
      </c>
      <c r="O26" s="27">
        <f>IF(K26=0,"",(M26-K26)/ABS(K26)+1)</f>
        <v>0.73376104707039658</v>
      </c>
      <c r="P26" s="26">
        <f>+'COL. CONS.$'!P26/Paramet!$C$9*1000</f>
        <v>379049.95708898787</v>
      </c>
      <c r="Q26" s="27">
        <f>+P26/$P$20</f>
        <v>0.24431562709415028</v>
      </c>
      <c r="R26" s="28">
        <f>IF(P26=0,"",(M26-P26)/ABS(P26))</f>
        <v>1.5723150733049071E-2</v>
      </c>
      <c r="T26" s="30">
        <f>+E38/C38</f>
        <v>1.9558066857418359</v>
      </c>
      <c r="U26" s="82" t="s">
        <v>90</v>
      </c>
      <c r="AE26" s="28"/>
    </row>
    <row r="27" spans="2:33" x14ac:dyDescent="0.2">
      <c r="B27" s="16" t="s">
        <v>31</v>
      </c>
      <c r="C27" s="26">
        <f>+'COL. CONS.$'!C27/Paramet!$C$10*1000</f>
        <v>80515.294117647063</v>
      </c>
      <c r="D27" s="27">
        <f>+C27/$C$20</f>
        <v>0.31673884595670632</v>
      </c>
      <c r="E27" s="26">
        <f>+'COL. CONS.$'!E27/Paramet!$C$8*1000</f>
        <v>61244.985982122969</v>
      </c>
      <c r="F27" s="27">
        <f>+E27/$E$20</f>
        <v>0.3274808673155169</v>
      </c>
      <c r="G27" s="27">
        <f>IF(C27=0,"",(E27-C27)/ABS(C27)+1)</f>
        <v>0.76066276169386193</v>
      </c>
      <c r="H27" s="26">
        <f>+'COL. CONS.$'!H27/Paramet!$C$9*1000</f>
        <v>74572.996294345299</v>
      </c>
      <c r="I27" s="27">
        <f>+H27/$H$20</f>
        <v>0.36316993444251294</v>
      </c>
      <c r="J27" s="28">
        <f>IF(H27=0,"",(E27-H27)/ABS(H27))</f>
        <v>-0.17872435029451758</v>
      </c>
      <c r="K27" s="26">
        <f>+'COL. CONS.$'!K27/Paramet!$C$10*1000</f>
        <v>749140</v>
      </c>
      <c r="L27" s="27">
        <f>+K27/$K$20</f>
        <v>0.33493264267645667</v>
      </c>
      <c r="M27" s="26">
        <f>+'COL. CONS.$'!M27/Paramet!$C$8*1000</f>
        <v>562136.32745963766</v>
      </c>
      <c r="N27" s="27">
        <f>+M27/$M$20</f>
        <v>0.3438782328735886</v>
      </c>
      <c r="O27" s="27">
        <f>IF(K27=0,"",(M27-K27)/ABS(K27)+1)</f>
        <v>0.75037553389171274</v>
      </c>
      <c r="P27" s="26">
        <f>+'COL. CONS.$'!P27/Paramet!$C$9*1000</f>
        <v>689210.52722000261</v>
      </c>
      <c r="Q27" s="27">
        <f>+P27/$P$20</f>
        <v>0.44422878570096735</v>
      </c>
      <c r="R27" s="28">
        <f>IF(P27=0,"",(M27-P27)/ABS(P27))</f>
        <v>-0.18437646370976229</v>
      </c>
      <c r="T27" s="30">
        <f>+E39/C39</f>
        <v>1.0968225061782082</v>
      </c>
      <c r="U27" s="29"/>
      <c r="V27" s="16" t="s">
        <v>32</v>
      </c>
      <c r="W27" s="26">
        <f>'COLOMB$ '!U27/Paramet!$C$10*1000</f>
        <v>23995.882352941178</v>
      </c>
      <c r="X27" s="26">
        <f>'COLOMB$ '!V27/Paramet!$C$8*1000</f>
        <v>6528.9043240726651</v>
      </c>
      <c r="Y27" s="26">
        <f>'COLOMB$ '!W27/Paramet!$C$9*1000</f>
        <v>24370.423675508777</v>
      </c>
      <c r="Z27" s="26">
        <f>'COLOMB$ '!X27/Paramet!$C$10*1000</f>
        <v>-4554.4117647058829</v>
      </c>
      <c r="AA27" s="26">
        <f>'COLOMB$ '!Y27/Paramet!$C$8*1000</f>
        <v>-14474.198902488268</v>
      </c>
      <c r="AB27" s="29">
        <f>+AA27-Z27</f>
        <v>-9919.7871377823849</v>
      </c>
      <c r="AC27" s="30">
        <f>IF(Z27=0,"",(AA27-Z27)/ABS(Z27)+1)</f>
        <v>-1.1780611087155379</v>
      </c>
      <c r="AD27" s="26">
        <f>'COLOMB$ '!AB27/Paramet!$C$9*1000</f>
        <v>14657.065864687536</v>
      </c>
      <c r="AE27" s="28">
        <f>IF(AD27=0,"",(AA27-AD27)/ABS(AD27))</f>
        <v>-1.9875236309990363</v>
      </c>
    </row>
    <row r="28" spans="2:33" x14ac:dyDescent="0.2">
      <c r="B28" s="16" t="s">
        <v>33</v>
      </c>
      <c r="C28" s="26">
        <f>SUM(C26:C27)</f>
        <v>144212.35294117648</v>
      </c>
      <c r="D28" s="27">
        <f>+C28/$C$20</f>
        <v>0.5673164923989017</v>
      </c>
      <c r="E28" s="26">
        <f>SUM(E26:E27)</f>
        <v>106222.72073026234</v>
      </c>
      <c r="F28" s="27">
        <f>+E28/$E$20</f>
        <v>0.56797969916286761</v>
      </c>
      <c r="G28" s="27">
        <f>IF(C28=0,"",(E28-C28)/ABS(C28)+1)</f>
        <v>0.73657158047750659</v>
      </c>
      <c r="H28" s="26">
        <f>+'COL. CONS.$'!H28/Paramet!$C$9*1000</f>
        <v>120787.04830650799</v>
      </c>
      <c r="I28" s="27">
        <f>+H28/$H$20</f>
        <v>0.58823202224349169</v>
      </c>
      <c r="J28" s="28">
        <f>IF(H28=0,"",(E28-H28)/ABS(H28))</f>
        <v>-0.12057855358206417</v>
      </c>
      <c r="K28" s="26">
        <f>SUM(K26:K27)</f>
        <v>1273847.3529411764</v>
      </c>
      <c r="L28" s="27">
        <f>+K28/$K$20</f>
        <v>0.56952380100781863</v>
      </c>
      <c r="M28" s="26">
        <f>SUM(M26:M27)</f>
        <v>947146.14415929141</v>
      </c>
      <c r="N28" s="27">
        <f>+M28/$M$20</f>
        <v>0.57940205323221416</v>
      </c>
      <c r="O28" s="27">
        <f>IF(K28=0,"",(M28-K28)/ABS(K28)+1)</f>
        <v>0.74353190119085533</v>
      </c>
      <c r="P28" s="26">
        <f>SUM(P26:P27)</f>
        <v>1068260.4843089904</v>
      </c>
      <c r="Q28" s="27">
        <f>+P28/$P$20</f>
        <v>0.68854441279511758</v>
      </c>
      <c r="R28" s="28">
        <f>IF(P28=0,"",(M28-P28)/ABS(P28))</f>
        <v>-0.1133752880768986</v>
      </c>
      <c r="T28" s="30">
        <f>+E41/C41</f>
        <v>-0.17886530531937492</v>
      </c>
      <c r="U28" s="14"/>
      <c r="V28" s="16" t="s">
        <v>34</v>
      </c>
      <c r="W28" s="26">
        <f>'COLOMB$ '!U28/Paramet!$C$10*1000</f>
        <v>22794.117647058822</v>
      </c>
      <c r="X28" s="26">
        <f>'COLOMB$ '!V28/Paramet!$C$8*1000</f>
        <v>15497.623381810079</v>
      </c>
      <c r="Y28" s="26">
        <f>'COLOMB$ '!W28/Paramet!$C$9*1000</f>
        <v>0</v>
      </c>
      <c r="Z28" s="26">
        <f>'COLOMB$ '!X28/Paramet!$C$10*1000</f>
        <v>136764.70588235292</v>
      </c>
      <c r="AA28" s="26">
        <f>'COLOMB$ '!Y28/Paramet!$C$8*1000</f>
        <v>93529.615164814313</v>
      </c>
      <c r="AB28" s="29">
        <f>+AA28-Z28</f>
        <v>-43235.090717538609</v>
      </c>
      <c r="AC28" s="30">
        <f>IF(Z28=0,"",(AA28-Z28)/ABS(Z28)+1)</f>
        <v>0.68387245496853488</v>
      </c>
      <c r="AD28" s="26">
        <f>'COLOMB$ '!AB28/Paramet!$C$9*1000</f>
        <v>0</v>
      </c>
      <c r="AE28" s="28" t="str">
        <f>IF(AD28=0,"",(AA28-AD28)/ABS(AD28))</f>
        <v/>
      </c>
    </row>
    <row r="29" spans="2:33" x14ac:dyDescent="0.2">
      <c r="J29" s="28"/>
      <c r="R29" s="28"/>
      <c r="T29" s="21">
        <f>+E42/C42</f>
        <v>0.39045414112127386</v>
      </c>
      <c r="U29" s="21"/>
      <c r="AE29" s="2"/>
    </row>
    <row r="30" spans="2:33" x14ac:dyDescent="0.2">
      <c r="B30" s="16" t="s">
        <v>35</v>
      </c>
      <c r="C30" s="26">
        <f>+'COL. CONS.$'!C30/Paramet!$C$10*1000</f>
        <v>16540.294117647059</v>
      </c>
      <c r="D30" s="27">
        <f>+C30/$C$20</f>
        <v>6.5067807650966175E-2</v>
      </c>
      <c r="E30" s="26">
        <f>+'COL. CONS.$'!E30/Paramet!$C$8*1000</f>
        <v>12046.474348366201</v>
      </c>
      <c r="F30" s="27">
        <f>+E30/$E$20</f>
        <v>6.4413270807974515E-2</v>
      </c>
      <c r="G30" s="27">
        <f>IF(C30=0,"",(E30-C30)/ABS(C30)+1)</f>
        <v>0.72831077021258395</v>
      </c>
      <c r="H30" s="26">
        <f>+'COL. CONS.$'!H30/Paramet!$C$9*1000</f>
        <v>10719.75587011172</v>
      </c>
      <c r="I30" s="27">
        <f>+H30/$H$20</f>
        <v>5.2205130946085115E-2</v>
      </c>
      <c r="J30" s="28">
        <f>IF(H30=0,"",(E30-H30)/ABS(H30))</f>
        <v>0.12376387058902807</v>
      </c>
      <c r="K30" s="26">
        <f>+'COL. CONS.$'!K30/Paramet!$C$10*1000</f>
        <v>140447.64705882352</v>
      </c>
      <c r="L30" s="27">
        <f>+K30/$K$20</f>
        <v>6.2792671045601683E-2</v>
      </c>
      <c r="M30" s="26">
        <f>+'COL. CONS.$'!M30/Paramet!$C$8*1000</f>
        <v>99611.170076808179</v>
      </c>
      <c r="N30" s="27">
        <f>+M30/$M$20</f>
        <v>6.0935597767327689E-2</v>
      </c>
      <c r="O30" s="27">
        <f>IF(K30=0,"",(M30-K30)/ABS(K30)+1)</f>
        <v>0.70924057585021805</v>
      </c>
      <c r="P30" s="26">
        <f>+'COL. CONS.$'!P30/Paramet!$C$9*1000</f>
        <v>95064.438412070886</v>
      </c>
      <c r="Q30" s="27">
        <f>+P30/$P$20</f>
        <v>6.1273527276895917E-2</v>
      </c>
      <c r="R30" s="28">
        <f>IF(P30=0,"",(M30-P30)/ABS(P30))</f>
        <v>4.7827891698353192E-2</v>
      </c>
      <c r="T30" s="30">
        <f>+E43/C43</f>
        <v>-1.7583733773083423</v>
      </c>
      <c r="U30" s="14"/>
      <c r="V30" s="33" t="s">
        <v>36</v>
      </c>
      <c r="W30" s="34">
        <f>+W21-W23-W25-W27-W28</f>
        <v>5987.9411764705728</v>
      </c>
      <c r="X30" s="34">
        <f>+X21-X23-X25-X27-X28</f>
        <v>15776.119309719374</v>
      </c>
      <c r="Y30" s="34">
        <f>+Y21-Y23-Y25-Y27-Y28</f>
        <v>223676.77411413728</v>
      </c>
      <c r="Z30" s="34">
        <f>'COLOMB$ '!X30/Paramet!$C$10*1000</f>
        <v>5987.9411764705883</v>
      </c>
      <c r="AA30" s="34">
        <f>+'COL. CONS.$'!Y30/Paramet!C8*1000</f>
        <v>15776.096633547266</v>
      </c>
      <c r="AB30" s="38">
        <f>+AA30-Z30</f>
        <v>9788.1554570766784</v>
      </c>
      <c r="AC30" s="39">
        <f>IF(W30=0,"",(X30-W30)/ABS(W30)+1)</f>
        <v>2.6346483448620273</v>
      </c>
      <c r="AD30" s="34">
        <f>+AD21-AD23-AD25-AD27-AD28</f>
        <v>223676.78164018921</v>
      </c>
      <c r="AE30" s="28">
        <f>IF(AD30=0,"",(AA30-AD30)/ABS(AD30))</f>
        <v>-0.92946922555902556</v>
      </c>
    </row>
    <row r="31" spans="2:33" x14ac:dyDescent="0.2">
      <c r="J31" s="28"/>
      <c r="R31" s="28"/>
      <c r="T31" s="30">
        <f>+E45/C45</f>
        <v>0.55115595225480907</v>
      </c>
      <c r="U31" s="14"/>
      <c r="W31" s="76"/>
      <c r="X31" s="76"/>
      <c r="Y31" s="76"/>
      <c r="Z31" s="76"/>
      <c r="AA31" s="76"/>
      <c r="AB31" s="76"/>
    </row>
    <row r="32" spans="2:33" x14ac:dyDescent="0.2">
      <c r="B32" s="16" t="s">
        <v>37</v>
      </c>
      <c r="C32" s="26">
        <f>+'COL. CONS.$'!C31/Paramet!$C$10*1000</f>
        <v>50312.647058823532</v>
      </c>
      <c r="D32" s="27">
        <f>+C32/$C$20</f>
        <v>0.19792475381327643</v>
      </c>
      <c r="E32" s="26">
        <f>+'COL. CONS.$'!E31/Paramet!$C$8*1000</f>
        <v>37829.811915967759</v>
      </c>
      <c r="F32" s="27">
        <f>+E32/$E$20</f>
        <v>0.2022784301108361</v>
      </c>
      <c r="G32" s="27">
        <f>IF(C32=0,"",(E32-C32)/ABS(C32)+1)</f>
        <v>0.75189468508263257</v>
      </c>
      <c r="H32" s="26">
        <f>+'COL. CONS.$'!H31/Paramet!$C$9*1000</f>
        <v>38818.682990497255</v>
      </c>
      <c r="I32" s="27">
        <f>+H32/$H$20</f>
        <v>0.18904669595356707</v>
      </c>
      <c r="J32" s="28">
        <f>IF(H32=0,"",(E32-H32)/ABS(H32))</f>
        <v>-2.5474101601323507E-2</v>
      </c>
      <c r="K32" s="26">
        <f>+'COL. CONS.$'!K31/Paramet!$C$10*1000</f>
        <v>462639.70588235295</v>
      </c>
      <c r="L32" s="27">
        <f>+K32/$K$20</f>
        <v>0.20684136382816981</v>
      </c>
      <c r="M32" s="26">
        <f>+'COL. CONS.$'!M31/Paramet!$C$8*1000</f>
        <v>335835.32800022955</v>
      </c>
      <c r="N32" s="27">
        <f>+M32/$M$20</f>
        <v>0.20544208493184971</v>
      </c>
      <c r="O32" s="27">
        <f>IF(K32=0,"",(M32-K32)/ABS(K32)+1)</f>
        <v>0.72591116527648591</v>
      </c>
      <c r="P32" s="26">
        <f>+'COL. CONS.$'!P31/Paramet!$C$9*1000</f>
        <v>355578.87210666866</v>
      </c>
      <c r="Q32" s="27">
        <f>+P32/$P$20</f>
        <v>0.229187402598166</v>
      </c>
      <c r="R32" s="28">
        <f>IF(P32=0,"",(M32-P32)/ABS(P32))</f>
        <v>-5.5525076586992267E-2</v>
      </c>
      <c r="T32" s="30">
        <f>+E46/C46</f>
        <v>0.71706296242846057</v>
      </c>
      <c r="U32" s="14"/>
    </row>
    <row r="33" spans="2:27" x14ac:dyDescent="0.2">
      <c r="B33" s="16" t="s">
        <v>38</v>
      </c>
      <c r="C33" s="26">
        <f>SUM(C30:C32)</f>
        <v>66852.941176470587</v>
      </c>
      <c r="D33" s="27">
        <f>+C33/$C$20</f>
        <v>0.2629925614642426</v>
      </c>
      <c r="E33" s="26">
        <f>SUM(E30:E32)</f>
        <v>49876.286264333961</v>
      </c>
      <c r="F33" s="27">
        <f>+E33/$E$20</f>
        <v>0.26669170091881061</v>
      </c>
      <c r="G33" s="27">
        <f>IF(C33=0,"",(E33-C33)/ABS(C33)+1)</f>
        <v>0.74605971534859417</v>
      </c>
      <c r="H33" s="26">
        <f>SUM(H30:H32)</f>
        <v>49538.438860608978</v>
      </c>
      <c r="I33" s="27">
        <f>+H33/$H$20</f>
        <v>0.24125182689965219</v>
      </c>
      <c r="J33" s="28">
        <f>IF(H33=0,"",(E33-H33)/ABS(H33))</f>
        <v>6.8199041289051694E-3</v>
      </c>
      <c r="K33" s="26">
        <f>SUM(K30:K32)</f>
        <v>603087.3529411765</v>
      </c>
      <c r="L33" s="27">
        <f>+K33/$K$20</f>
        <v>0.26963403487377152</v>
      </c>
      <c r="M33" s="26">
        <f>SUM(M30:M32)</f>
        <v>435446.49807703774</v>
      </c>
      <c r="N33" s="27">
        <f>+M33/$M$20</f>
        <v>0.26637768269917739</v>
      </c>
      <c r="O33" s="27">
        <f>IF(K33=0,"",(M33-K33)/ABS(K33)+1)</f>
        <v>0.72202890004809972</v>
      </c>
      <c r="P33" s="26">
        <f>SUM(P30:P32)</f>
        <v>450643.31051873951</v>
      </c>
      <c r="Q33" s="27">
        <f>+P33/$P$20</f>
        <v>0.29046092987506189</v>
      </c>
      <c r="R33" s="28">
        <f>IF(P33=0,"",(M33-P33)/ABS(P33))</f>
        <v>-3.37224853603365E-2</v>
      </c>
    </row>
    <row r="34" spans="2:27" x14ac:dyDescent="0.2">
      <c r="B34" s="16" t="s">
        <v>39</v>
      </c>
      <c r="C34" s="26">
        <f>+C28+C33</f>
        <v>211065.29411764705</v>
      </c>
      <c r="D34" s="27">
        <f>+C34/$C$20</f>
        <v>0.83030905386314424</v>
      </c>
      <c r="E34" s="26">
        <f>+E28+E33</f>
        <v>156099.0069945963</v>
      </c>
      <c r="F34" s="27">
        <f>+E34/$E$20</f>
        <v>0.83467140008167828</v>
      </c>
      <c r="G34" s="27">
        <f>IF(C34=0,"",(E34-C34)/ABS(C34)+1)</f>
        <v>0.7395768577072992</v>
      </c>
      <c r="H34" s="26">
        <f>+H28+H33</f>
        <v>170325.48716711695</v>
      </c>
      <c r="I34" s="27">
        <f>+H34/$H$20</f>
        <v>0.82948384914314377</v>
      </c>
      <c r="J34" s="28">
        <f>IF(H34=0,"",(E34-H34)/ABS(H34))</f>
        <v>-8.3525257488693758E-2</v>
      </c>
      <c r="K34" s="26">
        <f>+K28+K33</f>
        <v>1876934.7058823528</v>
      </c>
      <c r="L34" s="27">
        <f>+K34/$K$20</f>
        <v>0.8391578358815901</v>
      </c>
      <c r="M34" s="26">
        <f>+M28+M33</f>
        <v>1382592.6422363291</v>
      </c>
      <c r="N34" s="27">
        <f>+M34/$M$20</f>
        <v>0.84577973593139155</v>
      </c>
      <c r="O34" s="27">
        <f>IF(K34=0,"",(M34-K34)/ABS(K34)+1)</f>
        <v>0.73662266348597782</v>
      </c>
      <c r="P34" s="26">
        <f>+P28+P33</f>
        <v>1518903.7948277299</v>
      </c>
      <c r="Q34" s="27">
        <f>+P34/$P$20</f>
        <v>0.97900534267017958</v>
      </c>
      <c r="R34" s="28">
        <f>IF(P34=0,"",(M34-P34)/ABS(P34))</f>
        <v>-8.9743111483147509E-2</v>
      </c>
    </row>
    <row r="35" spans="2:27" x14ac:dyDescent="0.2">
      <c r="J35" s="28"/>
      <c r="R35" s="28"/>
    </row>
    <row r="36" spans="2:27" x14ac:dyDescent="0.2">
      <c r="B36" s="16" t="s">
        <v>40</v>
      </c>
      <c r="C36" s="26">
        <f>C24-C34</f>
        <v>16371.176470588282</v>
      </c>
      <c r="D36" s="27">
        <f>+C36/$C$20</f>
        <v>6.4402516305423277E-2</v>
      </c>
      <c r="E36" s="26">
        <f>E24-E34</f>
        <v>2052.5960719935538</v>
      </c>
      <c r="F36" s="27">
        <f>+E36/$E$20</f>
        <v>1.0975362817473402E-2</v>
      </c>
      <c r="G36" s="27">
        <f>IF(C36=0,"",(E36-C36)/ABS(C36)+1)</f>
        <v>0.12537865410474047</v>
      </c>
      <c r="H36" s="26">
        <f>H24-H34</f>
        <v>20942.418540790881</v>
      </c>
      <c r="I36" s="27">
        <f>+H36/$H$20</f>
        <v>0.10198942172722394</v>
      </c>
      <c r="J36" s="28">
        <f>IF(H36=0,"",(E36-H36)/ABS(H36))</f>
        <v>-0.90198858512947866</v>
      </c>
      <c r="K36" s="26">
        <f>K24-K34</f>
        <v>160858.52941176505</v>
      </c>
      <c r="L36" s="27">
        <f>+K36/$K$20</f>
        <v>7.1918162630390844E-2</v>
      </c>
      <c r="M36" s="26">
        <f>M24-M34</f>
        <v>96745.635963257402</v>
      </c>
      <c r="N36" s="27">
        <f>+M36/$M$20</f>
        <v>5.9182651446174697E-2</v>
      </c>
      <c r="O36" s="27">
        <f>IF(K36=0,"",(M36-K36)/ABS(K36)+1)</f>
        <v>0.60143305000388447</v>
      </c>
      <c r="P36" s="26">
        <f>P24-P34</f>
        <v>-70694.507494758116</v>
      </c>
      <c r="Q36" s="27">
        <f>+P36/$P$20</f>
        <v>-4.5565954058765713E-2</v>
      </c>
      <c r="R36" s="28">
        <f>IF(P36=0,"",(M36-P36)/ABS(P36))</f>
        <v>2.3685028638247596</v>
      </c>
      <c r="Z36" s="31"/>
      <c r="AA36" s="31"/>
    </row>
    <row r="37" spans="2:27" ht="11.25" customHeight="1" x14ac:dyDescent="0.2">
      <c r="J37" s="28"/>
      <c r="R37" s="28"/>
    </row>
    <row r="38" spans="2:27" x14ac:dyDescent="0.2">
      <c r="B38" s="16" t="s">
        <v>41</v>
      </c>
      <c r="C38" s="26">
        <f>+'COL. CONS.$'!C38/Paramet!$C$10*1000</f>
        <v>188.23529411764704</v>
      </c>
      <c r="D38" s="27">
        <f>+C38/$C$20</f>
        <v>7.4049819330011108E-4</v>
      </c>
      <c r="E38" s="26">
        <f>+'COL. CONS.$'!E38/Paramet!$C$8*1000</f>
        <v>368.15184672787495</v>
      </c>
      <c r="F38" s="27">
        <f>+E38/$E$20</f>
        <v>1.9685315317966639E-3</v>
      </c>
      <c r="G38" s="27">
        <f>IF(C38=0,"",(E38-C38)/ABS(C38)+1)</f>
        <v>1.9558066857418357</v>
      </c>
      <c r="H38" s="26">
        <f>+'COL. CONS.$'!H38/Paramet!$C$9*1000</f>
        <v>621.56515015594528</v>
      </c>
      <c r="I38" s="27">
        <f>+H38/$H$20</f>
        <v>3.0270176344114825E-3</v>
      </c>
      <c r="J38" s="28">
        <f>IF(H38=0,"",(E38-H38)/ABS(H38))</f>
        <v>-0.40770191727205285</v>
      </c>
      <c r="K38" s="26">
        <f>+'COL. CONS.$'!K38/Paramet!$C$10*1000</f>
        <v>1694.1176470588234</v>
      </c>
      <c r="L38" s="27">
        <f>+K38/$K$20</f>
        <v>7.5742224488644641E-4</v>
      </c>
      <c r="M38" s="26">
        <f>+'COL. CONS.$'!M38/Paramet!$C$8*1000</f>
        <v>3759.2178540931636</v>
      </c>
      <c r="N38" s="27">
        <f>+M38/$M$20</f>
        <v>2.2996435731067744E-3</v>
      </c>
      <c r="O38" s="27">
        <f>IF(K38=0,"",(M38-K38)/ABS(K38)+1)</f>
        <v>2.218982761096659</v>
      </c>
      <c r="P38" s="26">
        <f>+'COL. CONS.$'!P38/Paramet!$C$9*1000</f>
        <v>52947.76127864646</v>
      </c>
      <c r="Q38" s="27">
        <f>+P38/$P$20</f>
        <v>3.4127336669205741E-2</v>
      </c>
      <c r="R38" s="28">
        <f>IF(P38=0,"",(M38-P38)/ABS(P38))</f>
        <v>-0.92900138243221186</v>
      </c>
    </row>
    <row r="39" spans="2:27" x14ac:dyDescent="0.2">
      <c r="B39" s="16" t="s">
        <v>42</v>
      </c>
      <c r="C39" s="26">
        <f>+'COL. CONS.$'!C39/Paramet!$C$10*1000</f>
        <v>4219.4117647058829</v>
      </c>
      <c r="D39" s="27">
        <f>+C39/$C$20</f>
        <v>1.6598729814192806E-2</v>
      </c>
      <c r="E39" s="26">
        <f>+'COL. CONS.$'!E39/Paramet!$C$8*1000</f>
        <v>4627.945786362523</v>
      </c>
      <c r="F39" s="27">
        <f>+E39/$E$20</f>
        <v>2.4745922881745364E-2</v>
      </c>
      <c r="G39" s="27">
        <f>IF(C39=0,"",(E39-C39)/ABS(C39)+1)</f>
        <v>1.0968225061782082</v>
      </c>
      <c r="H39" s="26">
        <f>+'COL. CONS.$'!H39/Paramet!$C$9*1000</f>
        <v>6229.1605062221624</v>
      </c>
      <c r="I39" s="27">
        <f>+H39/$H$20</f>
        <v>3.0335965095828317E-2</v>
      </c>
      <c r="J39" s="28">
        <f>IF(H39=0,"",(E39-H39)/ABS(H39))</f>
        <v>-0.25705144670140118</v>
      </c>
      <c r="K39" s="26">
        <f>+'COL. CONS.$'!K39/Paramet!$C$10*1000</f>
        <v>39865.294117647063</v>
      </c>
      <c r="L39" s="27">
        <f>+K39/$K$20</f>
        <v>1.7823355193819224E-2</v>
      </c>
      <c r="M39" s="26">
        <f>+'COL. CONS.$'!M39/Paramet!$C$8*1000</f>
        <v>37402.208732433523</v>
      </c>
      <c r="N39" s="27">
        <f>+M39/$M$20</f>
        <v>2.288022462914362E-2</v>
      </c>
      <c r="O39" s="27">
        <f>IF(K39=0,"",(M39-K39)/ABS(K39)+1)</f>
        <v>0.93821479460443236</v>
      </c>
      <c r="P39" s="26">
        <f>+'COL. CONS.$'!P39/Paramet!$C$9*1000</f>
        <v>63318.462776555025</v>
      </c>
      <c r="Q39" s="27">
        <f>+P39/$P$20</f>
        <v>4.0811744337593749E-2</v>
      </c>
      <c r="R39" s="28">
        <f>IF(P39=0,"",(M39-P39)/ABS(P39))</f>
        <v>-0.40930011417961232</v>
      </c>
    </row>
    <row r="40" spans="2:27" x14ac:dyDescent="0.2">
      <c r="J40" s="28"/>
      <c r="R40" s="28"/>
    </row>
    <row r="41" spans="2:27" x14ac:dyDescent="0.2">
      <c r="B41" s="16" t="s">
        <v>43</v>
      </c>
      <c r="C41" s="26">
        <f>+C36+C38-C39</f>
        <v>12340.000000000045</v>
      </c>
      <c r="D41" s="27">
        <f>+C41/$C$20</f>
        <v>4.8544284684530585E-2</v>
      </c>
      <c r="E41" s="26">
        <f>E36+E38-E39</f>
        <v>-2207.1978676410945</v>
      </c>
      <c r="F41" s="27">
        <f>+E41/$E$20</f>
        <v>-1.1802028532475301E-2</v>
      </c>
      <c r="G41" s="27">
        <f>IF(C41=0,"",(E41-C41)/ABS(C41)+1)</f>
        <v>-0.17886530531937495</v>
      </c>
      <c r="H41" s="26">
        <f>+H36+H38-H39</f>
        <v>15334.823184724662</v>
      </c>
      <c r="I41" s="27">
        <f>+H41/$H$20</f>
        <v>7.4680474265807109E-2</v>
      </c>
      <c r="J41" s="28">
        <f>IF(H41=0,"",(E41-H41)/ABS(H41))</f>
        <v>-1.1439337018140341</v>
      </c>
      <c r="K41" s="26">
        <f>K36+K38-K39</f>
        <v>122687.35294117681</v>
      </c>
      <c r="L41" s="27">
        <f>+K41/$K$20</f>
        <v>5.4852229681458073E-2</v>
      </c>
      <c r="M41" s="26">
        <f>M36+M38-M39</f>
        <v>63102.645084917043</v>
      </c>
      <c r="N41" s="27">
        <f>+M41/$M$20</f>
        <v>3.8602070390137855E-2</v>
      </c>
      <c r="O41" s="27">
        <f>IF(K41=0,"",(M41-K41)/ABS(K41)+1)</f>
        <v>0.51433700028699769</v>
      </c>
      <c r="P41" s="26">
        <f>P36+P38-P39</f>
        <v>-81065.208992666681</v>
      </c>
      <c r="Q41" s="27">
        <f>+P41/$P$20</f>
        <v>-5.2250361727153721E-2</v>
      </c>
      <c r="R41" s="28">
        <f>IF(P41=0,"",(M41-P41)/ABS(P41))</f>
        <v>1.778418335918007</v>
      </c>
    </row>
    <row r="42" spans="2:27" x14ac:dyDescent="0.2">
      <c r="B42" s="16" t="s">
        <v>29</v>
      </c>
      <c r="C42" s="26">
        <f>+'COL. CONS.$'!C42/Paramet!$C$10*1000</f>
        <v>9070.5882352941171</v>
      </c>
      <c r="D42" s="27">
        <f>+C42/$C$20</f>
        <v>3.5682756689649105E-2</v>
      </c>
      <c r="E42" s="26">
        <f>+'COL. CONS.$'!E42/Paramet!$C$8*1000</f>
        <v>3541.6487388764958</v>
      </c>
      <c r="F42" s="27">
        <f>+E42/$E$20</f>
        <v>1.8937422911203317E-2</v>
      </c>
      <c r="G42" s="27">
        <f>IF(C42=0,"",(E42-C42)/ABS(C42)+1)</f>
        <v>0.39045414112127397</v>
      </c>
      <c r="H42" s="26">
        <f>+'COL. CONS.$'!H42/Paramet!$C$9*1000</f>
        <v>5710.9474584580721</v>
      </c>
      <c r="I42" s="27">
        <f>+H42/$H$20</f>
        <v>2.7812271427400375E-2</v>
      </c>
      <c r="J42" s="28">
        <f>IF(H42=0,"",(E42-H42)/ABS(H42))</f>
        <v>-0.37984918183212918</v>
      </c>
      <c r="K42" s="26">
        <f>+'COL. CONS.$'!K42/Paramet!$C$10*1000</f>
        <v>85361.76470588235</v>
      </c>
      <c r="L42" s="27">
        <f>+K42/$K$20</f>
        <v>3.8164350370380788E-2</v>
      </c>
      <c r="M42" s="26">
        <f>+'COL. CONS.$'!M42/Paramet!$C$8*1000</f>
        <v>61634.837281860171</v>
      </c>
      <c r="N42" s="27">
        <f>+M42/$M$20</f>
        <v>3.7704161593184141E-2</v>
      </c>
      <c r="O42" s="27">
        <f>IF(K42=0,"",(M42-K42)/ABS(K42)+1)</f>
        <v>0.72204267911079001</v>
      </c>
      <c r="P42" s="26">
        <f>+'COL. CONS.$'!P42/Paramet!$C$9*1000</f>
        <v>68194.230027016602</v>
      </c>
      <c r="Q42" s="27">
        <f>+P42/$P$20</f>
        <v>4.3954406963148354E-2</v>
      </c>
      <c r="R42" s="28">
        <f>IF(P42=0,"",(M42-P42)/ABS(P42))</f>
        <v>-9.6186917024472407E-2</v>
      </c>
    </row>
    <row r="43" spans="2:27" x14ac:dyDescent="0.2">
      <c r="B43" s="33" t="s">
        <v>44</v>
      </c>
      <c r="C43" s="34">
        <f>C41-C42</f>
        <v>3269.4117647059284</v>
      </c>
      <c r="D43" s="35">
        <f>+C43/$C$20</f>
        <v>1.2861527994881486E-2</v>
      </c>
      <c r="E43" s="34">
        <f>E41-E42</f>
        <v>-5748.8466065175908</v>
      </c>
      <c r="F43" s="35">
        <f>+E43/$E$20</f>
        <v>-3.0739451443678619E-2</v>
      </c>
      <c r="G43" s="35">
        <f>IF(C43=0,"",(E43-C43)/ABS(C43)+1)</f>
        <v>-1.7583733773083425</v>
      </c>
      <c r="H43" s="34">
        <f>H41-H42</f>
        <v>9623.8757262665895</v>
      </c>
      <c r="I43" s="35">
        <f>+H43/$H$20</f>
        <v>4.6868202838406731E-2</v>
      </c>
      <c r="J43" s="36">
        <f>IF(H43=0,"",(E43-H43)/ABS(H43))</f>
        <v>-1.5973525396662362</v>
      </c>
      <c r="K43" s="34">
        <f>K41-K42</f>
        <v>37325.588235294461</v>
      </c>
      <c r="L43" s="35">
        <f>+K43/$K$20</f>
        <v>1.6687879311077281E-2</v>
      </c>
      <c r="M43" s="34">
        <f>M41-M42</f>
        <v>1467.8078030568722</v>
      </c>
      <c r="N43" s="35">
        <f>+M43/$M$20</f>
        <v>8.9790879695371276E-4</v>
      </c>
      <c r="O43" s="35">
        <f>IF(K43=0,"",(M43-K43)/ABS(K43)+1)</f>
        <v>3.9324438607746814E-2</v>
      </c>
      <c r="P43" s="34">
        <f>P41-P42</f>
        <v>-149259.43901968328</v>
      </c>
      <c r="Q43" s="35">
        <f>+P43/$P$20</f>
        <v>-9.6204768690302075E-2</v>
      </c>
      <c r="R43" s="36">
        <f>IF(P43=0,"",(M43-P43)/ABS(P43))</f>
        <v>1.0098339362166791</v>
      </c>
    </row>
    <row r="44" spans="2:27" x14ac:dyDescent="0.2">
      <c r="J44" s="28"/>
      <c r="R44" s="28"/>
    </row>
    <row r="45" spans="2:27" x14ac:dyDescent="0.2">
      <c r="B45" s="16" t="s">
        <v>45</v>
      </c>
      <c r="C45" s="26">
        <f>+'COL. CONS.$'!C45/Paramet!$C$10*1000</f>
        <v>41400.882352941175</v>
      </c>
      <c r="D45" s="27">
        <f>+C45/$C$20</f>
        <v>0.16286679247422428</v>
      </c>
      <c r="E45" s="26">
        <f>+'COL. CONS.$'!E45/Paramet!$C$8*1000</f>
        <v>22818.342737424613</v>
      </c>
      <c r="F45" s="27">
        <f>+E45/$E$20</f>
        <v>0.1220111418187888</v>
      </c>
      <c r="G45" s="27">
        <f>IF(C45=0,"",(E45-C45)/ABS(C45)+1)</f>
        <v>0.55115595225480907</v>
      </c>
      <c r="H45" s="26">
        <f>+'COL. CONS.$'!H45/Paramet!$C$9*1000</f>
        <v>18354.849812761422</v>
      </c>
      <c r="I45" s="27">
        <f>+H45/$H$20</f>
        <v>8.9387981366496311E-2</v>
      </c>
      <c r="J45" s="28">
        <f>IF(H45=0,"",(E45-H45)/ABS(H45))</f>
        <v>0.2431778505515145</v>
      </c>
      <c r="K45" s="26">
        <f>+'COL. CONS.$'!K45/Paramet!$C$10*1000</f>
        <v>384529.41176470584</v>
      </c>
      <c r="L45" s="27">
        <f>+K45/$K$20</f>
        <v>0.17191906995912154</v>
      </c>
      <c r="M45" s="26">
        <f>+'COL. CONS.$'!M45/Paramet!$C$8*1000</f>
        <v>285609.57771834958</v>
      </c>
      <c r="N45" s="27">
        <f>+M45/$M$20</f>
        <v>0.17471725643742517</v>
      </c>
      <c r="O45" s="27">
        <f>IF(K45=0,"",(M45-K45)/ABS(K45)+1)</f>
        <v>0.74275092874589932</v>
      </c>
      <c r="P45" s="26">
        <f>+'COL. CONS.$'!P45/Paramet!$C$9*1000</f>
        <v>281739.29622549989</v>
      </c>
      <c r="Q45" s="27">
        <f>+P45/$P$20</f>
        <v>0.18159430319692105</v>
      </c>
      <c r="R45" s="28">
        <f>IF(P45=0,"",(M45-P45)/ABS(P45))</f>
        <v>1.3737102153304098E-2</v>
      </c>
    </row>
    <row r="46" spans="2:27" x14ac:dyDescent="0.2">
      <c r="B46" s="16" t="s">
        <v>20</v>
      </c>
      <c r="C46" s="26">
        <f>+'COL. CONS.$'!C46/Paramet!$C$10*1000</f>
        <v>113933.23529411765</v>
      </c>
      <c r="D46" s="27">
        <f>+C46/$C$20</f>
        <v>0.44820157286444368</v>
      </c>
      <c r="E46" s="26">
        <f>+'COL. CONS.$'!E46/Paramet!$C$8*1000</f>
        <v>81697.303219058842</v>
      </c>
      <c r="F46" s="27">
        <f>+E46/$E$20</f>
        <v>0.43684071906434224</v>
      </c>
      <c r="G46" s="27">
        <f>IF(C46=0,"",(E46-C46)/ABS(C46)+1)</f>
        <v>0.71706296242846057</v>
      </c>
      <c r="H46" s="26">
        <f>+'COL. CONS.$'!H46/Paramet!$C$9*1000</f>
        <v>81830.71755661488</v>
      </c>
      <c r="I46" s="27">
        <f>+H46/$H$20</f>
        <v>0.39851498273072744</v>
      </c>
      <c r="J46" s="28">
        <f>IF(H46=0,"",(E46-H46)/ABS(H46))</f>
        <v>-1.6303698848019357E-3</v>
      </c>
      <c r="K46" s="26">
        <f>+'COL. CONS.$'!K46/Paramet!$C$10*1000</f>
        <v>964347.0588235294</v>
      </c>
      <c r="L46" s="27">
        <f>+K46/$K$20</f>
        <v>0.43114946320985814</v>
      </c>
      <c r="M46" s="26">
        <f>+'COL. CONS.$'!M46/Paramet!$C$8*1000</f>
        <v>693670.02076313912</v>
      </c>
      <c r="N46" s="27">
        <f>+M46/$M$20</f>
        <v>0.42434194213242915</v>
      </c>
      <c r="O46" s="27">
        <f>IF(K46=0,"",(M46-K46)/ABS(K46)+1)</f>
        <v>0.71931574262215614</v>
      </c>
      <c r="P46" s="26">
        <f>+'COL. CONS.$'!P46/Paramet!$C$9*1000</f>
        <v>746599.89647115278</v>
      </c>
      <c r="Q46" s="27">
        <f>+P46/$P$20</f>
        <v>0.48121894880456278</v>
      </c>
      <c r="R46" s="28">
        <f>IF(P46=0,"",(M46-P46)/ABS(P46))</f>
        <v>-7.0894566096499273E-2</v>
      </c>
    </row>
    <row r="48" spans="2:27" x14ac:dyDescent="0.2">
      <c r="P48" s="21"/>
    </row>
  </sheetData>
  <conditionalFormatting sqref="R10:R46">
    <cfRule type="cellIs" dxfId="63" priority="3" operator="lessThan">
      <formula>0</formula>
    </cfRule>
  </conditionalFormatting>
  <conditionalFormatting sqref="J10:J46">
    <cfRule type="cellIs" dxfId="62" priority="2" operator="lessThan">
      <formula>0</formula>
    </cfRule>
  </conditionalFormatting>
  <conditionalFormatting sqref="AE19:AE28 AE30 AE10:AE11 AE13:AE17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A56A9-8D70-4BEF-9016-F453A326BDF2}">
  <sheetPr>
    <tabColor theme="0" tint="-0.249977111117893"/>
  </sheetPr>
  <dimension ref="A1:AI72"/>
  <sheetViews>
    <sheetView showGridLines="0" zoomScaleNormal="100" workbookViewId="0">
      <selection activeCell="B52" sqref="B52:S72"/>
    </sheetView>
  </sheetViews>
  <sheetFormatPr baseColWidth="10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6.5703125" style="2" bestFit="1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46" customFormat="1" x14ac:dyDescent="0.2"/>
    <row r="2" spans="1:34" x14ac:dyDescent="0.2">
      <c r="Z2" s="46"/>
      <c r="AA2" s="46"/>
      <c r="AB2" s="46"/>
    </row>
    <row r="3" spans="1:34" ht="18" x14ac:dyDescent="0.25">
      <c r="B3" s="13" t="s">
        <v>91</v>
      </c>
      <c r="T3" s="15"/>
      <c r="U3" s="83" t="str">
        <f>+B3</f>
        <v>MUSICAR S.A. EL SALVADOR</v>
      </c>
    </row>
    <row r="4" spans="1:34" x14ac:dyDescent="0.2">
      <c r="B4" s="3" t="s">
        <v>92</v>
      </c>
      <c r="U4" s="3" t="s">
        <v>6</v>
      </c>
    </row>
    <row r="5" spans="1:34" x14ac:dyDescent="0.2">
      <c r="B5" s="3" t="s">
        <v>80</v>
      </c>
      <c r="U5" s="3" t="s">
        <v>80</v>
      </c>
    </row>
    <row r="6" spans="1:34" ht="13.5" thickBot="1" x14ac:dyDescent="0.25">
      <c r="B6" s="72" t="str">
        <f>+'COL. CONS.$'!B6</f>
        <v>SEPTIEMBRE de 2022</v>
      </c>
      <c r="C6" s="84"/>
      <c r="K6" s="79" t="s">
        <v>8</v>
      </c>
      <c r="L6" s="79"/>
      <c r="M6" s="79"/>
      <c r="N6" s="79"/>
      <c r="O6" s="79"/>
      <c r="P6" s="79"/>
      <c r="Q6" s="79"/>
      <c r="R6" s="79"/>
      <c r="S6" s="85"/>
      <c r="T6" s="86"/>
      <c r="U6" s="17" t="str">
        <f>+B6</f>
        <v>SEPTIEMBRE de 2022</v>
      </c>
      <c r="Y6" s="18" t="s">
        <v>8</v>
      </c>
      <c r="Z6" s="18"/>
      <c r="AA6" s="18"/>
      <c r="AB6" s="18"/>
      <c r="AC6" s="18"/>
      <c r="AD6" s="18"/>
    </row>
    <row r="7" spans="1:34" x14ac:dyDescent="0.2">
      <c r="A7" s="87"/>
      <c r="B7" s="3"/>
      <c r="C7" s="53" t="str">
        <f>+'COLOMB$ '!D7:D7</f>
        <v>Ppto 2022</v>
      </c>
      <c r="D7" s="53"/>
      <c r="E7" s="53" t="str">
        <f>+'COLOMB$ '!F7:F7</f>
        <v>Real 2022</v>
      </c>
      <c r="F7" s="53"/>
      <c r="G7" s="53" t="s">
        <v>9</v>
      </c>
      <c r="H7" s="53" t="str">
        <f>+'COLOMB$ '!I7:I7</f>
        <v>Real 2021</v>
      </c>
      <c r="I7" s="53"/>
      <c r="J7" s="53" t="s">
        <v>10</v>
      </c>
      <c r="K7" s="53" t="str">
        <f>+C7</f>
        <v>Ppto 2022</v>
      </c>
      <c r="L7" s="53"/>
      <c r="M7" s="53" t="str">
        <f>+E7</f>
        <v>Real 2022</v>
      </c>
      <c r="N7" s="53"/>
      <c r="O7" s="53" t="s">
        <v>9</v>
      </c>
      <c r="P7" s="53" t="str">
        <f>+H7</f>
        <v>Real 2021</v>
      </c>
      <c r="Q7" s="53"/>
      <c r="R7" s="53" t="s">
        <v>10</v>
      </c>
      <c r="S7" s="53"/>
      <c r="T7" s="55"/>
      <c r="V7" s="46" t="str">
        <f>+C7</f>
        <v>Ppto 2022</v>
      </c>
      <c r="W7" s="46" t="str">
        <f>+M7</f>
        <v>Real 2022</v>
      </c>
      <c r="X7" s="46" t="str">
        <f>+H7</f>
        <v>Real 2021</v>
      </c>
      <c r="Y7" s="46" t="str">
        <f>+V7</f>
        <v>Ppto 2022</v>
      </c>
      <c r="Z7" s="46" t="str">
        <f>+W7</f>
        <v>Real 2022</v>
      </c>
      <c r="AA7" s="46" t="s">
        <v>11</v>
      </c>
      <c r="AB7" s="46" t="s">
        <v>9</v>
      </c>
      <c r="AC7" s="46" t="str">
        <f>+X7</f>
        <v>Real 2021</v>
      </c>
      <c r="AD7" s="46" t="s">
        <v>10</v>
      </c>
      <c r="AF7" s="2" t="s">
        <v>93</v>
      </c>
    </row>
    <row r="8" spans="1:34" ht="13.5" thickBot="1" x14ac:dyDescent="0.25">
      <c r="B8" s="24" t="s">
        <v>12</v>
      </c>
      <c r="C8" s="58" t="s">
        <v>13</v>
      </c>
      <c r="D8" s="58" t="s">
        <v>14</v>
      </c>
      <c r="E8" s="58" t="s">
        <v>13</v>
      </c>
      <c r="F8" s="58" t="s">
        <v>14</v>
      </c>
      <c r="G8" s="58" t="s">
        <v>15</v>
      </c>
      <c r="H8" s="58" t="s">
        <v>13</v>
      </c>
      <c r="I8" s="58" t="s">
        <v>14</v>
      </c>
      <c r="J8" s="58" t="s">
        <v>15</v>
      </c>
      <c r="K8" s="58" t="s">
        <v>13</v>
      </c>
      <c r="L8" s="58" t="s">
        <v>14</v>
      </c>
      <c r="M8" s="58" t="s">
        <v>13</v>
      </c>
      <c r="N8" s="58" t="s">
        <v>14</v>
      </c>
      <c r="O8" s="58" t="s">
        <v>15</v>
      </c>
      <c r="P8" s="58" t="s">
        <v>13</v>
      </c>
      <c r="Q8" s="58" t="s">
        <v>14</v>
      </c>
      <c r="R8" s="58" t="s">
        <v>15</v>
      </c>
      <c r="S8" s="53"/>
      <c r="T8" s="55"/>
      <c r="U8" s="24"/>
      <c r="V8" s="25"/>
      <c r="W8" s="25"/>
      <c r="X8" s="25"/>
      <c r="Y8" s="24"/>
      <c r="Z8" s="24"/>
      <c r="AA8" s="25"/>
      <c r="AB8" s="25" t="s">
        <v>15</v>
      </c>
      <c r="AC8" s="24"/>
      <c r="AD8" s="25" t="s">
        <v>15</v>
      </c>
      <c r="AF8" s="2" t="s">
        <v>50</v>
      </c>
      <c r="AG8" s="2" t="s">
        <v>52</v>
      </c>
      <c r="AH8" s="2" t="s">
        <v>94</v>
      </c>
    </row>
    <row r="9" spans="1:34" x14ac:dyDescent="0.2"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</row>
    <row r="10" spans="1:34" x14ac:dyDescent="0.2">
      <c r="A10" s="87"/>
      <c r="B10" s="3" t="str">
        <f>+'COLOMB$ '!B10</f>
        <v>Musical Experience  (Ambiental)</v>
      </c>
      <c r="C10" s="59">
        <v>7036</v>
      </c>
      <c r="D10" s="28">
        <f>+C10/$C$20</f>
        <v>0.73438850362601715</v>
      </c>
      <c r="E10" s="59">
        <v>6569.09</v>
      </c>
      <c r="F10" s="28">
        <f>+E10/$E$20</f>
        <v>0.85352207836080274</v>
      </c>
      <c r="G10" s="28">
        <f>IF(C10=0,"",(E10-C10)/ABS(C10)+1)</f>
        <v>0.93363985218874368</v>
      </c>
      <c r="H10" s="59">
        <v>7070.69</v>
      </c>
      <c r="I10" s="28">
        <f>+H10/$H$20</f>
        <v>0.86884327326570865</v>
      </c>
      <c r="J10" s="28">
        <f>IF(H10=0,"",(E10-H10)/ABS(H10))</f>
        <v>-7.0940742699793016E-2</v>
      </c>
      <c r="K10" s="59">
        <v>61694</v>
      </c>
      <c r="L10" s="28">
        <f>+K10/$K$20</f>
        <v>0.74693427513511812</v>
      </c>
      <c r="M10" s="59">
        <v>60148.62</v>
      </c>
      <c r="N10" s="28">
        <f>+M10/$M$20</f>
        <v>0.82247729555056237</v>
      </c>
      <c r="O10" s="28">
        <f>IF(K10=0,"",(M10-K10)/ABS(K10)+1)</f>
        <v>0.97495088663403251</v>
      </c>
      <c r="P10" s="59">
        <v>64376.639999999999</v>
      </c>
      <c r="Q10" s="28">
        <f>+P10/$P$20</f>
        <v>0.82455620153574249</v>
      </c>
      <c r="R10" s="28">
        <f t="shared" ref="R10:R17" si="0">IF(P10=0,"",(M10-P10)/ABS(P10))</f>
        <v>-6.5676307430769867E-2</v>
      </c>
      <c r="S10" s="28"/>
      <c r="T10" s="55"/>
      <c r="U10" s="3" t="s">
        <v>16</v>
      </c>
      <c r="V10" s="59">
        <v>14127.651039788889</v>
      </c>
      <c r="W10" s="59">
        <v>17406.21</v>
      </c>
      <c r="X10" s="59">
        <v>13140.619999999999</v>
      </c>
      <c r="Y10" s="59">
        <v>24475</v>
      </c>
      <c r="Z10" s="59">
        <v>24475</v>
      </c>
      <c r="AA10" s="55">
        <f>+Z10-Y10</f>
        <v>0</v>
      </c>
      <c r="AB10" s="61">
        <f>IF(Y10=0,"",(Z10-Y10)/ABS(Y10)+1)</f>
        <v>1</v>
      </c>
      <c r="AC10" s="59">
        <v>14944</v>
      </c>
      <c r="AD10" s="28">
        <f>IF(X10=0,"",(Z10-AC10)/ABS(AC10))</f>
        <v>0.63778104925053536</v>
      </c>
      <c r="AF10" s="60">
        <v>24475</v>
      </c>
      <c r="AG10" s="60">
        <v>14944</v>
      </c>
      <c r="AH10" s="60">
        <v>24475</v>
      </c>
    </row>
    <row r="11" spans="1:34" x14ac:dyDescent="0.2">
      <c r="A11" s="87"/>
      <c r="B11" s="3" t="str">
        <f>+'COLOMB$ '!B11</f>
        <v>Instalaciones</v>
      </c>
      <c r="C11" s="59">
        <v>737.1</v>
      </c>
      <c r="D11" s="28">
        <f>+C11/$C$20</f>
        <v>7.6935441447233827E-2</v>
      </c>
      <c r="E11" s="59">
        <v>0</v>
      </c>
      <c r="F11" s="28">
        <f>+E11/$E$20</f>
        <v>0</v>
      </c>
      <c r="G11" s="28">
        <f>IF(C11=0,"",(E11-C11)/ABS(C11)+1)</f>
        <v>0</v>
      </c>
      <c r="H11" s="59">
        <v>100</v>
      </c>
      <c r="I11" s="28">
        <f>+H11/$H$20</f>
        <v>1.2287955959965841E-2</v>
      </c>
      <c r="J11" s="28">
        <f>IF(H11=0,"",(E11-H11)/ABS(H11))</f>
        <v>-1</v>
      </c>
      <c r="K11" s="59">
        <v>4496.3100000000004</v>
      </c>
      <c r="L11" s="28">
        <f>+K11/$K$20</f>
        <v>5.4437190822977655E-2</v>
      </c>
      <c r="M11" s="59">
        <v>1178.23</v>
      </c>
      <c r="N11" s="28">
        <f>+M11/$M$20</f>
        <v>1.6111216249625328E-2</v>
      </c>
      <c r="O11" s="28">
        <f>IF(K11=0,"",(M11-K11)/ABS(K11)+1)</f>
        <v>0.26204376477600522</v>
      </c>
      <c r="P11" s="59">
        <v>2240</v>
      </c>
      <c r="Q11" s="28">
        <f>+P11/$P$20</f>
        <v>2.8690622738932369E-2</v>
      </c>
      <c r="R11" s="28">
        <f t="shared" si="0"/>
        <v>-0.4740044642857143</v>
      </c>
      <c r="S11" s="28"/>
      <c r="T11" s="55"/>
      <c r="U11" s="3" t="s">
        <v>17</v>
      </c>
      <c r="V11" s="59">
        <v>10654.447698888889</v>
      </c>
      <c r="W11" s="59">
        <v>7119.3</v>
      </c>
      <c r="X11" s="59">
        <v>10273</v>
      </c>
      <c r="Y11" s="59">
        <f>+AF11+V11</f>
        <v>93103.955945555557</v>
      </c>
      <c r="Z11" s="59">
        <f>+W11+AH11</f>
        <v>81532.600000000006</v>
      </c>
      <c r="AA11" s="55">
        <f>+Z11-Y11</f>
        <v>-11571.355945555551</v>
      </c>
      <c r="AB11" s="61">
        <f>IF(Y11=0,"",(Z11-Y11)/ABS(Y11)+1)</f>
        <v>0.87571574346075975</v>
      </c>
      <c r="AC11" s="59">
        <v>94738</v>
      </c>
      <c r="AD11" s="28">
        <f>IF(AC11=0,"",(Z11-AC11)/ABS(AC11))</f>
        <v>-0.1393886296945259</v>
      </c>
      <c r="AF11" s="60">
        <v>82449.508246666664</v>
      </c>
      <c r="AG11" s="60">
        <v>84465</v>
      </c>
      <c r="AH11" s="60">
        <v>74413.3</v>
      </c>
    </row>
    <row r="12" spans="1:34" x14ac:dyDescent="0.2">
      <c r="A12" s="87"/>
      <c r="B12" s="3" t="str">
        <f>+'COLOMB$ '!B12</f>
        <v>Voice Experience (Publihold)</v>
      </c>
      <c r="C12" s="59">
        <v>1138.54</v>
      </c>
      <c r="D12" s="28">
        <f>+C12/$C$20</f>
        <v>0.11883608398498657</v>
      </c>
      <c r="E12" s="59">
        <v>927.36</v>
      </c>
      <c r="F12" s="28">
        <f>+E12/$E$20</f>
        <v>0.12049191510371665</v>
      </c>
      <c r="G12" s="28">
        <f>IF(C12=0,"",(E12-C12)/ABS(C12)+1)</f>
        <v>0.81451683735310132</v>
      </c>
      <c r="H12" s="59">
        <v>967.36</v>
      </c>
      <c r="I12" s="28">
        <f>+H12/$H$20</f>
        <v>0.11886877077432556</v>
      </c>
      <c r="J12" s="28">
        <f>IF(H12=0,"",(E12-H12)/ABS(H12))</f>
        <v>-4.1349652662917631E-2</v>
      </c>
      <c r="K12" s="59">
        <v>10585.53</v>
      </c>
      <c r="L12" s="28">
        <f>+K12/$K$20</f>
        <v>0.12815987255601918</v>
      </c>
      <c r="M12" s="59">
        <v>9482.19</v>
      </c>
      <c r="N12" s="28">
        <f>+M12/$M$20</f>
        <v>0.12966026464275635</v>
      </c>
      <c r="O12" s="28">
        <f>IF(K12=0,"",(M12-K12)/ABS(K12)+1)</f>
        <v>0.89576903565527655</v>
      </c>
      <c r="P12" s="59">
        <v>8723.65</v>
      </c>
      <c r="Q12" s="28">
        <f>+P12/$P$20</f>
        <v>0.11173524600736043</v>
      </c>
      <c r="R12" s="28">
        <f t="shared" si="0"/>
        <v>8.6952135860563051E-2</v>
      </c>
      <c r="S12" s="28"/>
      <c r="T12" s="55"/>
      <c r="AF12" s="60"/>
      <c r="AG12" s="60"/>
      <c r="AH12" s="60"/>
    </row>
    <row r="13" spans="1:34" x14ac:dyDescent="0.2">
      <c r="A13" s="87"/>
      <c r="B13" s="3" t="str">
        <f>+'COLOMB$ '!B13</f>
        <v>Service &amp; Equipment Experience</v>
      </c>
      <c r="C13" s="59">
        <v>537.12</v>
      </c>
      <c r="D13" s="28">
        <f>+C13/$C$20</f>
        <v>5.6062358309779181E-2</v>
      </c>
      <c r="E13" s="59">
        <v>200</v>
      </c>
      <c r="F13" s="28"/>
      <c r="G13" s="28">
        <f>IF(C13=0,"",(E13-C13)/ABS(C13)+1)</f>
        <v>0.37235627047959485</v>
      </c>
      <c r="H13" s="59">
        <v>0</v>
      </c>
      <c r="I13" s="28"/>
      <c r="J13" s="28" t="str">
        <f>IF(H13=0,"",(E13-H13)/ABS(H13))</f>
        <v/>
      </c>
      <c r="K13" s="59">
        <v>3596.45</v>
      </c>
      <c r="L13" s="28">
        <f>+K13/$K$20</f>
        <v>4.3542512623751022E-2</v>
      </c>
      <c r="M13" s="59">
        <v>666</v>
      </c>
      <c r="N13" s="28">
        <f>+M13/$M$20</f>
        <v>9.1069400900082916E-3</v>
      </c>
      <c r="O13" s="28">
        <f>IF(K13=0,"",(M13-K13)/ABS(K13)+1)</f>
        <v>0.18518261062992669</v>
      </c>
      <c r="P13" s="59">
        <v>430</v>
      </c>
      <c r="Q13" s="28"/>
      <c r="R13" s="28">
        <f t="shared" si="0"/>
        <v>0.5488372093023256</v>
      </c>
      <c r="S13" s="28"/>
      <c r="T13" s="55"/>
      <c r="U13" s="3" t="s">
        <v>18</v>
      </c>
      <c r="V13" s="59">
        <v>920</v>
      </c>
      <c r="W13" s="59">
        <v>27</v>
      </c>
      <c r="X13" s="59"/>
      <c r="Y13" s="59">
        <f>+AF13+V13</f>
        <v>21407.999687899995</v>
      </c>
      <c r="Z13" s="59">
        <f t="shared" ref="Z13:Z16" si="1">+W13+AH13</f>
        <v>12023</v>
      </c>
      <c r="AA13" s="55">
        <f>+Y13-Z13</f>
        <v>9384.9996878999955</v>
      </c>
      <c r="AB13" s="61">
        <f>IF(Y13=0,"",(Z13-Y13)/ABS(Y13)+1)</f>
        <v>0.56161248950295506</v>
      </c>
      <c r="AC13" s="59">
        <v>94</v>
      </c>
      <c r="AD13" s="28">
        <f>IF(AC13=0,"",(Z13-AC13)/ABS(AC13))</f>
        <v>126.90425531914893</v>
      </c>
      <c r="AF13" s="60">
        <v>20487.999687899995</v>
      </c>
      <c r="AG13" s="60">
        <v>94</v>
      </c>
      <c r="AH13" s="60">
        <v>11996</v>
      </c>
    </row>
    <row r="14" spans="1:34" x14ac:dyDescent="0.2">
      <c r="A14" s="87"/>
      <c r="B14" s="3" t="str">
        <f>+'COLOMB$ '!B14</f>
        <v>POP Satelital</v>
      </c>
      <c r="C14" s="59"/>
      <c r="D14" s="28"/>
      <c r="E14" s="59"/>
      <c r="F14" s="28"/>
      <c r="G14" s="28"/>
      <c r="H14" s="59"/>
      <c r="I14" s="28"/>
      <c r="J14" s="28"/>
      <c r="K14" s="59"/>
      <c r="L14" s="28"/>
      <c r="M14" s="59"/>
      <c r="N14" s="28"/>
      <c r="O14" s="28"/>
      <c r="P14" s="59"/>
      <c r="Q14" s="28"/>
      <c r="R14" s="28" t="str">
        <f t="shared" si="0"/>
        <v/>
      </c>
      <c r="S14" s="28"/>
      <c r="T14" s="55"/>
      <c r="U14" s="3" t="s">
        <v>19</v>
      </c>
      <c r="V14" s="59"/>
      <c r="W14" s="59"/>
      <c r="X14" s="59"/>
      <c r="Y14" s="59">
        <f t="shared" ref="Y14:Y16" si="2">+AF14+V14</f>
        <v>0</v>
      </c>
      <c r="Z14" s="59">
        <f t="shared" si="1"/>
        <v>0</v>
      </c>
      <c r="AA14" s="55">
        <f>+Y14-Z14</f>
        <v>0</v>
      </c>
      <c r="AB14" s="61" t="str">
        <f>IF(Y14=0,"",(Z14-Y14)/ABS(Y14)+1)</f>
        <v/>
      </c>
      <c r="AC14" s="59">
        <v>0</v>
      </c>
      <c r="AD14" s="28" t="str">
        <f>IF(AC14=0,"",(Z14-AC14)/ABS(AC14))</f>
        <v/>
      </c>
      <c r="AF14" s="60">
        <v>0</v>
      </c>
      <c r="AG14" s="60">
        <v>0</v>
      </c>
      <c r="AH14" s="60">
        <v>0</v>
      </c>
    </row>
    <row r="15" spans="1:34" x14ac:dyDescent="0.2">
      <c r="A15" s="87"/>
      <c r="B15" s="3" t="str">
        <f>+'COLOMB$ '!B15</f>
        <v>Voice Experience (Audicóm)</v>
      </c>
      <c r="C15" s="59">
        <v>132</v>
      </c>
      <c r="D15" s="28">
        <f>+C15/$C$20</f>
        <v>1.3777612631983266E-2</v>
      </c>
      <c r="E15" s="59">
        <v>0</v>
      </c>
      <c r="F15" s="28"/>
      <c r="G15" s="28">
        <f>IF(C15=0,"",(E15-C15)/ABS(C15)+1)</f>
        <v>0</v>
      </c>
      <c r="H15" s="59">
        <v>0</v>
      </c>
      <c r="I15" s="28"/>
      <c r="J15" s="28" t="str">
        <f>IF(H15=0,"",(E15-H15)/ABS(H15))</f>
        <v/>
      </c>
      <c r="K15" s="59">
        <v>2224</v>
      </c>
      <c r="L15" s="28"/>
      <c r="M15" s="59">
        <v>1656</v>
      </c>
      <c r="N15" s="28"/>
      <c r="O15" s="28">
        <f>IF(K15=0,"",(M15-K15)/ABS(K15)+1)</f>
        <v>0.74460431654676262</v>
      </c>
      <c r="P15" s="59">
        <v>2304</v>
      </c>
      <c r="Q15" s="28"/>
      <c r="R15" s="28">
        <f t="shared" si="0"/>
        <v>-0.28125</v>
      </c>
      <c r="S15" s="28"/>
      <c r="T15" s="55"/>
      <c r="U15" s="3" t="s">
        <v>20</v>
      </c>
      <c r="V15" s="59">
        <v>6051.5290193499995</v>
      </c>
      <c r="W15" s="59">
        <v>4788</v>
      </c>
      <c r="X15" s="59">
        <v>4603</v>
      </c>
      <c r="Y15" s="59">
        <f t="shared" si="2"/>
        <v>54753.716077399986</v>
      </c>
      <c r="Z15" s="59">
        <f t="shared" si="1"/>
        <v>47316.800000000003</v>
      </c>
      <c r="AA15" s="55">
        <f>+Y15-Z15</f>
        <v>7436.9160773999829</v>
      </c>
      <c r="AB15" s="61">
        <f>IF(Y15=0,"",(Z15-Y15)/ABS(Y15)+1)</f>
        <v>0.86417513531159895</v>
      </c>
      <c r="AC15" s="59">
        <v>50415.9</v>
      </c>
      <c r="AD15" s="28">
        <f>IF(AC15=0,"",(Z15-AC15)/ABS(AC15))</f>
        <v>-6.1470686826973209E-2</v>
      </c>
      <c r="AF15" s="60">
        <v>48702.187058049989</v>
      </c>
      <c r="AG15" s="60">
        <v>45812.9</v>
      </c>
      <c r="AH15" s="60">
        <v>42528.800000000003</v>
      </c>
    </row>
    <row r="16" spans="1:34" x14ac:dyDescent="0.2">
      <c r="B16" s="3" t="str">
        <f>+'COLOMB$ '!B16</f>
        <v>Fact. Servicio Satelital</v>
      </c>
      <c r="C16" s="59"/>
      <c r="D16" s="28"/>
      <c r="E16" s="59"/>
      <c r="F16" s="28"/>
      <c r="G16" s="28"/>
      <c r="H16" s="59"/>
      <c r="I16" s="28"/>
      <c r="J16" s="28"/>
      <c r="K16" s="59">
        <f>+T16+C16</f>
        <v>0</v>
      </c>
      <c r="L16" s="28"/>
      <c r="M16" s="59"/>
      <c r="N16" s="28"/>
      <c r="O16" s="28"/>
      <c r="P16" s="59"/>
      <c r="Q16" s="28"/>
      <c r="R16" s="28" t="str">
        <f t="shared" si="0"/>
        <v/>
      </c>
      <c r="S16" s="28"/>
      <c r="T16" s="55"/>
      <c r="U16" s="3" t="s">
        <v>21</v>
      </c>
      <c r="V16" s="59">
        <v>1243.855</v>
      </c>
      <c r="W16" s="59">
        <v>1216.4000000000001</v>
      </c>
      <c r="X16" s="59">
        <v>1412</v>
      </c>
      <c r="Y16" s="59">
        <f t="shared" si="2"/>
        <v>13260.419999999998</v>
      </c>
      <c r="Z16" s="59">
        <f t="shared" si="1"/>
        <v>15463.4</v>
      </c>
      <c r="AA16" s="55">
        <f>+Y16-Z16</f>
        <v>-2202.9800000000014</v>
      </c>
      <c r="AB16" s="61">
        <f>IF(Y16=0,"",(Z16-Y16)/ABS(Y16)+1)</f>
        <v>1.1661319928026415</v>
      </c>
      <c r="AC16" s="59">
        <v>17303.78</v>
      </c>
      <c r="AD16" s="28">
        <f>IF(AC16=0,"",(Z16-AC16)/ABS(AC16))</f>
        <v>-0.10635710810007983</v>
      </c>
      <c r="AF16" s="60">
        <v>12016.564999999999</v>
      </c>
      <c r="AG16" s="60">
        <v>15891.779999999999</v>
      </c>
      <c r="AH16" s="60">
        <v>14247</v>
      </c>
    </row>
    <row r="17" spans="1:35" x14ac:dyDescent="0.2">
      <c r="A17" s="87"/>
      <c r="B17" s="3" t="str">
        <f>+'COLOMB$ '!B17</f>
        <v>Visual Experience</v>
      </c>
      <c r="C17" s="59"/>
      <c r="D17" s="28"/>
      <c r="E17" s="59"/>
      <c r="F17" s="28"/>
      <c r="G17" s="28" t="str">
        <f>IF(C17=0,"",(E17-C17)/ABS(C17)+1)</f>
        <v/>
      </c>
      <c r="H17" s="59"/>
      <c r="I17" s="28"/>
      <c r="J17" s="28" t="str">
        <f>IF(H17=0,"",(E17-H17)/ABS(H17))</f>
        <v/>
      </c>
      <c r="K17" s="59">
        <f>+T17+C17</f>
        <v>0</v>
      </c>
      <c r="L17" s="28"/>
      <c r="M17" s="59"/>
      <c r="N17" s="28"/>
      <c r="O17" s="28" t="str">
        <f>IF(K17=0,"",(M17-K17)/ABS(K17)+1)</f>
        <v/>
      </c>
      <c r="P17" s="59"/>
      <c r="Q17" s="28"/>
      <c r="R17" s="28" t="str">
        <f t="shared" si="0"/>
        <v/>
      </c>
      <c r="S17" s="28"/>
      <c r="T17" s="55"/>
      <c r="U17" s="3" t="s">
        <v>22</v>
      </c>
      <c r="V17" s="59">
        <f>SUM(V13:V16)</f>
        <v>8215.38401935</v>
      </c>
      <c r="W17" s="59">
        <f>SUM(W13:W16)</f>
        <v>6031.4</v>
      </c>
      <c r="X17" s="59">
        <f>SUM(X13:X16)</f>
        <v>6015</v>
      </c>
      <c r="Y17" s="59">
        <f>SUM(Y13:Y16)</f>
        <v>89422.135765299972</v>
      </c>
      <c r="Z17" s="59">
        <f>SUM(Z13:Z16)</f>
        <v>74803.199999999997</v>
      </c>
      <c r="AA17" s="55">
        <f>+Z17-Y17</f>
        <v>-14618.935765299975</v>
      </c>
      <c r="AB17" s="61">
        <f>IF(Y17=0,"",(Z17-Y17)/ABS(Y17)+1)</f>
        <v>0.83651770738657738</v>
      </c>
      <c r="AC17" s="59">
        <f>SUM(AC13:AC16)</f>
        <v>67813.679999999993</v>
      </c>
      <c r="AD17" s="28">
        <f>IF(AC17=0,"",(Z17-AC17)/ABS(AC17))</f>
        <v>0.10306946916905269</v>
      </c>
      <c r="AF17" s="60">
        <v>81206.751745949994</v>
      </c>
      <c r="AG17" s="60">
        <v>61798.68</v>
      </c>
      <c r="AH17" s="60">
        <v>68771.8</v>
      </c>
    </row>
    <row r="18" spans="1:35" x14ac:dyDescent="0.2">
      <c r="A18" s="87"/>
      <c r="B18" s="3" t="str">
        <f>+'COL. CONS.$'!B18</f>
        <v>Olfa Experience</v>
      </c>
      <c r="C18" s="59">
        <v>0</v>
      </c>
      <c r="D18" s="28"/>
      <c r="E18" s="59"/>
      <c r="F18" s="28"/>
      <c r="G18" s="28"/>
      <c r="H18" s="59"/>
      <c r="I18" s="28"/>
      <c r="J18" s="28"/>
      <c r="K18" s="59">
        <v>0</v>
      </c>
      <c r="L18" s="28"/>
      <c r="M18" s="59"/>
      <c r="N18" s="28"/>
      <c r="O18" s="28"/>
      <c r="P18" s="59"/>
      <c r="Q18" s="28"/>
      <c r="R18" s="28"/>
      <c r="S18" s="28"/>
      <c r="T18" s="55"/>
      <c r="AF18" s="60"/>
      <c r="AG18" s="60"/>
      <c r="AH18" s="60"/>
    </row>
    <row r="19" spans="1:35" x14ac:dyDescent="0.2">
      <c r="B19" s="3" t="str">
        <f>+'COLOMB$ '!B19</f>
        <v>Locutor virtual</v>
      </c>
      <c r="C19" s="59"/>
      <c r="D19" s="28"/>
      <c r="E19" s="59"/>
      <c r="F19" s="28"/>
      <c r="G19" s="28"/>
      <c r="H19" s="59"/>
      <c r="I19" s="28"/>
      <c r="J19" s="28"/>
      <c r="K19" s="59"/>
      <c r="L19" s="28"/>
      <c r="M19" s="59"/>
      <c r="N19" s="28"/>
      <c r="O19" s="28"/>
      <c r="P19" s="59"/>
      <c r="Q19" s="28"/>
      <c r="R19" s="28"/>
      <c r="S19" s="28"/>
      <c r="T19" s="55"/>
      <c r="U19" s="3" t="s">
        <v>23</v>
      </c>
      <c r="V19" s="59">
        <f>V11-V17</f>
        <v>2439.0636795388891</v>
      </c>
      <c r="W19" s="59">
        <f>W11-W17</f>
        <v>1087.9000000000005</v>
      </c>
      <c r="X19" s="59">
        <f>X11-X17</f>
        <v>4258</v>
      </c>
      <c r="Y19" s="59">
        <f>Y11-Y17</f>
        <v>3681.820180255585</v>
      </c>
      <c r="Z19" s="59">
        <f>Z11-Z17</f>
        <v>6729.4000000000087</v>
      </c>
      <c r="AA19" s="55">
        <f>+Z19-Y19</f>
        <v>3047.5798197444237</v>
      </c>
      <c r="AB19" s="61">
        <f>IF(Y19=0,"",(Z19-Y19)/ABS(Y19)+1)</f>
        <v>1.827737279535707</v>
      </c>
      <c r="AC19" s="59">
        <f>AC11-AC17</f>
        <v>26924.320000000007</v>
      </c>
      <c r="AD19" s="28">
        <f>IF(AC19=0,"",(Z19-AC19)/ABS(AC19))</f>
        <v>-0.75006239711903566</v>
      </c>
      <c r="AF19" s="60">
        <v>1242.7565007166704</v>
      </c>
      <c r="AG19" s="60">
        <v>22666.32</v>
      </c>
      <c r="AH19" s="60">
        <v>5641.5</v>
      </c>
      <c r="AI19" s="47"/>
    </row>
    <row r="20" spans="1:35" x14ac:dyDescent="0.2">
      <c r="B20" s="17" t="s">
        <v>24</v>
      </c>
      <c r="C20" s="63">
        <f>SUM(C10:C19)</f>
        <v>9580.76</v>
      </c>
      <c r="D20" s="36">
        <f>+C20/$C$20</f>
        <v>1</v>
      </c>
      <c r="E20" s="63">
        <f>SUM(E10:E19)</f>
        <v>7696.45</v>
      </c>
      <c r="F20" s="36">
        <f>+E20/$E$20</f>
        <v>1</v>
      </c>
      <c r="G20" s="36">
        <f>IF(C20=0,"",(E20-C20)/ABS(C20)+1)</f>
        <v>0.80332353591990613</v>
      </c>
      <c r="H20" s="63">
        <f>SUM(H10:H19)</f>
        <v>8138.0499999999993</v>
      </c>
      <c r="I20" s="36">
        <f>+H20/$H$20</f>
        <v>1</v>
      </c>
      <c r="J20" s="36">
        <f>IF(H20=0,"",(E20-H20)/ABS(H20))</f>
        <v>-5.4263613519209088E-2</v>
      </c>
      <c r="K20" s="63">
        <f>SUM(K10:K19)</f>
        <v>82596.289999999994</v>
      </c>
      <c r="L20" s="36">
        <f>+K20/$K$20</f>
        <v>1</v>
      </c>
      <c r="M20" s="63">
        <f>SUM(M10:M19)</f>
        <v>73131.040000000008</v>
      </c>
      <c r="N20" s="36">
        <f>+M20/$M$20</f>
        <v>1</v>
      </c>
      <c r="O20" s="36">
        <f>IF(K20=0,"",(M20-K20)/ABS(K20)+1)</f>
        <v>0.88540344850840169</v>
      </c>
      <c r="P20" s="63">
        <f>SUM(P10:P19)</f>
        <v>78074.289999999994</v>
      </c>
      <c r="Q20" s="36">
        <f>+P20/$P$20</f>
        <v>1</v>
      </c>
      <c r="R20" s="36">
        <f>IF(P20=0,"",(M20-P20)/ABS(P20))</f>
        <v>-6.3314696809922771E-2</v>
      </c>
      <c r="S20" s="36"/>
      <c r="T20" s="55"/>
      <c r="U20" s="3"/>
      <c r="V20" s="59"/>
      <c r="W20" s="59"/>
      <c r="X20" s="59"/>
      <c r="Y20" s="59"/>
      <c r="Z20" s="59"/>
      <c r="AA20" s="55"/>
      <c r="AB20" s="61"/>
      <c r="AC20" s="59"/>
      <c r="AD20" s="28"/>
      <c r="AF20" s="60"/>
      <c r="AG20" s="60"/>
      <c r="AH20" s="60"/>
    </row>
    <row r="21" spans="1:35" x14ac:dyDescent="0.2">
      <c r="J21" s="28"/>
      <c r="R21" s="28"/>
      <c r="S21" s="28"/>
      <c r="U21" s="3" t="s">
        <v>25</v>
      </c>
      <c r="V21" s="59">
        <f>+V10+V19</f>
        <v>16566.714719327778</v>
      </c>
      <c r="W21" s="59">
        <f>+W10+W19</f>
        <v>18494.11</v>
      </c>
      <c r="X21" s="59">
        <f>+X10+X19</f>
        <v>17398.62</v>
      </c>
      <c r="Y21" s="59">
        <f>+Y10+Y19</f>
        <v>28156.820180255585</v>
      </c>
      <c r="Z21" s="59">
        <f>+Z10+Z19</f>
        <v>31204.400000000009</v>
      </c>
      <c r="AA21" s="55">
        <f>+Z21-Y21</f>
        <v>3047.5798197444237</v>
      </c>
      <c r="AB21" s="61">
        <f>IF(Y21=0,"",(Z21-Y21)/ABS(Y21)+1)</f>
        <v>1.1082359371631558</v>
      </c>
      <c r="AC21" s="59">
        <f>+AC10+AC19</f>
        <v>41868.320000000007</v>
      </c>
      <c r="AD21" s="28">
        <f>IF(AC21=0,"",(Z21-AC21)/ABS(AC21))</f>
        <v>-0.25470140669604124</v>
      </c>
      <c r="AF21" s="60">
        <v>25717.75650071667</v>
      </c>
      <c r="AG21" s="60">
        <v>37610.32</v>
      </c>
      <c r="AH21" s="59">
        <v>30116.5</v>
      </c>
    </row>
    <row r="22" spans="1:35" x14ac:dyDescent="0.2">
      <c r="A22" s="87"/>
      <c r="B22" s="3" t="s">
        <v>26</v>
      </c>
      <c r="C22" s="59">
        <v>107.42</v>
      </c>
      <c r="D22" s="28">
        <f>+C22/$C$20</f>
        <v>1.1212054158542746E-2</v>
      </c>
      <c r="E22" s="59">
        <v>23.85</v>
      </c>
      <c r="F22" s="28">
        <f>+E22/$E$20</f>
        <v>3.0988312793560672E-3</v>
      </c>
      <c r="G22" s="28">
        <f>IF(C22=0,"",(E22-C22)/ABS(C22)+1)</f>
        <v>0.22202569353937818</v>
      </c>
      <c r="H22" s="59">
        <v>0</v>
      </c>
      <c r="I22" s="28">
        <f>+H22/$H$20</f>
        <v>0</v>
      </c>
      <c r="J22" s="28" t="str">
        <f>IF(H22=0,"",(E22-H22)/ABS(H22))</f>
        <v/>
      </c>
      <c r="K22" s="59">
        <v>719.28</v>
      </c>
      <c r="L22" s="28">
        <f>+K22/$K$20</f>
        <v>8.7083814539369742E-3</v>
      </c>
      <c r="M22" s="59">
        <v>47.7</v>
      </c>
      <c r="N22" s="28">
        <f>+M22/$M$20</f>
        <v>6.5225381725735065E-4</v>
      </c>
      <c r="O22" s="28">
        <f>IF(K22=0,"",(M22-K22)/ABS(K22)+1)</f>
        <v>6.6316316316316404E-2</v>
      </c>
      <c r="P22" s="59">
        <v>40.56</v>
      </c>
      <c r="Q22" s="28">
        <f>+P22/$P$20</f>
        <v>5.1950520459423974E-4</v>
      </c>
      <c r="R22" s="28">
        <f>IF(P22=0,"",(M22-P22)/ABS(P22))</f>
        <v>0.17603550295857989</v>
      </c>
      <c r="S22" s="28"/>
      <c r="T22" s="55"/>
      <c r="AD22" s="28"/>
      <c r="AF22" s="60"/>
      <c r="AG22" s="60"/>
      <c r="AH22" s="60"/>
    </row>
    <row r="23" spans="1:35" x14ac:dyDescent="0.2">
      <c r="J23" s="28"/>
      <c r="R23" s="28"/>
      <c r="S23" s="28"/>
      <c r="U23" s="3" t="s">
        <v>27</v>
      </c>
      <c r="V23" s="59"/>
      <c r="W23" s="59">
        <v>115</v>
      </c>
      <c r="X23" s="59"/>
      <c r="Y23" s="59">
        <f>+AF23+V23</f>
        <v>0</v>
      </c>
      <c r="Z23" s="59">
        <f>+W23+AH23</f>
        <v>1646</v>
      </c>
      <c r="AA23" s="55">
        <f>+Z23-Y23</f>
        <v>1646</v>
      </c>
      <c r="AB23" s="61" t="str">
        <f>IF(Y23=0,"",(Z23-Y23)/ABS(Y23)+1)</f>
        <v/>
      </c>
      <c r="AC23" s="59">
        <v>0</v>
      </c>
      <c r="AD23" s="28" t="str">
        <f>IF(AC23=0,"",(Z23-AC23)/ABS(AC23))</f>
        <v/>
      </c>
      <c r="AF23" s="60">
        <v>0</v>
      </c>
      <c r="AG23" s="60">
        <v>0</v>
      </c>
      <c r="AH23" s="60">
        <v>1531</v>
      </c>
    </row>
    <row r="24" spans="1:35" x14ac:dyDescent="0.2">
      <c r="B24" s="3" t="s">
        <v>28</v>
      </c>
      <c r="C24" s="59">
        <f>+C20-C22</f>
        <v>9473.34</v>
      </c>
      <c r="D24" s="28">
        <f>+C24/$C$20</f>
        <v>0.98878794584145724</v>
      </c>
      <c r="E24" s="59">
        <f>+E20-E22</f>
        <v>7672.5999999999995</v>
      </c>
      <c r="F24" s="28">
        <f>+E24/$E$20</f>
        <v>0.99690116872064394</v>
      </c>
      <c r="G24" s="28">
        <f>IF(C24=0,"",(E24-C24)/ABS(C24)+1)</f>
        <v>0.80991498246658511</v>
      </c>
      <c r="H24" s="59">
        <f>+H20-H22</f>
        <v>8138.0499999999993</v>
      </c>
      <c r="I24" s="28">
        <f>+H24/$H$20</f>
        <v>1</v>
      </c>
      <c r="J24" s="28">
        <f>IF(H24=0,"",(E24-H24)/ABS(H24))</f>
        <v>-5.7194291015660981E-2</v>
      </c>
      <c r="K24" s="59">
        <f>+K20-K22</f>
        <v>81877.009999999995</v>
      </c>
      <c r="L24" s="28">
        <f>+K24/$K$20</f>
        <v>0.99129161854606307</v>
      </c>
      <c r="M24" s="59">
        <f>+M20-M22</f>
        <v>73083.340000000011</v>
      </c>
      <c r="N24" s="28">
        <f>+M24/$M$20</f>
        <v>0.99934774618274269</v>
      </c>
      <c r="O24" s="28">
        <f>IF(K24=0,"",(M24-K24)/ABS(K24)+1)</f>
        <v>0.89259903359929749</v>
      </c>
      <c r="P24" s="59">
        <f>+P20-P22</f>
        <v>78033.73</v>
      </c>
      <c r="Q24" s="28">
        <f>+P24/$P$20</f>
        <v>0.99948049479540579</v>
      </c>
      <c r="R24" s="28">
        <f>IF(P24=0,"",(M24-P24)/ABS(P24))</f>
        <v>-6.343910511518526E-2</v>
      </c>
      <c r="S24" s="28"/>
      <c r="T24" s="55"/>
      <c r="AD24" s="28"/>
      <c r="AF24" s="60"/>
      <c r="AG24" s="60"/>
      <c r="AH24" s="60"/>
    </row>
    <row r="25" spans="1:35" x14ac:dyDescent="0.2">
      <c r="J25" s="28"/>
      <c r="R25" s="28"/>
      <c r="S25" s="28"/>
      <c r="U25" s="3" t="s">
        <v>29</v>
      </c>
      <c r="V25" s="59">
        <v>1360.8348292000001</v>
      </c>
      <c r="W25" s="59">
        <v>1203.5999999999999</v>
      </c>
      <c r="X25" s="59">
        <v>1412</v>
      </c>
      <c r="Y25" s="59">
        <f>+AF25+V25</f>
        <v>12950.791869599998</v>
      </c>
      <c r="Z25" s="59">
        <f t="shared" ref="Z25" si="3">+W25+AH25</f>
        <v>12382.800000000001</v>
      </c>
      <c r="AA25" s="55">
        <f>+Z25-Y25</f>
        <v>-567.99186959999679</v>
      </c>
      <c r="AB25" s="61">
        <f>IF(Y25=0,"",(Z25-Y25)/ABS(Y25)+1)</f>
        <v>0.95614230578955783</v>
      </c>
      <c r="AC25" s="59">
        <v>15596.7</v>
      </c>
      <c r="AD25" s="28">
        <f>IF(AC25=0,"",(Z25-AC25)/ABS(AC25))</f>
        <v>-0.20606282098136142</v>
      </c>
      <c r="AF25" s="60">
        <v>11589.957040399999</v>
      </c>
      <c r="AG25" s="60">
        <v>14184.7</v>
      </c>
      <c r="AH25" s="60">
        <v>11179.2</v>
      </c>
    </row>
    <row r="26" spans="1:35" x14ac:dyDescent="0.2">
      <c r="B26" s="3" t="s">
        <v>30</v>
      </c>
      <c r="C26" s="59">
        <v>840.87</v>
      </c>
      <c r="D26" s="28">
        <f>+C26/$C$20</f>
        <v>8.7766523741331579E-2</v>
      </c>
      <c r="E26" s="59">
        <v>644.07000000000005</v>
      </c>
      <c r="F26" s="28">
        <f>+E26/$E$20</f>
        <v>8.3684036146535093E-2</v>
      </c>
      <c r="G26" s="28">
        <f>IF(C26=0,"",(E26-C26)/ABS(C26)+1)</f>
        <v>0.76595668771629388</v>
      </c>
      <c r="H26" s="59">
        <v>915.03</v>
      </c>
      <c r="I26" s="28">
        <f>+H26/$H$20</f>
        <v>0.11243848342047542</v>
      </c>
      <c r="J26" s="28">
        <f>IF(H26=0,"",(E26-H26)/ABS(H26))</f>
        <v>-0.29612143864135593</v>
      </c>
      <c r="K26" s="59">
        <v>8937.83</v>
      </c>
      <c r="L26" s="28">
        <f>+K26/$K$20</f>
        <v>0.10821103466027349</v>
      </c>
      <c r="M26" s="59">
        <v>6618.53</v>
      </c>
      <c r="N26" s="28">
        <f>+M26/$M$20</f>
        <v>9.0502336627511365E-2</v>
      </c>
      <c r="O26" s="28">
        <f>IF(K26=0,"",(M26-K26)/ABS(K26)+1)</f>
        <v>0.7405074833600549</v>
      </c>
      <c r="P26" s="59">
        <v>7171.24</v>
      </c>
      <c r="Q26" s="28">
        <f>+P26/$P$20</f>
        <v>9.1851491701045257E-2</v>
      </c>
      <c r="R26" s="28">
        <f>IF(P26=0,"",(M26-P26)/ABS(P26))</f>
        <v>-7.7073142162303876E-2</v>
      </c>
      <c r="S26" s="28"/>
      <c r="T26" s="55"/>
      <c r="AD26" s="28"/>
      <c r="AF26" s="50"/>
      <c r="AG26" s="46"/>
      <c r="AH26" s="46"/>
    </row>
    <row r="27" spans="1:35" x14ac:dyDescent="0.2">
      <c r="B27" s="3" t="s">
        <v>31</v>
      </c>
      <c r="C27" s="59">
        <v>1125.8800000000001</v>
      </c>
      <c r="D27" s="28">
        <f>+C27/$C$20</f>
        <v>0.11751468568255546</v>
      </c>
      <c r="E27" s="59">
        <v>986.45</v>
      </c>
      <c r="F27" s="28">
        <f>+E27/$E$20</f>
        <v>0.12816948073462442</v>
      </c>
      <c r="G27" s="28">
        <f>IF(C27=0,"",(E27-C27)/ABS(C27)+1)</f>
        <v>0.87615909333143849</v>
      </c>
      <c r="H27" s="59">
        <v>985.2</v>
      </c>
      <c r="I27" s="28">
        <f>+H27/$H$20</f>
        <v>0.12106094211758346</v>
      </c>
      <c r="J27" s="28">
        <f>IF(H27=0,"",(E27-H27)/ABS(H27))</f>
        <v>1.2687779131140885E-3</v>
      </c>
      <c r="K27" s="59">
        <v>10978.08</v>
      </c>
      <c r="L27" s="28">
        <f>+K27/$K$20</f>
        <v>0.13291250732932436</v>
      </c>
      <c r="M27" s="59">
        <v>10935.88</v>
      </c>
      <c r="N27" s="28">
        <f>+M27/$M$20</f>
        <v>0.1495381441314112</v>
      </c>
      <c r="O27" s="28">
        <f>IF(K27=0,"",(M27-K27)/ABS(K27)+1)</f>
        <v>0.9961559762727179</v>
      </c>
      <c r="P27" s="59">
        <v>11507.59</v>
      </c>
      <c r="Q27" s="28">
        <f>+P27/$P$20</f>
        <v>0.14739282291263872</v>
      </c>
      <c r="R27" s="28">
        <f>IF(P27=0,"",(M27-P27)/ABS(P27))</f>
        <v>-4.9681123501967045E-2</v>
      </c>
      <c r="S27" s="28"/>
      <c r="T27" s="55"/>
      <c r="U27" s="3" t="s">
        <v>32</v>
      </c>
      <c r="V27" s="59"/>
      <c r="W27" s="59"/>
      <c r="X27" s="59"/>
      <c r="Y27" s="59">
        <f t="shared" ref="Y27:Y28" si="4">+AF27+V27</f>
        <v>0</v>
      </c>
      <c r="Z27" s="59">
        <f t="shared" ref="Z27:Z28" si="5">+W27+AH27</f>
        <v>0</v>
      </c>
      <c r="AA27" s="55">
        <f>+Z27-Y27</f>
        <v>0</v>
      </c>
      <c r="AB27" s="61" t="str">
        <f>IF(Y27=0,"",(Z27-Y27)/ABS(Y27)+1)</f>
        <v/>
      </c>
      <c r="AC27" s="59">
        <v>0</v>
      </c>
      <c r="AD27" s="28" t="str">
        <f>IF(AC27=0,"",(Z27-AC27)/ABS(AC27))</f>
        <v/>
      </c>
      <c r="AF27" s="60">
        <v>0</v>
      </c>
      <c r="AG27" s="2">
        <v>0</v>
      </c>
      <c r="AH27" s="2">
        <v>0</v>
      </c>
    </row>
    <row r="28" spans="1:35" x14ac:dyDescent="0.2">
      <c r="B28" s="3" t="s">
        <v>33</v>
      </c>
      <c r="C28" s="59">
        <f>SUM(C26:C27)</f>
        <v>1966.75</v>
      </c>
      <c r="D28" s="28">
        <f>+C28/$C$20</f>
        <v>0.20528120942388703</v>
      </c>
      <c r="E28" s="59">
        <f>SUM(E26:E27)</f>
        <v>1630.52</v>
      </c>
      <c r="F28" s="28">
        <f>+E28/$E$20</f>
        <v>0.2118535168811595</v>
      </c>
      <c r="G28" s="28">
        <f>IF(C28=0,"",(E28-C28)/ABS(C28)+1)</f>
        <v>0.8290428371679166</v>
      </c>
      <c r="H28" s="59">
        <f>SUM(H26:H27)</f>
        <v>1900.23</v>
      </c>
      <c r="I28" s="28">
        <f>+H28/$H$20</f>
        <v>0.23349942553805889</v>
      </c>
      <c r="J28" s="28">
        <f>IF(H28=0,"",(E28-H28)/ABS(H28))</f>
        <v>-0.14193544991922033</v>
      </c>
      <c r="K28" s="59">
        <f>SUM(K26:K27)</f>
        <v>19915.91</v>
      </c>
      <c r="L28" s="28">
        <f>+K28/$K$20</f>
        <v>0.24112354198959784</v>
      </c>
      <c r="M28" s="59">
        <f>SUM(M26:M27)</f>
        <v>17554.41</v>
      </c>
      <c r="N28" s="28">
        <f>+M28/$M$20</f>
        <v>0.24004048075892259</v>
      </c>
      <c r="O28" s="28">
        <f>IF(K28=0,"",(M28-K28)/ABS(K28)+1)</f>
        <v>0.88142645754073001</v>
      </c>
      <c r="P28" s="59">
        <f>SUM(P26:P27)</f>
        <v>18678.830000000002</v>
      </c>
      <c r="Q28" s="28">
        <f>+P28/$P$20</f>
        <v>0.23924431461368401</v>
      </c>
      <c r="R28" s="28">
        <f>IF(P28=0,"",(M28-P28)/ABS(P28))</f>
        <v>-6.0197560553846348E-2</v>
      </c>
      <c r="S28" s="28"/>
      <c r="T28" s="55"/>
      <c r="U28" s="3" t="s">
        <v>34</v>
      </c>
      <c r="V28" s="59"/>
      <c r="W28" s="59"/>
      <c r="X28" s="59"/>
      <c r="Y28" s="59">
        <f t="shared" si="4"/>
        <v>0</v>
      </c>
      <c r="Z28" s="59">
        <f t="shared" si="5"/>
        <v>0</v>
      </c>
      <c r="AA28" s="55">
        <f>+Z28-Y28</f>
        <v>0</v>
      </c>
      <c r="AB28" s="61" t="str">
        <f>IF(Y28=0,"",(Z28-Y28)/ABS(Y28)+1)</f>
        <v/>
      </c>
      <c r="AC28" s="59">
        <v>10286</v>
      </c>
      <c r="AD28" s="28">
        <f>IF(AC28=0,"",(Z28-AC28)/ABS(AC28))</f>
        <v>-1</v>
      </c>
      <c r="AF28" s="60">
        <v>0</v>
      </c>
      <c r="AG28" s="2">
        <v>10286</v>
      </c>
      <c r="AH28" s="2">
        <v>0</v>
      </c>
    </row>
    <row r="29" spans="1:35" x14ac:dyDescent="0.2">
      <c r="J29" s="28"/>
      <c r="R29" s="28"/>
      <c r="S29" s="28"/>
      <c r="AF29" s="60"/>
    </row>
    <row r="30" spans="1:35" x14ac:dyDescent="0.2">
      <c r="B30" s="3" t="s">
        <v>35</v>
      </c>
      <c r="C30" s="59">
        <v>6518.22</v>
      </c>
      <c r="D30" s="28">
        <f>+C30/$C$20</f>
        <v>0.68034477431853002</v>
      </c>
      <c r="E30" s="59">
        <v>5629.75</v>
      </c>
      <c r="F30" s="28">
        <f>+E30/$E$20</f>
        <v>0.7314736014656108</v>
      </c>
      <c r="G30" s="28">
        <f>IF(C30=0,"",(E30-C30)/ABS(C30)+1)</f>
        <v>0.86369438282230426</v>
      </c>
      <c r="H30" s="59">
        <v>4532.93</v>
      </c>
      <c r="I30" s="28">
        <f>+H30/$H$20</f>
        <v>0.55700444209607958</v>
      </c>
      <c r="J30" s="28">
        <f>IF(H30=0,"",(E30-H30)/ABS(H30))</f>
        <v>0.24196711619195524</v>
      </c>
      <c r="K30" s="59">
        <v>59097.98</v>
      </c>
      <c r="L30" s="28">
        <f>+K30/$K$20</f>
        <v>0.71550404987923799</v>
      </c>
      <c r="M30" s="59">
        <v>52663.08</v>
      </c>
      <c r="N30" s="28">
        <f>+M30/$M$20</f>
        <v>0.72011939116413493</v>
      </c>
      <c r="O30" s="28">
        <f>IF(K30=0,"",(M30-K30)/ABS(K30)+1)</f>
        <v>0.89111472168761097</v>
      </c>
      <c r="P30" s="59">
        <v>53738.17</v>
      </c>
      <c r="Q30" s="28">
        <f>+P30/$P$20</f>
        <v>0.68829534024580952</v>
      </c>
      <c r="R30" s="28">
        <f>IF(P30=0,"",(M30-P30)/ABS(P30))</f>
        <v>-2.0006077616710739E-2</v>
      </c>
      <c r="S30" s="28"/>
      <c r="T30" s="55"/>
      <c r="U30" s="17" t="s">
        <v>36</v>
      </c>
      <c r="V30" s="63">
        <f>V21-V23-V25-V27-V28</f>
        <v>15205.879890127777</v>
      </c>
      <c r="W30" s="63">
        <f>W21-W23-W25-W27-W28</f>
        <v>17175.510000000002</v>
      </c>
      <c r="X30" s="63">
        <f>X21-X23-X25-X27-X28</f>
        <v>15986.619999999999</v>
      </c>
      <c r="Y30" s="63">
        <f>Y21-Y23-Y25-Y27-Y28</f>
        <v>15206.028310655587</v>
      </c>
      <c r="Z30" s="63">
        <f>Z21-Z23-Z25-Z27-Z28</f>
        <v>17175.600000000006</v>
      </c>
      <c r="AA30" s="65">
        <f>+Z30-Y30</f>
        <v>1969.5716893444187</v>
      </c>
      <c r="AB30" s="66">
        <f>IF(V30=0,"",(W30-V30)/ABS(V30)+1)</f>
        <v>1.1295308212417869</v>
      </c>
      <c r="AC30" s="63">
        <f>AC21-AC23-AC25-AC27-AC28</f>
        <v>15985.620000000006</v>
      </c>
      <c r="AD30" s="28">
        <f>IF(AC30=0,"",(Z30-AC30)/ABS(AC30))</f>
        <v>7.4440653537366647E-2</v>
      </c>
      <c r="AF30" s="60">
        <v>14127.799460316672</v>
      </c>
      <c r="AG30" s="2">
        <v>13139.619999999999</v>
      </c>
      <c r="AH30" s="2">
        <v>17406.3</v>
      </c>
    </row>
    <row r="31" spans="1:35" x14ac:dyDescent="0.2">
      <c r="B31" s="3" t="s">
        <v>37</v>
      </c>
      <c r="C31" s="59">
        <v>0</v>
      </c>
      <c r="D31" s="28">
        <f>+C31/$C$20</f>
        <v>0</v>
      </c>
      <c r="E31" s="59">
        <v>0</v>
      </c>
      <c r="F31" s="28">
        <f>+E31/$E$20</f>
        <v>0</v>
      </c>
      <c r="G31" s="28" t="str">
        <f>IF(C31=0,"",(E31-C31)/ABS(C31)+1)</f>
        <v/>
      </c>
      <c r="H31" s="59">
        <v>0</v>
      </c>
      <c r="I31" s="28">
        <f>+H31/$H$20</f>
        <v>0</v>
      </c>
      <c r="J31" s="28" t="str">
        <f>IF(H31=0,"",(E31-H31)/ABS(H31))</f>
        <v/>
      </c>
      <c r="K31" s="59">
        <v>0</v>
      </c>
      <c r="L31" s="28">
        <f>+K31/$K$20</f>
        <v>0</v>
      </c>
      <c r="M31" s="59">
        <v>0</v>
      </c>
      <c r="N31" s="28">
        <f>+M31/$M$20</f>
        <v>0</v>
      </c>
      <c r="O31" s="28" t="str">
        <f>IF(K31=0,"",(M31-K31)/ABS(K31)+1)</f>
        <v/>
      </c>
      <c r="P31" s="59">
        <v>0</v>
      </c>
      <c r="Q31" s="28">
        <f>+P31/$P$20</f>
        <v>0</v>
      </c>
      <c r="R31" s="28" t="str">
        <f>IF(P31=0,"",(M31-P31)/ABS(P31))</f>
        <v/>
      </c>
      <c r="S31" s="28"/>
      <c r="T31" s="55"/>
      <c r="U31" s="47"/>
      <c r="V31" s="53" t="s">
        <v>47</v>
      </c>
      <c r="W31" s="55" t="s">
        <v>47</v>
      </c>
      <c r="X31" s="53" t="s">
        <v>47</v>
      </c>
      <c r="Y31" s="59" t="s">
        <v>47</v>
      </c>
      <c r="Z31" s="59" t="s">
        <v>47</v>
      </c>
      <c r="AA31" s="53"/>
      <c r="AB31" s="53"/>
      <c r="AC31" s="59" t="s">
        <v>47</v>
      </c>
      <c r="AD31" s="53"/>
      <c r="AE31" s="53"/>
      <c r="AF31" s="53"/>
      <c r="AG31" s="53"/>
    </row>
    <row r="32" spans="1:35" x14ac:dyDescent="0.2">
      <c r="B32" s="3" t="s">
        <v>38</v>
      </c>
      <c r="C32" s="59">
        <f>SUM(C30:C31)</f>
        <v>6518.22</v>
      </c>
      <c r="D32" s="28">
        <f>+C32/$C$20</f>
        <v>0.68034477431853002</v>
      </c>
      <c r="E32" s="59">
        <f>SUM(E30:E31)</f>
        <v>5629.75</v>
      </c>
      <c r="F32" s="28">
        <f>+E32/$E$20</f>
        <v>0.7314736014656108</v>
      </c>
      <c r="G32" s="28">
        <f>IF(C32=0,"",(E32-C32)/ABS(C32)+1)</f>
        <v>0.86369438282230426</v>
      </c>
      <c r="H32" s="59">
        <f>SUM(H30:H31)</f>
        <v>4532.93</v>
      </c>
      <c r="I32" s="28">
        <f>+H32/$H$20</f>
        <v>0.55700444209607958</v>
      </c>
      <c r="J32" s="28">
        <f>IF(H32=0,"",(E32-H32)/ABS(H32))</f>
        <v>0.24196711619195524</v>
      </c>
      <c r="K32" s="59">
        <f>SUM(K30:K31)</f>
        <v>59097.98</v>
      </c>
      <c r="L32" s="28">
        <f>+K32/$K$20</f>
        <v>0.71550404987923799</v>
      </c>
      <c r="M32" s="59">
        <f>SUM(M30:M31)</f>
        <v>52663.08</v>
      </c>
      <c r="N32" s="28">
        <f>+M32/$M$20</f>
        <v>0.72011939116413493</v>
      </c>
      <c r="O32" s="28">
        <f>IF(K32=0,"",(M32-K32)/ABS(K32)+1)</f>
        <v>0.89111472168761097</v>
      </c>
      <c r="P32" s="59">
        <f>SUM(P30:P31)</f>
        <v>53738.17</v>
      </c>
      <c r="Q32" s="28">
        <f>+P32/$P$20</f>
        <v>0.68829534024580952</v>
      </c>
      <c r="R32" s="28">
        <f>IF(P32=0,"",(M32-P32)/ABS(P32))</f>
        <v>-2.0006077616710739E-2</v>
      </c>
      <c r="S32" s="28"/>
      <c r="T32" s="55"/>
      <c r="Y32" s="47"/>
      <c r="Z32" s="47"/>
      <c r="AA32" s="47"/>
    </row>
    <row r="33" spans="1:34" x14ac:dyDescent="0.2">
      <c r="J33" s="28"/>
      <c r="R33" s="28"/>
      <c r="S33" s="28"/>
      <c r="AA33" s="46"/>
      <c r="AB33" s="46"/>
    </row>
    <row r="34" spans="1:34" x14ac:dyDescent="0.2">
      <c r="B34" s="3" t="s">
        <v>39</v>
      </c>
      <c r="C34" s="59">
        <f>C28+C32</f>
        <v>8484.9700000000012</v>
      </c>
      <c r="D34" s="28">
        <f>+C34/$C$20</f>
        <v>0.88562598374241719</v>
      </c>
      <c r="E34" s="59">
        <f>E28+E32</f>
        <v>7260.27</v>
      </c>
      <c r="F34" s="28">
        <f>+E34/$E$20</f>
        <v>0.9433271183467703</v>
      </c>
      <c r="G34" s="28">
        <f>IF(C34=0,"",(E34-C34)/ABS(C34)+1)</f>
        <v>0.8556624242631381</v>
      </c>
      <c r="H34" s="59">
        <f>H28+H32</f>
        <v>6433.16</v>
      </c>
      <c r="I34" s="28">
        <f>+H34/$H$20</f>
        <v>0.79050386763413849</v>
      </c>
      <c r="J34" s="28">
        <f>IF(H34=0,"",(E34-H34)/ABS(H34))</f>
        <v>0.12856978529991492</v>
      </c>
      <c r="K34" s="59">
        <f>K28+K32</f>
        <v>79013.89</v>
      </c>
      <c r="L34" s="28">
        <f>+K34/$K$20</f>
        <v>0.95662759186883584</v>
      </c>
      <c r="M34" s="59">
        <f>M28+M32</f>
        <v>70217.490000000005</v>
      </c>
      <c r="N34" s="28">
        <f>+M34/$M$20</f>
        <v>0.96015987192305752</v>
      </c>
      <c r="O34" s="28">
        <f>IF(K34=0,"",(M34-K34)/ABS(K34)+1)</f>
        <v>0.88867273842611727</v>
      </c>
      <c r="P34" s="59">
        <f>P28+P32</f>
        <v>72417</v>
      </c>
      <c r="Q34" s="28">
        <f>+P34/$P$20</f>
        <v>0.92753965485949352</v>
      </c>
      <c r="R34" s="28">
        <f>IF(P34=0,"",(M34-P34)/ABS(P34))</f>
        <v>-3.0372840631343396E-2</v>
      </c>
      <c r="S34" s="28"/>
      <c r="T34" s="55"/>
    </row>
    <row r="35" spans="1:34" x14ac:dyDescent="0.2">
      <c r="J35" s="28"/>
      <c r="R35" s="28"/>
      <c r="S35" s="28"/>
      <c r="T35" s="125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</row>
    <row r="36" spans="1:34" x14ac:dyDescent="0.2">
      <c r="B36" s="17" t="s">
        <v>40</v>
      </c>
      <c r="C36" s="63">
        <f>C24-C34</f>
        <v>988.36999999999898</v>
      </c>
      <c r="D36" s="36">
        <f>+C36/$C$20</f>
        <v>0.10316196209904005</v>
      </c>
      <c r="E36" s="63">
        <f>E24-E34</f>
        <v>412.32999999999902</v>
      </c>
      <c r="F36" s="36">
        <f>+E36/$E$20</f>
        <v>5.3574050373873541E-2</v>
      </c>
      <c r="G36" s="36">
        <f>IF(C36=0,"",(E36-C36)/ABS(C36)+1)</f>
        <v>0.41718182462033393</v>
      </c>
      <c r="H36" s="63">
        <f>H24-H34</f>
        <v>1704.8899999999994</v>
      </c>
      <c r="I36" s="36">
        <f>+H36/$H$20</f>
        <v>0.20949613236586154</v>
      </c>
      <c r="J36" s="36">
        <f>IF(H36=0,"",(E36-H36)/ABS(H36))</f>
        <v>-0.75814861955903368</v>
      </c>
      <c r="K36" s="63">
        <f>K24-K34</f>
        <v>2863.1199999999953</v>
      </c>
      <c r="L36" s="36">
        <f>+K36/$K$20</f>
        <v>3.4664026677227219E-2</v>
      </c>
      <c r="M36" s="63">
        <f>M24-M34</f>
        <v>2865.8500000000058</v>
      </c>
      <c r="N36" s="36">
        <f>+M36/$M$20</f>
        <v>3.9187874259685153E-2</v>
      </c>
      <c r="O36" s="36">
        <f>IF(K36=0,"",(M36-K36)/ABS(K36)+1)</f>
        <v>1.0009535052669851</v>
      </c>
      <c r="P36" s="63">
        <f>P24-P34</f>
        <v>5616.7299999999959</v>
      </c>
      <c r="Q36" s="36">
        <f>+P36/$P$20</f>
        <v>7.1940839935912271E-2</v>
      </c>
      <c r="R36" s="36">
        <f>IF(P36=0,"",(M36-P36)/ABS(P36))</f>
        <v>-0.48976539730412394</v>
      </c>
      <c r="S36" s="36"/>
      <c r="T36" s="125"/>
      <c r="U36" s="126"/>
      <c r="V36" s="127"/>
      <c r="W36" s="127"/>
      <c r="X36" s="126"/>
      <c r="Y36" s="127"/>
      <c r="Z36" s="126"/>
      <c r="AA36" s="126"/>
      <c r="AB36" s="126"/>
      <c r="AC36" s="126"/>
      <c r="AD36" s="126"/>
      <c r="AE36" s="126"/>
      <c r="AF36" s="126"/>
      <c r="AG36" s="126"/>
      <c r="AH36" s="126"/>
    </row>
    <row r="37" spans="1:34" x14ac:dyDescent="0.2">
      <c r="J37" s="28"/>
      <c r="R37" s="28"/>
      <c r="S37" s="28"/>
      <c r="T37" s="126"/>
      <c r="U37" s="126" t="s">
        <v>95</v>
      </c>
      <c r="V37" s="128" t="s">
        <v>96</v>
      </c>
      <c r="W37" s="128" t="s">
        <v>97</v>
      </c>
      <c r="X37" s="128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</row>
    <row r="38" spans="1:34" x14ac:dyDescent="0.2">
      <c r="B38" s="3" t="s">
        <v>41</v>
      </c>
      <c r="C38" s="59">
        <v>0.76</v>
      </c>
      <c r="D38" s="28">
        <f>+C38/$C$20</f>
        <v>7.9325648487176383E-5</v>
      </c>
      <c r="E38" s="59">
        <v>0</v>
      </c>
      <c r="F38" s="28">
        <f>+E38/$E$20</f>
        <v>0</v>
      </c>
      <c r="G38" s="28">
        <f>IF(C38=0,"",(E38-C38)/ABS(C38)+1)</f>
        <v>0</v>
      </c>
      <c r="H38" s="59">
        <v>0</v>
      </c>
      <c r="I38" s="28">
        <f>+H38/$H$20</f>
        <v>0</v>
      </c>
      <c r="J38" s="28" t="str">
        <f>IF(H38=0,"",(E38-H38)/ABS(H38))</f>
        <v/>
      </c>
      <c r="K38" s="59">
        <v>6.84</v>
      </c>
      <c r="L38" s="28">
        <f>+K38/$K$20</f>
        <v>8.2812436248649908E-5</v>
      </c>
      <c r="M38" s="59">
        <v>150</v>
      </c>
      <c r="N38" s="28">
        <f>+M38/$M$20</f>
        <v>2.0511126328847501E-3</v>
      </c>
      <c r="O38" s="28">
        <f>IF(K38=0,"",(M38-K38)/ABS(K38)+1)</f>
        <v>21.92982456140351</v>
      </c>
      <c r="P38" s="59">
        <v>832.4</v>
      </c>
      <c r="Q38" s="28">
        <f>+P38/$P$20</f>
        <v>1.0661640342806832E-2</v>
      </c>
      <c r="R38" s="28">
        <f>IF(P38=0,"",(M38-P38)/ABS(P38))</f>
        <v>-0.81979817395482946</v>
      </c>
      <c r="S38" s="28"/>
      <c r="T38" s="125"/>
      <c r="U38" s="126" t="s">
        <v>98</v>
      </c>
      <c r="V38" s="127">
        <f>+V30</f>
        <v>15205.879890127777</v>
      </c>
      <c r="W38" s="127">
        <f>+W30</f>
        <v>17175.510000000002</v>
      </c>
      <c r="X38" s="129">
        <f>+W38/V38</f>
        <v>1.1295308212417869</v>
      </c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</row>
    <row r="39" spans="1:34" x14ac:dyDescent="0.2">
      <c r="B39" s="3" t="s">
        <v>42</v>
      </c>
      <c r="C39" s="59">
        <v>63.02</v>
      </c>
      <c r="D39" s="28">
        <f>+C39/$C$20</f>
        <v>6.5777662732392841E-3</v>
      </c>
      <c r="E39" s="59">
        <v>0.12</v>
      </c>
      <c r="F39" s="28">
        <f>+E39/$E$20</f>
        <v>1.5591603921288385E-5</v>
      </c>
      <c r="G39" s="28">
        <f>IF(C39=0,"",(E39-C39)/ABS(C39)+1)</f>
        <v>1.9041574103458858E-3</v>
      </c>
      <c r="H39" s="59">
        <v>5.09</v>
      </c>
      <c r="I39" s="28">
        <f>+H39/$H$20</f>
        <v>6.2545695836226122E-4</v>
      </c>
      <c r="J39" s="28">
        <f>IF(H39=0,"",(E39-H39)/ABS(H39))</f>
        <v>-0.97642436149312373</v>
      </c>
      <c r="K39" s="59">
        <v>567.17999999999995</v>
      </c>
      <c r="L39" s="28">
        <f>+K39/$K$20</f>
        <v>6.8668943847235752E-3</v>
      </c>
      <c r="M39" s="59">
        <v>101.78</v>
      </c>
      <c r="N39" s="28">
        <f>+M39/$M$20</f>
        <v>1.3917482918333992E-3</v>
      </c>
      <c r="O39" s="28">
        <f>IF(K39=0,"",(M39-K39)/ABS(K39)+1)</f>
        <v>0.17944920483797022</v>
      </c>
      <c r="P39" s="59">
        <v>192.65</v>
      </c>
      <c r="Q39" s="28">
        <f>+P39/$P$20</f>
        <v>2.4675216386854113E-3</v>
      </c>
      <c r="R39" s="28">
        <f>IF(P39=0,"",(M39-P39)/ABS(P39))</f>
        <v>-0.47168440176485854</v>
      </c>
      <c r="S39" s="28"/>
      <c r="T39" s="125"/>
      <c r="U39" s="126" t="s">
        <v>99</v>
      </c>
      <c r="V39" s="127">
        <f>+'VENEZUELA USD'!W24</f>
        <v>0</v>
      </c>
      <c r="W39" s="127">
        <f>+'VENEZUELA USD'!Y24</f>
        <v>0</v>
      </c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</row>
    <row r="40" spans="1:34" x14ac:dyDescent="0.2">
      <c r="J40" s="28"/>
      <c r="R40" s="28"/>
      <c r="S40" s="28"/>
      <c r="T40" s="126"/>
      <c r="U40" s="126" t="s">
        <v>100</v>
      </c>
      <c r="V40" s="127">
        <f>+'PANAMA USD'!U30</f>
        <v>0</v>
      </c>
      <c r="W40" s="127">
        <f>+'PANAMA USD'!V30</f>
        <v>0</v>
      </c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</row>
    <row r="41" spans="1:34" x14ac:dyDescent="0.2">
      <c r="B41" s="3" t="s">
        <v>43</v>
      </c>
      <c r="C41" s="59">
        <f>C36+C38-C39</f>
        <v>926.10999999999899</v>
      </c>
      <c r="D41" s="28">
        <f>+C41/$C$20</f>
        <v>9.6663521474287945E-2</v>
      </c>
      <c r="E41" s="59">
        <f>E36+E38-E39</f>
        <v>412.20999999999901</v>
      </c>
      <c r="F41" s="28">
        <f>+E41/$E$20</f>
        <v>5.3558458769952251E-2</v>
      </c>
      <c r="G41" s="28">
        <f>IF(C41=0,"",(E41-C41)/ABS(C41)+1)</f>
        <v>0.44509831445508574</v>
      </c>
      <c r="H41" s="59">
        <f>H36+H38-H39</f>
        <v>1699.7999999999995</v>
      </c>
      <c r="I41" s="28">
        <f>+H41/$H$20</f>
        <v>0.20887067540749929</v>
      </c>
      <c r="J41" s="28">
        <f>IF(H41=0,"",(E41-H41)/ABS(H41))</f>
        <v>-0.75749499941169607</v>
      </c>
      <c r="K41" s="59">
        <f>K36+K38-K39</f>
        <v>2302.7799999999957</v>
      </c>
      <c r="L41" s="28">
        <f>+K41/$K$20</f>
        <v>2.7879944728752295E-2</v>
      </c>
      <c r="M41" s="59">
        <f>M36+M38-M39</f>
        <v>2914.0700000000056</v>
      </c>
      <c r="N41" s="28">
        <f>+M41/$M$20</f>
        <v>3.9847238600736502E-2</v>
      </c>
      <c r="O41" s="28">
        <f>IF(K41=0,"",(M41-K41)/ABS(K41)+1)</f>
        <v>1.2654574036599289</v>
      </c>
      <c r="P41" s="59">
        <f>P36+P38-P39</f>
        <v>6256.4799999999959</v>
      </c>
      <c r="Q41" s="28">
        <f>+P41/$P$20</f>
        <v>8.0134958640033699E-2</v>
      </c>
      <c r="R41" s="28">
        <f>IF(P41=0,"",(M41-P41)/ABS(P41))</f>
        <v>-0.53423170856455904</v>
      </c>
      <c r="S41" s="28"/>
      <c r="T41" s="125"/>
      <c r="U41" s="126" t="s">
        <v>101</v>
      </c>
      <c r="V41" s="127">
        <f>SUM(V38:V40)</f>
        <v>15205.879890127777</v>
      </c>
      <c r="W41" s="127">
        <f>SUM(W38:W40)</f>
        <v>17175.510000000002</v>
      </c>
      <c r="X41" s="126" t="s">
        <v>102</v>
      </c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</row>
    <row r="42" spans="1:34" x14ac:dyDescent="0.2">
      <c r="A42" s="87"/>
      <c r="B42" s="3" t="s">
        <v>29</v>
      </c>
      <c r="C42" s="59">
        <v>307.94</v>
      </c>
      <c r="D42" s="28">
        <f>+C42/$C$20</f>
        <v>3.2141500256764599E-2</v>
      </c>
      <c r="E42" s="59">
        <v>103.08</v>
      </c>
      <c r="F42" s="28">
        <f>+E42/$E$20</f>
        <v>1.3393187768386723E-2</v>
      </c>
      <c r="G42" s="28">
        <f>IF(C42=0,"",(E42-C42)/ABS(C42)+1)</f>
        <v>0.33474053387023439</v>
      </c>
      <c r="H42" s="59">
        <v>424.96</v>
      </c>
      <c r="I42" s="28">
        <f>+H42/$H$20</f>
        <v>5.2218897647470834E-2</v>
      </c>
      <c r="J42" s="28">
        <f>IF(H42=0,"",(E42-H42)/ABS(H42))</f>
        <v>-0.75743599397590367</v>
      </c>
      <c r="K42" s="59">
        <v>600.69000000000005</v>
      </c>
      <c r="L42" s="28">
        <f>+K42/$K$20</f>
        <v>7.2726026798540233E-3</v>
      </c>
      <c r="M42" s="59">
        <v>706.31</v>
      </c>
      <c r="N42" s="28">
        <f>+M42/$M$20</f>
        <v>9.6581424248855189E-3</v>
      </c>
      <c r="O42" s="28">
        <f>IF(K42=0,"",(M42-K42)/ABS(K42)+1)</f>
        <v>1.175831127536666</v>
      </c>
      <c r="P42" s="59">
        <v>1990.56</v>
      </c>
      <c r="Q42" s="28">
        <f>+P42/$P$20</f>
        <v>2.5495716963932685E-2</v>
      </c>
      <c r="R42" s="28">
        <f>IF(P42=0,"",(M42-P42)/ABS(P42))</f>
        <v>-0.64517020335985853</v>
      </c>
      <c r="S42" s="28"/>
      <c r="T42" s="125"/>
      <c r="U42" s="126" t="s">
        <v>103</v>
      </c>
      <c r="V42" s="127">
        <f>+V41-V39</f>
        <v>15205.879890127777</v>
      </c>
      <c r="W42" s="127">
        <f>+W41-W39</f>
        <v>17175.510000000002</v>
      </c>
      <c r="X42" s="130">
        <f>+W42/V42</f>
        <v>1.1295308212417869</v>
      </c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</row>
    <row r="43" spans="1:34" x14ac:dyDescent="0.2">
      <c r="B43" s="17" t="s">
        <v>44</v>
      </c>
      <c r="C43" s="63">
        <f>C41-C42</f>
        <v>618.16999999999894</v>
      </c>
      <c r="D43" s="36">
        <f>+C43/$C$20</f>
        <v>6.4522021217523345E-2</v>
      </c>
      <c r="E43" s="63">
        <f>E41-E42</f>
        <v>309.12999999999903</v>
      </c>
      <c r="F43" s="36">
        <f>+E43/$E$20</f>
        <v>4.0165271001565535E-2</v>
      </c>
      <c r="G43" s="36">
        <f>IF(C43=0,"",(E43-C43)/ABS(C43)+1)</f>
        <v>0.50007279550932515</v>
      </c>
      <c r="H43" s="63">
        <f>H41-H42</f>
        <v>1274.8399999999995</v>
      </c>
      <c r="I43" s="36">
        <f>+H43/$H$20</f>
        <v>0.15665177776002845</v>
      </c>
      <c r="J43" s="36">
        <f>IF(H43=0,"",(E43-H43)/ABS(H43))</f>
        <v>-0.75751466850742122</v>
      </c>
      <c r="K43" s="63">
        <f>K41-K42</f>
        <v>1702.0899999999956</v>
      </c>
      <c r="L43" s="36">
        <f>+K43/$K$20</f>
        <v>2.0607342048898272E-2</v>
      </c>
      <c r="M43" s="63">
        <f>M41-M42</f>
        <v>2207.7600000000057</v>
      </c>
      <c r="N43" s="36">
        <f>+M43/$M$20</f>
        <v>3.0189096175850985E-2</v>
      </c>
      <c r="O43" s="36">
        <f>IF(K43=0,"",(M43-K43)/ABS(K43)+1)</f>
        <v>1.2970876980653263</v>
      </c>
      <c r="P43" s="63">
        <f>P41-P42</f>
        <v>4265.9199999999964</v>
      </c>
      <c r="Q43" s="36">
        <f>+P43/$P$20</f>
        <v>5.4639241676101014E-2</v>
      </c>
      <c r="R43" s="36">
        <f>IF(P43=0,"",(M43-P43)/ABS(P43))</f>
        <v>-0.48246568149425972</v>
      </c>
      <c r="S43" s="36"/>
      <c r="T43" s="55"/>
    </row>
    <row r="44" spans="1:34" x14ac:dyDescent="0.2">
      <c r="J44" s="28"/>
      <c r="R44" s="28"/>
      <c r="S44" s="28"/>
    </row>
    <row r="45" spans="1:34" x14ac:dyDescent="0.2">
      <c r="A45" s="87"/>
      <c r="B45" s="3" t="s">
        <v>45</v>
      </c>
      <c r="C45" s="59">
        <v>1447.149999999999</v>
      </c>
      <c r="D45" s="28">
        <f>+C45/$C$20</f>
        <v>0.15104751606344372</v>
      </c>
      <c r="E45" s="59">
        <v>758.469999999999</v>
      </c>
      <c r="F45" s="28">
        <f>+E45/$E$20</f>
        <v>9.8548031884829898E-2</v>
      </c>
      <c r="G45" s="28">
        <f>IF(C45=0,"",(E45-C45)/ABS(C45)+1)</f>
        <v>0.52411291158483886</v>
      </c>
      <c r="H45" s="59">
        <v>2077.9699999999993</v>
      </c>
      <c r="I45" s="28">
        <f>+H45/$H$20</f>
        <v>0.2553400384613021</v>
      </c>
      <c r="J45" s="28">
        <f>IF(H45=0,"",(E45-H45)/ABS(H45))</f>
        <v>-0.63499473043402976</v>
      </c>
      <c r="K45" s="59">
        <v>6992.1399999999958</v>
      </c>
      <c r="L45" s="28">
        <f>+K45/$K$20</f>
        <v>8.4654407601116186E-2</v>
      </c>
      <c r="M45" s="59">
        <v>5990.400000000006</v>
      </c>
      <c r="N45" s="28">
        <f>+M45/$M$20</f>
        <v>8.191323410688546E-2</v>
      </c>
      <c r="O45" s="28">
        <f>IF(K45=0,"",(M45-K45)/ABS(K45)+1)</f>
        <v>0.85673341780914136</v>
      </c>
      <c r="P45" s="59">
        <v>9373.1199999999953</v>
      </c>
      <c r="Q45" s="28">
        <f>+P45/$P$20</f>
        <v>0.12005386152086681</v>
      </c>
      <c r="R45" s="28">
        <f>IF(P45=0,"",(M45-P45)/ABS(P45))</f>
        <v>-0.36089583831210859</v>
      </c>
      <c r="S45" s="28"/>
      <c r="T45" s="55"/>
    </row>
    <row r="46" spans="1:34" x14ac:dyDescent="0.2">
      <c r="B46" s="3" t="s">
        <v>20</v>
      </c>
      <c r="C46" s="59">
        <v>6346.89</v>
      </c>
      <c r="D46" s="28">
        <f>+C46/$C$20</f>
        <v>0.66246205937733538</v>
      </c>
      <c r="E46" s="59">
        <v>5526.82</v>
      </c>
      <c r="F46" s="28">
        <f>+E46/$E$20</f>
        <v>0.71809990320212569</v>
      </c>
      <c r="G46" s="28">
        <f>IF(C46=0,"",(E46-C46)/ABS(C46)+1)</f>
        <v>0.87079183663179904</v>
      </c>
      <c r="H46" s="59">
        <v>4342.2</v>
      </c>
      <c r="I46" s="28">
        <f>+H46/$H$20</f>
        <v>0.53356762369363675</v>
      </c>
      <c r="J46" s="28">
        <f>IF(H46=0,"",(E46-H46)/ABS(H46))</f>
        <v>0.27281562341670118</v>
      </c>
      <c r="K46" s="59">
        <v>55922.01</v>
      </c>
      <c r="L46" s="28">
        <f>+K46/$K$20</f>
        <v>0.67705232281014083</v>
      </c>
      <c r="M46" s="59">
        <v>49716.9</v>
      </c>
      <c r="N46" s="28">
        <f>+M46/$M$20</f>
        <v>0.67983307771911894</v>
      </c>
      <c r="O46" s="28">
        <f>IF(K46=0,"",(M46-K46)/ABS(K46)+1)</f>
        <v>0.88903993257753078</v>
      </c>
      <c r="P46" s="59">
        <v>50636.26</v>
      </c>
      <c r="Q46" s="28">
        <f>+P46/$P$20</f>
        <v>0.64856510382611232</v>
      </c>
      <c r="R46" s="28">
        <f>IF(P46=0,"",(M46-P46)/ABS(P46))</f>
        <v>-1.8156159242408515E-2</v>
      </c>
      <c r="S46" s="28"/>
    </row>
    <row r="47" spans="1:34" x14ac:dyDescent="0.2">
      <c r="B47" s="3"/>
      <c r="C47" s="2" t="s">
        <v>46</v>
      </c>
      <c r="E47" s="2" t="s">
        <v>46</v>
      </c>
      <c r="K47" s="2" t="s">
        <v>46</v>
      </c>
      <c r="M47" s="2" t="s">
        <v>46</v>
      </c>
    </row>
    <row r="49" spans="2:19" x14ac:dyDescent="0.2">
      <c r="M49" s="47"/>
    </row>
    <row r="52" spans="2:19" x14ac:dyDescent="0.2"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</row>
    <row r="53" spans="2:19" x14ac:dyDescent="0.2"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</row>
    <row r="54" spans="2:19" x14ac:dyDescent="0.2"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</row>
    <row r="55" spans="2:19" x14ac:dyDescent="0.2">
      <c r="B55" s="126"/>
      <c r="C55" s="126"/>
      <c r="D55" s="126"/>
      <c r="E55" s="126"/>
      <c r="F55" s="126"/>
      <c r="G55" s="126"/>
      <c r="H55" s="127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</row>
    <row r="56" spans="2:19" x14ac:dyDescent="0.2">
      <c r="B56" s="126" t="s">
        <v>104</v>
      </c>
      <c r="C56" s="127" t="s">
        <v>105</v>
      </c>
      <c r="D56" s="126"/>
      <c r="E56" s="127" t="s">
        <v>106</v>
      </c>
      <c r="F56" s="126"/>
      <c r="G56" s="126"/>
      <c r="H56" s="126"/>
      <c r="I56" s="126"/>
      <c r="J56" s="126"/>
      <c r="K56" s="126"/>
      <c r="L56" s="126"/>
      <c r="M56" s="126"/>
      <c r="N56" s="127" t="s">
        <v>107</v>
      </c>
      <c r="O56" s="126"/>
      <c r="P56" s="126"/>
      <c r="Q56" s="126"/>
      <c r="R56" s="127" t="s">
        <v>108</v>
      </c>
      <c r="S56" s="127"/>
    </row>
    <row r="57" spans="2:19" x14ac:dyDescent="0.2">
      <c r="B57" s="126" t="s">
        <v>98</v>
      </c>
      <c r="C57" s="127">
        <f>+C36</f>
        <v>988.36999999999898</v>
      </c>
      <c r="D57" s="126"/>
      <c r="E57" s="127">
        <f>+E36</f>
        <v>412.32999999999902</v>
      </c>
      <c r="F57" s="126"/>
      <c r="G57" s="126"/>
      <c r="H57" s="126"/>
      <c r="I57" s="126"/>
      <c r="J57" s="126"/>
      <c r="K57" s="126"/>
      <c r="L57" s="126"/>
      <c r="M57" s="126"/>
      <c r="N57" s="127">
        <f>+K36</f>
        <v>2863.1199999999953</v>
      </c>
      <c r="O57" s="126"/>
      <c r="P57" s="126"/>
      <c r="Q57" s="126"/>
      <c r="R57" s="127">
        <f>+M36</f>
        <v>2865.8500000000058</v>
      </c>
      <c r="S57" s="127"/>
    </row>
    <row r="58" spans="2:19" x14ac:dyDescent="0.2">
      <c r="B58" s="126" t="s">
        <v>109</v>
      </c>
      <c r="C58" s="127">
        <f>+'VENEZUELA USD'!C36</f>
        <v>0</v>
      </c>
      <c r="D58" s="126"/>
      <c r="E58" s="127">
        <f>+'VENEZUELA USD'!E36</f>
        <v>2881.1039426523303</v>
      </c>
      <c r="F58" s="126"/>
      <c r="G58" s="126"/>
      <c r="H58" s="126"/>
      <c r="I58" s="126"/>
      <c r="J58" s="126"/>
      <c r="K58" s="126"/>
      <c r="L58" s="126"/>
      <c r="M58" s="126"/>
      <c r="N58" s="127">
        <f>+'VENEZUELA USD'!K36</f>
        <v>0</v>
      </c>
      <c r="O58" s="126"/>
      <c r="P58" s="126"/>
      <c r="Q58" s="126"/>
      <c r="R58" s="127" t="str">
        <f>+'VENEZUELA USD'!O36</f>
        <v/>
      </c>
      <c r="S58" s="127"/>
    </row>
    <row r="59" spans="2:19" x14ac:dyDescent="0.2">
      <c r="B59" s="126" t="s">
        <v>110</v>
      </c>
      <c r="C59" s="127">
        <f>+'PANAMA USD'!C36</f>
        <v>0</v>
      </c>
      <c r="D59" s="126"/>
      <c r="E59" s="127">
        <f>+'PANAMA USD'!E36</f>
        <v>0</v>
      </c>
      <c r="F59" s="126"/>
      <c r="G59" s="126"/>
      <c r="H59" s="126"/>
      <c r="I59" s="126"/>
      <c r="J59" s="126"/>
      <c r="K59" s="126"/>
      <c r="L59" s="126"/>
      <c r="M59" s="126"/>
      <c r="N59" s="127">
        <f>+'PANAMA USD'!K36</f>
        <v>0</v>
      </c>
      <c r="O59" s="126"/>
      <c r="P59" s="126"/>
      <c r="Q59" s="126"/>
      <c r="R59" s="127">
        <f>+'PANAMA USD'!M36</f>
        <v>-3795</v>
      </c>
      <c r="S59" s="127"/>
    </row>
    <row r="60" spans="2:19" x14ac:dyDescent="0.2">
      <c r="B60" s="126" t="s">
        <v>111</v>
      </c>
      <c r="C60" s="127">
        <f>SUM(C57:C59)</f>
        <v>988.36999999999898</v>
      </c>
      <c r="D60" s="126"/>
      <c r="E60" s="127">
        <f>SUM(E57:E59)</f>
        <v>3293.4339426523293</v>
      </c>
      <c r="F60" s="126"/>
      <c r="G60" s="126"/>
      <c r="H60" s="126"/>
      <c r="I60" s="126"/>
      <c r="J60" s="126"/>
      <c r="K60" s="126"/>
      <c r="L60" s="126"/>
      <c r="M60" s="126"/>
      <c r="N60" s="127">
        <f>SUM(N57:N59)</f>
        <v>2863.1199999999953</v>
      </c>
      <c r="O60" s="126"/>
      <c r="P60" s="126"/>
      <c r="Q60" s="126"/>
      <c r="R60" s="127">
        <f>SUM(R57:R59)</f>
        <v>-929.14999999999418</v>
      </c>
      <c r="S60" s="127"/>
    </row>
    <row r="61" spans="2:19" x14ac:dyDescent="0.2">
      <c r="B61" s="126" t="s">
        <v>112</v>
      </c>
      <c r="C61" s="127">
        <f>+C60-C58</f>
        <v>988.36999999999898</v>
      </c>
      <c r="D61" s="126"/>
      <c r="E61" s="127">
        <f>+E60-E58</f>
        <v>412.32999999999902</v>
      </c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</row>
    <row r="62" spans="2:19" x14ac:dyDescent="0.2">
      <c r="B62" s="126" t="s">
        <v>113</v>
      </c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</row>
    <row r="63" spans="2:19" x14ac:dyDescent="0.2">
      <c r="B63" s="126" t="s">
        <v>98</v>
      </c>
      <c r="C63" s="127">
        <f>+C43</f>
        <v>618.16999999999894</v>
      </c>
      <c r="D63" s="126"/>
      <c r="E63" s="127">
        <f>+E43</f>
        <v>309.12999999999903</v>
      </c>
      <c r="F63" s="126"/>
      <c r="G63" s="126"/>
      <c r="H63" s="126"/>
      <c r="I63" s="126"/>
      <c r="J63" s="126"/>
      <c r="K63" s="126">
        <f>+E63/C63</f>
        <v>0.50007279550932515</v>
      </c>
      <c r="L63" s="126"/>
      <c r="M63" s="126"/>
      <c r="N63" s="126"/>
      <c r="O63" s="126"/>
      <c r="P63" s="126"/>
      <c r="Q63" s="126"/>
      <c r="R63" s="126"/>
      <c r="S63" s="126"/>
    </row>
    <row r="64" spans="2:19" x14ac:dyDescent="0.2">
      <c r="B64" s="126" t="s">
        <v>114</v>
      </c>
      <c r="C64" s="127">
        <f>+'VENEZUELA USD'!C43</f>
        <v>0</v>
      </c>
      <c r="D64" s="126"/>
      <c r="E64" s="127">
        <f>+'VENEZUELA USD'!E43</f>
        <v>2917.3046594982088</v>
      </c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</row>
    <row r="65" spans="2:19" x14ac:dyDescent="0.2">
      <c r="B65" s="126" t="s">
        <v>110</v>
      </c>
      <c r="C65" s="127">
        <f>+'PANAMA USD'!C43</f>
        <v>0</v>
      </c>
      <c r="D65" s="126"/>
      <c r="E65" s="127">
        <f>+'PANAMA USD'!E43</f>
        <v>0</v>
      </c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</row>
    <row r="66" spans="2:19" x14ac:dyDescent="0.2">
      <c r="B66" s="126" t="s">
        <v>115</v>
      </c>
      <c r="C66" s="127">
        <f>SUM(C63:C65)</f>
        <v>618.16999999999894</v>
      </c>
      <c r="D66" s="126"/>
      <c r="E66" s="127">
        <f>SUM(E63:E65)</f>
        <v>3226.434659498208</v>
      </c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</row>
    <row r="67" spans="2:19" x14ac:dyDescent="0.2"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</row>
    <row r="68" spans="2:19" x14ac:dyDescent="0.2">
      <c r="B68" s="126" t="s">
        <v>116</v>
      </c>
      <c r="C68" s="127">
        <f>+C66-C64</f>
        <v>618.16999999999894</v>
      </c>
      <c r="D68" s="126"/>
      <c r="E68" s="127">
        <f>+E66-E64</f>
        <v>309.1299999999992</v>
      </c>
      <c r="F68" s="129">
        <f>+E68/C68</f>
        <v>0.50007279550932549</v>
      </c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</row>
    <row r="69" spans="2:19" x14ac:dyDescent="0.2"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</row>
    <row r="70" spans="2:19" x14ac:dyDescent="0.2"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</row>
    <row r="71" spans="2:19" x14ac:dyDescent="0.2"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</row>
    <row r="72" spans="2:19" x14ac:dyDescent="0.2"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</row>
  </sheetData>
  <conditionalFormatting sqref="R10:S46">
    <cfRule type="cellIs" dxfId="60" priority="3" operator="lessThan">
      <formula>0</formula>
    </cfRule>
  </conditionalFormatting>
  <conditionalFormatting sqref="J10:J46">
    <cfRule type="cellIs" dxfId="59" priority="2" operator="lessThan">
      <formula>0</formula>
    </cfRule>
  </conditionalFormatting>
  <conditionalFormatting sqref="AD19:AD28 AD30 AD10:AD11 AD13:AD17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4FB07-246F-4523-829C-96C1A6C00A87}">
  <sheetPr>
    <tabColor theme="0" tint="-0.14999847407452621"/>
  </sheetPr>
  <dimension ref="A1:AH48"/>
  <sheetViews>
    <sheetView showGridLines="0" topLeftCell="K1" zoomScale="98" zoomScaleNormal="98" workbookViewId="0">
      <selection activeCell="W24" sqref="W24"/>
    </sheetView>
  </sheetViews>
  <sheetFormatPr baseColWidth="10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9.5703125" style="2" bestFit="1" customWidth="1"/>
    <col min="12" max="12" width="8.4257812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6.42578125" style="2" bestFit="1" customWidth="1"/>
    <col min="19" max="19" width="14.140625" style="55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46" customFormat="1" ht="19.5" customHeight="1" x14ac:dyDescent="0.2">
      <c r="B1" s="41"/>
      <c r="S1" s="55"/>
    </row>
    <row r="2" spans="1:34" ht="13.5" customHeight="1" x14ac:dyDescent="0.2">
      <c r="A2" s="46"/>
      <c r="X2" s="46"/>
      <c r="Y2" s="46"/>
    </row>
    <row r="3" spans="1:34" ht="25.5" customHeight="1" x14ac:dyDescent="0.25">
      <c r="B3" s="13" t="s">
        <v>117</v>
      </c>
      <c r="T3" s="15" t="s">
        <v>117</v>
      </c>
    </row>
    <row r="4" spans="1:34" x14ac:dyDescent="0.2">
      <c r="B4" s="3" t="s">
        <v>92</v>
      </c>
      <c r="C4" s="84"/>
      <c r="S4" s="88"/>
      <c r="T4" s="3" t="s">
        <v>6</v>
      </c>
    </row>
    <row r="5" spans="1:34" ht="15.75" customHeight="1" thickBot="1" x14ac:dyDescent="0.25">
      <c r="B5" s="3" t="s">
        <v>118</v>
      </c>
      <c r="T5" s="3" t="s">
        <v>118</v>
      </c>
      <c r="X5" s="18" t="s">
        <v>8</v>
      </c>
      <c r="Y5" s="18"/>
      <c r="Z5" s="18"/>
      <c r="AA5" s="18"/>
      <c r="AB5" s="18"/>
      <c r="AC5" s="18"/>
      <c r="AD5" s="2" t="s">
        <v>93</v>
      </c>
    </row>
    <row r="6" spans="1:34" ht="13.5" thickBot="1" x14ac:dyDescent="0.25">
      <c r="B6" s="72" t="str">
        <f>+'COL. CONS.$'!B6</f>
        <v>SEPTIEMBRE de 2022</v>
      </c>
      <c r="K6" s="89" t="s">
        <v>8</v>
      </c>
      <c r="L6" s="89"/>
      <c r="M6" s="89"/>
      <c r="N6" s="89"/>
      <c r="O6" s="89"/>
      <c r="P6" s="89"/>
      <c r="Q6" s="89"/>
      <c r="R6" s="89"/>
      <c r="T6" s="17" t="str">
        <f>+B6</f>
        <v>SEPTIEMBRE de 2022</v>
      </c>
      <c r="Z6" s="2" t="s">
        <v>11</v>
      </c>
      <c r="AA6" s="2" t="s">
        <v>9</v>
      </c>
      <c r="AC6" s="2" t="s">
        <v>10</v>
      </c>
      <c r="AD6" s="2" t="s">
        <v>50</v>
      </c>
      <c r="AE6" s="2" t="s">
        <v>119</v>
      </c>
      <c r="AF6" s="2" t="s">
        <v>94</v>
      </c>
    </row>
    <row r="7" spans="1:34" x14ac:dyDescent="0.2">
      <c r="C7" s="53" t="str">
        <f>+'COL. CONS.$'!C7:C7</f>
        <v>Ppto 2022</v>
      </c>
      <c r="D7" s="53"/>
      <c r="E7" s="53" t="s">
        <v>51</v>
      </c>
      <c r="F7" s="53"/>
      <c r="G7" s="53" t="s">
        <v>9</v>
      </c>
      <c r="H7" s="53" t="s">
        <v>52</v>
      </c>
      <c r="I7" s="53"/>
      <c r="J7" s="53" t="s">
        <v>10</v>
      </c>
      <c r="K7" s="53" t="str">
        <f>+C7</f>
        <v>Ppto 2022</v>
      </c>
      <c r="L7" s="53"/>
      <c r="M7" s="53" t="str">
        <f>+E7</f>
        <v>Real 2022</v>
      </c>
      <c r="N7" s="53"/>
      <c r="O7" s="53" t="s">
        <v>9</v>
      </c>
      <c r="P7" s="53" t="str">
        <f>+H7</f>
        <v>Real 2021</v>
      </c>
      <c r="Q7" s="53"/>
      <c r="R7" s="53" t="s">
        <v>10</v>
      </c>
      <c r="U7" s="46" t="str">
        <f>+C7</f>
        <v>Ppto 2022</v>
      </c>
      <c r="V7" s="46" t="str">
        <f>+M7</f>
        <v>Real 2022</v>
      </c>
      <c r="W7" s="46" t="str">
        <f>+H7</f>
        <v>Real 2021</v>
      </c>
      <c r="X7" s="46" t="str">
        <f>+U7</f>
        <v>Ppto 2022</v>
      </c>
      <c r="Y7" s="46" t="str">
        <f>+V7</f>
        <v>Real 2022</v>
      </c>
      <c r="Z7" s="46" t="s">
        <v>11</v>
      </c>
      <c r="AA7" s="46" t="s">
        <v>9</v>
      </c>
      <c r="AB7" s="46" t="str">
        <f>+W7</f>
        <v>Real 2021</v>
      </c>
      <c r="AC7" s="46" t="s">
        <v>10</v>
      </c>
      <c r="AD7" s="60"/>
      <c r="AE7" s="60"/>
      <c r="AG7" s="60"/>
    </row>
    <row r="8" spans="1:34" ht="13.5" thickBot="1" x14ac:dyDescent="0.25">
      <c r="B8" s="24"/>
      <c r="C8" s="25" t="s">
        <v>13</v>
      </c>
      <c r="D8" s="25" t="s">
        <v>14</v>
      </c>
      <c r="E8" s="25" t="s">
        <v>13</v>
      </c>
      <c r="F8" s="25" t="s">
        <v>14</v>
      </c>
      <c r="G8" s="25" t="s">
        <v>15</v>
      </c>
      <c r="H8" s="25" t="s">
        <v>13</v>
      </c>
      <c r="I8" s="25" t="s">
        <v>14</v>
      </c>
      <c r="J8" s="25" t="s">
        <v>15</v>
      </c>
      <c r="K8" s="25" t="s">
        <v>13</v>
      </c>
      <c r="L8" s="25" t="s">
        <v>14</v>
      </c>
      <c r="M8" s="25" t="s">
        <v>13</v>
      </c>
      <c r="N8" s="25" t="s">
        <v>14</v>
      </c>
      <c r="O8" s="25" t="s">
        <v>15</v>
      </c>
      <c r="P8" s="25" t="s">
        <v>13</v>
      </c>
      <c r="Q8" s="25" t="s">
        <v>14</v>
      </c>
      <c r="R8" s="25" t="s">
        <v>15</v>
      </c>
      <c r="T8" s="24"/>
      <c r="U8" s="25"/>
      <c r="V8" s="25"/>
      <c r="W8" s="25"/>
      <c r="X8" s="24"/>
      <c r="Y8" s="24"/>
      <c r="Z8" s="25"/>
      <c r="AA8" s="25" t="s">
        <v>15</v>
      </c>
      <c r="AB8" s="24"/>
      <c r="AC8" s="25" t="s">
        <v>15</v>
      </c>
      <c r="AD8" s="60"/>
      <c r="AE8" s="60"/>
      <c r="AG8" s="60"/>
      <c r="AH8" s="60"/>
    </row>
    <row r="9" spans="1:34" x14ac:dyDescent="0.2">
      <c r="AD9" s="60"/>
      <c r="AE9" s="60"/>
      <c r="AG9" s="60"/>
      <c r="AH9" s="60"/>
    </row>
    <row r="10" spans="1:34" x14ac:dyDescent="0.2">
      <c r="B10" s="3" t="str">
        <f>+'COLOMB$ '!B10</f>
        <v>Musical Experience  (Ambiental)</v>
      </c>
      <c r="C10" s="59"/>
      <c r="D10" s="61" t="str">
        <f t="shared" ref="D10:D20" si="0">IF($C$20=0," ",C10/$C$20)</f>
        <v xml:space="preserve"> </v>
      </c>
      <c r="E10" s="59">
        <v>26170</v>
      </c>
      <c r="F10" s="61">
        <f t="shared" ref="F10:F15" si="1">+E10/$E$20</f>
        <v>0.52817384649415278</v>
      </c>
      <c r="G10" s="61" t="str">
        <f t="shared" ref="G10:G15" si="2">IF(C10=0,"",(E10-C10)/ABS(C10)+1)</f>
        <v/>
      </c>
      <c r="H10" s="59">
        <v>5189266843</v>
      </c>
      <c r="I10" s="61">
        <f t="shared" ref="I10:I15" si="3">+H10/$H$20</f>
        <v>0.49770983933135282</v>
      </c>
      <c r="J10" s="61">
        <f t="shared" ref="J10:J15" si="4">IF(H10=0,"",(E10-H10)/ABS(H10))</f>
        <v>-0.99999495689838436</v>
      </c>
      <c r="K10" s="59"/>
      <c r="L10" s="61" t="str">
        <f t="shared" ref="L10:L20" si="5">IF($K$20=0," ",K10/$K$20)</f>
        <v xml:space="preserve"> </v>
      </c>
      <c r="M10" s="59">
        <v>121129</v>
      </c>
      <c r="N10" s="61">
        <f t="shared" ref="N10:N15" si="6">+M10/$M$20</f>
        <v>0.42129194294505989</v>
      </c>
      <c r="O10" s="61" t="str">
        <f>IF(K10=0,"",(M10-K10)/ABS(K10)+1)</f>
        <v/>
      </c>
      <c r="P10" s="59">
        <v>26453013486</v>
      </c>
      <c r="Q10" s="61">
        <f t="shared" ref="Q10:Q15" si="7">+P10/$P$20</f>
        <v>0.52481519384963948</v>
      </c>
      <c r="R10" s="61">
        <f t="shared" ref="R10:R15" si="8">IF(P10=0,"",(M10-P10)/ABS(P10))</f>
        <v>-0.99999542097538097</v>
      </c>
      <c r="T10" s="3" t="s">
        <v>16</v>
      </c>
      <c r="U10" s="59">
        <v>236652</v>
      </c>
      <c r="V10" s="59">
        <v>18951</v>
      </c>
      <c r="W10" s="59">
        <v>4462357412.2600021</v>
      </c>
      <c r="X10" s="59">
        <v>236652</v>
      </c>
      <c r="Y10" s="59">
        <v>14767</v>
      </c>
      <c r="Z10" s="55">
        <f>+Y10-X10</f>
        <v>-221885</v>
      </c>
      <c r="AA10" s="61">
        <f>IF(X10=0,"",(Y10-X10)/ABS(X10)+1)</f>
        <v>6.2399641667934325E-2</v>
      </c>
      <c r="AB10" s="59">
        <v>458570656.94</v>
      </c>
      <c r="AC10" s="61">
        <f>IF(W10=0,"",(Y10-AB10)/ABS(AB10))</f>
        <v>-0.99996779776512845</v>
      </c>
      <c r="AD10" s="60"/>
      <c r="AE10" s="60"/>
      <c r="AF10" s="60">
        <v>14767</v>
      </c>
      <c r="AG10" s="60"/>
      <c r="AH10" s="60"/>
    </row>
    <row r="11" spans="1:34" ht="13.5" customHeight="1" x14ac:dyDescent="0.2">
      <c r="B11" s="3" t="str">
        <f>+'COLOMB$ '!B11</f>
        <v>Instalaciones</v>
      </c>
      <c r="C11" s="59"/>
      <c r="D11" s="61" t="str">
        <f t="shared" si="0"/>
        <v xml:space="preserve"> </v>
      </c>
      <c r="E11" s="59">
        <v>5782.6</v>
      </c>
      <c r="F11" s="61">
        <f t="shared" si="1"/>
        <v>0.11670684313095482</v>
      </c>
      <c r="G11" s="61" t="str">
        <f t="shared" si="2"/>
        <v/>
      </c>
      <c r="H11" s="59">
        <v>2641427275</v>
      </c>
      <c r="I11" s="61">
        <f t="shared" si="3"/>
        <v>0.253342983589118</v>
      </c>
      <c r="J11" s="61">
        <f t="shared" si="4"/>
        <v>-0.99999781080476657</v>
      </c>
      <c r="K11" s="59"/>
      <c r="L11" s="61" t="str">
        <f t="shared" si="5"/>
        <v xml:space="preserve"> </v>
      </c>
      <c r="M11" s="59">
        <v>27611.800000000003</v>
      </c>
      <c r="N11" s="61">
        <f t="shared" si="6"/>
        <v>9.6035044210803416E-2</v>
      </c>
      <c r="O11" s="61" t="str">
        <f>IF(K11=0,"",(M11-K11)/ABS(K11)+1)</f>
        <v/>
      </c>
      <c r="P11" s="59">
        <v>8786581574</v>
      </c>
      <c r="Q11" s="61">
        <f t="shared" si="7"/>
        <v>0.17432159532504612</v>
      </c>
      <c r="R11" s="61">
        <f t="shared" si="8"/>
        <v>-0.99999685750370981</v>
      </c>
      <c r="T11" s="3" t="s">
        <v>17</v>
      </c>
      <c r="U11" s="59"/>
      <c r="V11" s="59">
        <v>56793.599999999999</v>
      </c>
      <c r="W11" s="59">
        <v>5178275662</v>
      </c>
      <c r="X11" s="59">
        <f>+AD8+U11</f>
        <v>0</v>
      </c>
      <c r="Y11" s="59">
        <f>+V11+AF11</f>
        <v>284344.33</v>
      </c>
      <c r="Z11" s="55">
        <f>+Y11-X11</f>
        <v>284344.33</v>
      </c>
      <c r="AA11" s="61" t="str">
        <f>IF(X11=0,"",(Y11-X11)/ABS(X11)+1)</f>
        <v/>
      </c>
      <c r="AB11" s="59">
        <v>41282984585.520004</v>
      </c>
      <c r="AC11" s="61">
        <f>IF(AB11=0,"",(Y11-AB11)/ABS(AB11))</f>
        <v>-0.99999311231169796</v>
      </c>
      <c r="AD11" s="60"/>
      <c r="AE11" s="60"/>
      <c r="AF11" s="60">
        <v>227550.73</v>
      </c>
      <c r="AG11" s="60"/>
      <c r="AH11" s="60"/>
    </row>
    <row r="12" spans="1:34" x14ac:dyDescent="0.2">
      <c r="B12" s="3" t="str">
        <f>+'COLOMB$ '!B12</f>
        <v>Voice Experience (Publihold)</v>
      </c>
      <c r="C12" s="59"/>
      <c r="D12" s="61" t="str">
        <f t="shared" si="0"/>
        <v xml:space="preserve"> </v>
      </c>
      <c r="E12" s="59">
        <v>6927.68</v>
      </c>
      <c r="F12" s="61">
        <f t="shared" si="1"/>
        <v>0.13981732490946169</v>
      </c>
      <c r="G12" s="61" t="str">
        <f t="shared" si="2"/>
        <v/>
      </c>
      <c r="H12" s="59">
        <v>1114137454</v>
      </c>
      <c r="I12" s="61">
        <f t="shared" si="3"/>
        <v>0.106858481168952</v>
      </c>
      <c r="J12" s="61">
        <f t="shared" si="4"/>
        <v>-0.99999378202395472</v>
      </c>
      <c r="K12" s="59"/>
      <c r="L12" s="61" t="str">
        <f t="shared" si="5"/>
        <v xml:space="preserve"> </v>
      </c>
      <c r="M12" s="59">
        <v>37804.049999999996</v>
      </c>
      <c r="N12" s="61">
        <f t="shared" si="6"/>
        <v>0.13148413406939866</v>
      </c>
      <c r="O12" s="61" t="str">
        <f>IF(K12=0,"",(M12-K12)/ABS(K12)+1)</f>
        <v/>
      </c>
      <c r="P12" s="59">
        <v>6448649051</v>
      </c>
      <c r="Q12" s="61">
        <f t="shared" si="7"/>
        <v>0.12793812710827793</v>
      </c>
      <c r="R12" s="61">
        <f t="shared" si="8"/>
        <v>-0.99999413767911682</v>
      </c>
      <c r="AF12" s="60"/>
      <c r="AG12" s="60"/>
      <c r="AH12" s="60"/>
    </row>
    <row r="13" spans="1:34" x14ac:dyDescent="0.2">
      <c r="B13" s="3" t="str">
        <f>+'COLOMB$ '!B13</f>
        <v>Service &amp; Equipment Experience</v>
      </c>
      <c r="C13" s="59"/>
      <c r="D13" s="61" t="str">
        <f t="shared" si="0"/>
        <v xml:space="preserve"> </v>
      </c>
      <c r="E13" s="59">
        <v>3647</v>
      </c>
      <c r="F13" s="61">
        <f t="shared" si="1"/>
        <v>7.3605273907687244E-2</v>
      </c>
      <c r="G13" s="61" t="str">
        <f t="shared" si="2"/>
        <v/>
      </c>
      <c r="H13" s="59">
        <v>0</v>
      </c>
      <c r="I13" s="61">
        <f t="shared" si="3"/>
        <v>0</v>
      </c>
      <c r="J13" s="61" t="str">
        <f t="shared" si="4"/>
        <v/>
      </c>
      <c r="K13" s="59"/>
      <c r="L13" s="61" t="str">
        <f t="shared" si="5"/>
        <v xml:space="preserve"> </v>
      </c>
      <c r="M13" s="59">
        <v>64918.67</v>
      </c>
      <c r="N13" s="61">
        <f t="shared" si="6"/>
        <v>0.22578996456430064</v>
      </c>
      <c r="O13" s="61" t="str">
        <f>IF(K13=0,"",(M13-K13)/ABS(K13)+1)</f>
        <v/>
      </c>
      <c r="P13" s="59">
        <v>928562114</v>
      </c>
      <c r="Q13" s="61">
        <f t="shared" si="7"/>
        <v>1.8422230273244754E-2</v>
      </c>
      <c r="R13" s="61">
        <f t="shared" si="8"/>
        <v>-0.99993008688485008</v>
      </c>
      <c r="T13" s="3" t="s">
        <v>18</v>
      </c>
      <c r="U13" s="59"/>
      <c r="V13" s="59"/>
      <c r="W13" s="59"/>
      <c r="X13" s="59">
        <f>+AD9+U13</f>
        <v>0</v>
      </c>
      <c r="Y13" s="59">
        <f>+V13+AF12</f>
        <v>0</v>
      </c>
      <c r="Z13" s="55">
        <f>+X13-Y13</f>
        <v>0</v>
      </c>
      <c r="AA13" s="61" t="str">
        <f>IF(X13=0,"",(Y13-X13)/ABS(X13)+1)</f>
        <v/>
      </c>
      <c r="AB13" s="59">
        <v>0</v>
      </c>
      <c r="AC13" s="61" t="str">
        <f>IF(AB13=0,"",(Y13-AB13)/ABS(AB13))</f>
        <v/>
      </c>
      <c r="AD13" s="60"/>
      <c r="AE13" s="60"/>
      <c r="AF13" s="2">
        <v>0</v>
      </c>
      <c r="AG13" s="60"/>
      <c r="AH13" s="60"/>
    </row>
    <row r="14" spans="1:34" x14ac:dyDescent="0.2">
      <c r="B14" s="3" t="str">
        <f>+'COLOMB$ '!B14</f>
        <v>POP Satelital</v>
      </c>
      <c r="C14" s="59"/>
      <c r="D14" s="61" t="str">
        <f t="shared" si="0"/>
        <v xml:space="preserve"> </v>
      </c>
      <c r="E14" s="59"/>
      <c r="F14" s="61">
        <f t="shared" si="1"/>
        <v>0</v>
      </c>
      <c r="G14" s="61" t="str">
        <f t="shared" si="2"/>
        <v/>
      </c>
      <c r="H14" s="59"/>
      <c r="I14" s="61">
        <f t="shared" si="3"/>
        <v>0</v>
      </c>
      <c r="J14" s="61" t="str">
        <f t="shared" si="4"/>
        <v/>
      </c>
      <c r="K14" s="59"/>
      <c r="L14" s="61" t="str">
        <f t="shared" si="5"/>
        <v xml:space="preserve"> </v>
      </c>
      <c r="M14" s="59"/>
      <c r="N14" s="61">
        <f t="shared" si="6"/>
        <v>0</v>
      </c>
      <c r="O14" s="61" t="str">
        <f>IF(K14=0,"",(M14-K14)/ABS(K14)+1)</f>
        <v/>
      </c>
      <c r="P14" s="59"/>
      <c r="Q14" s="61">
        <f t="shared" si="7"/>
        <v>0</v>
      </c>
      <c r="R14" s="61" t="str">
        <f t="shared" si="8"/>
        <v/>
      </c>
      <c r="T14" s="3" t="s">
        <v>19</v>
      </c>
      <c r="U14" s="59"/>
      <c r="V14" s="59">
        <v>0</v>
      </c>
      <c r="W14" s="59">
        <v>0</v>
      </c>
      <c r="X14" s="59">
        <f>+AD10+U14</f>
        <v>0</v>
      </c>
      <c r="Y14" s="59">
        <f>+V14+AF14</f>
        <v>0</v>
      </c>
      <c r="Z14" s="55">
        <f>+X14-Y14</f>
        <v>0</v>
      </c>
      <c r="AA14" s="61" t="str">
        <f>IF(X14=0,"",(Y14-X14)/ABS(X14)+1)</f>
        <v/>
      </c>
      <c r="AB14" s="59">
        <v>0</v>
      </c>
      <c r="AC14" s="61" t="str">
        <f>IF(AB14=0,"",(Y14-AB14)/ABS(AB14))</f>
        <v/>
      </c>
      <c r="AD14" s="60"/>
      <c r="AE14" s="60"/>
      <c r="AF14" s="60">
        <v>0</v>
      </c>
      <c r="AG14" s="60"/>
      <c r="AH14" s="60"/>
    </row>
    <row r="15" spans="1:34" x14ac:dyDescent="0.2">
      <c r="B15" s="3" t="str">
        <f>+'COLOMB$ '!B15</f>
        <v>Voice Experience (Audicóm)</v>
      </c>
      <c r="C15" s="59"/>
      <c r="D15" s="61" t="str">
        <f t="shared" si="0"/>
        <v xml:space="preserve"> </v>
      </c>
      <c r="E15" s="59">
        <v>7020.8</v>
      </c>
      <c r="F15" s="61">
        <f t="shared" si="1"/>
        <v>0.14169671155774352</v>
      </c>
      <c r="G15" s="61" t="str">
        <f t="shared" si="2"/>
        <v/>
      </c>
      <c r="H15" s="59">
        <v>1481457870</v>
      </c>
      <c r="I15" s="61">
        <f t="shared" si="3"/>
        <v>0.14208869591057724</v>
      </c>
      <c r="J15" s="61">
        <f t="shared" si="4"/>
        <v>-0.99999526088446922</v>
      </c>
      <c r="K15" s="59"/>
      <c r="L15" s="61" t="str">
        <f t="shared" si="5"/>
        <v xml:space="preserve"> </v>
      </c>
      <c r="M15" s="59">
        <v>36054.439999999995</v>
      </c>
      <c r="N15" s="61">
        <f t="shared" si="6"/>
        <v>0.1253989142104375</v>
      </c>
      <c r="O15" s="61"/>
      <c r="P15" s="59">
        <v>7787629081</v>
      </c>
      <c r="Q15" s="61">
        <f t="shared" si="7"/>
        <v>0.15450285344379175</v>
      </c>
      <c r="R15" s="61">
        <f t="shared" si="8"/>
        <v>-0.9999953702931117</v>
      </c>
      <c r="T15" s="3" t="s">
        <v>20</v>
      </c>
      <c r="U15" s="59"/>
      <c r="V15" s="59">
        <v>10160.91</v>
      </c>
      <c r="W15" s="59">
        <v>2173394876</v>
      </c>
      <c r="X15" s="59">
        <f>+AD11+U15</f>
        <v>0</v>
      </c>
      <c r="Y15" s="59">
        <f>+V15+AF15</f>
        <v>59746.22</v>
      </c>
      <c r="Z15" s="55">
        <f>+X15-Y15</f>
        <v>-59746.22</v>
      </c>
      <c r="AA15" s="61" t="str">
        <f>IF(X15=0,"",(Y15-X15)/ABS(X15)+1)</f>
        <v/>
      </c>
      <c r="AB15" s="59">
        <v>7798550480</v>
      </c>
      <c r="AC15" s="61">
        <f>IF(AB15=0,"",(Y15-AB15)/ABS(AB15))</f>
        <v>-0.99999233880447991</v>
      </c>
      <c r="AD15" s="60"/>
      <c r="AE15" s="60"/>
      <c r="AF15" s="60">
        <v>49585.31</v>
      </c>
      <c r="AG15" s="60"/>
      <c r="AH15" s="60"/>
    </row>
    <row r="16" spans="1:34" x14ac:dyDescent="0.2">
      <c r="B16" s="3" t="str">
        <f>+'COLOMB$ '!B16</f>
        <v>Fact. Servicio Satelital</v>
      </c>
      <c r="C16" s="59"/>
      <c r="D16" s="61" t="str">
        <f t="shared" si="0"/>
        <v xml:space="preserve"> </v>
      </c>
      <c r="E16" s="59"/>
      <c r="F16" s="61"/>
      <c r="G16" s="61"/>
      <c r="H16" s="59"/>
      <c r="I16" s="61"/>
      <c r="J16" s="61"/>
      <c r="K16" s="59"/>
      <c r="L16" s="61" t="str">
        <f t="shared" si="5"/>
        <v xml:space="preserve"> </v>
      </c>
      <c r="M16" s="59"/>
      <c r="N16" s="61"/>
      <c r="O16" s="61"/>
      <c r="P16" s="59"/>
      <c r="Q16" s="61"/>
      <c r="R16" s="61"/>
      <c r="T16" s="3" t="s">
        <v>21</v>
      </c>
      <c r="U16" s="59"/>
      <c r="V16" s="59">
        <v>6283.67</v>
      </c>
      <c r="W16" s="59">
        <v>4260072386</v>
      </c>
      <c r="X16" s="59">
        <f>+AD13+U16</f>
        <v>0</v>
      </c>
      <c r="Y16" s="59">
        <f>+V16+AF16</f>
        <v>147969.47</v>
      </c>
      <c r="Z16" s="55">
        <f>+X16-Y16</f>
        <v>-147969.47</v>
      </c>
      <c r="AA16" s="61" t="str">
        <f>IF(X16=0,"",(Y16-X16)/ABS(X16)+1)</f>
        <v/>
      </c>
      <c r="AB16" s="59">
        <v>27329271288.360001</v>
      </c>
      <c r="AC16" s="61">
        <f>IF(AB16=0,"",(Y16-AB16)/ABS(AB16))</f>
        <v>-0.9999945856781749</v>
      </c>
      <c r="AD16" s="60"/>
      <c r="AE16" s="60"/>
      <c r="AF16" s="60">
        <v>141685.79999999999</v>
      </c>
      <c r="AG16" s="60"/>
      <c r="AH16" s="60"/>
    </row>
    <row r="17" spans="2:34" x14ac:dyDescent="0.2">
      <c r="B17" s="3" t="str">
        <f>+'COLOMB$ '!B17</f>
        <v>Visual Experience</v>
      </c>
      <c r="C17" s="59"/>
      <c r="D17" s="61" t="str">
        <f t="shared" si="0"/>
        <v xml:space="preserve"> </v>
      </c>
      <c r="E17" s="59"/>
      <c r="F17" s="61"/>
      <c r="G17" s="61"/>
      <c r="H17" s="59"/>
      <c r="I17" s="61"/>
      <c r="J17" s="61"/>
      <c r="K17" s="59"/>
      <c r="L17" s="61" t="str">
        <f t="shared" si="5"/>
        <v xml:space="preserve"> </v>
      </c>
      <c r="M17" s="59"/>
      <c r="N17" s="61"/>
      <c r="O17" s="61"/>
      <c r="P17" s="59"/>
      <c r="Q17" s="61"/>
      <c r="R17" s="61"/>
      <c r="T17" s="3" t="s">
        <v>22</v>
      </c>
      <c r="U17" s="59">
        <f t="shared" ref="U17:Y17" si="9">U13+U14+U15+U16</f>
        <v>0</v>
      </c>
      <c r="V17" s="59">
        <f>V13+V14+V15+V16</f>
        <v>16444.580000000002</v>
      </c>
      <c r="W17" s="59">
        <v>6433467262</v>
      </c>
      <c r="X17" s="59">
        <f>X13+X14+X15+X16</f>
        <v>0</v>
      </c>
      <c r="Y17" s="59">
        <f t="shared" si="9"/>
        <v>207715.69</v>
      </c>
      <c r="Z17" s="55">
        <f>+Y17-X17</f>
        <v>207715.69</v>
      </c>
      <c r="AA17" s="61" t="str">
        <f>IF(X17=0,"",(Y17-X17)/ABS(X17)+1)</f>
        <v/>
      </c>
      <c r="AB17" s="59">
        <v>35127821768.360001</v>
      </c>
      <c r="AC17" s="61">
        <f>IF(AB17=0,"",(Y17-AB17)/ABS(AB17))</f>
        <v>-0.99999408686108204</v>
      </c>
      <c r="AD17" s="60"/>
      <c r="AE17" s="60"/>
      <c r="AF17" s="60">
        <v>191271.11</v>
      </c>
      <c r="AG17" s="60"/>
      <c r="AH17" s="60"/>
    </row>
    <row r="18" spans="2:34" x14ac:dyDescent="0.2">
      <c r="B18" s="3" t="s">
        <v>120</v>
      </c>
      <c r="C18" s="59"/>
      <c r="D18" s="61" t="str">
        <f t="shared" si="0"/>
        <v xml:space="preserve"> </v>
      </c>
      <c r="E18" s="59"/>
      <c r="F18" s="61"/>
      <c r="G18" s="61"/>
      <c r="H18" s="59"/>
      <c r="I18" s="61"/>
      <c r="J18" s="61"/>
      <c r="K18" s="59"/>
      <c r="L18" s="61" t="str">
        <f t="shared" si="5"/>
        <v xml:space="preserve"> </v>
      </c>
      <c r="M18" s="59"/>
      <c r="N18" s="61"/>
      <c r="O18" s="61"/>
      <c r="P18" s="59"/>
      <c r="Q18" s="61"/>
      <c r="R18" s="61"/>
      <c r="AF18" s="60"/>
      <c r="AG18" s="60"/>
      <c r="AH18" s="60"/>
    </row>
    <row r="19" spans="2:34" x14ac:dyDescent="0.2">
      <c r="B19" s="3" t="str">
        <f>+'COLOMB$ '!B19</f>
        <v>Locutor virtual</v>
      </c>
      <c r="C19" s="59"/>
      <c r="D19" s="61" t="str">
        <f t="shared" si="0"/>
        <v xml:space="preserve"> </v>
      </c>
      <c r="E19" s="59"/>
      <c r="F19" s="61"/>
      <c r="G19" s="61"/>
      <c r="H19" s="59"/>
      <c r="I19" s="61"/>
      <c r="J19" s="61"/>
      <c r="K19" s="59"/>
      <c r="L19" s="61" t="str">
        <f t="shared" si="5"/>
        <v xml:space="preserve"> </v>
      </c>
      <c r="M19" s="59"/>
      <c r="N19" s="61"/>
      <c r="O19" s="61"/>
      <c r="P19" s="59"/>
      <c r="Q19" s="61"/>
      <c r="R19" s="61"/>
      <c r="T19" s="3" t="s">
        <v>23</v>
      </c>
      <c r="U19" s="59">
        <f>+U11-U17</f>
        <v>0</v>
      </c>
      <c r="V19" s="59">
        <f>+V11-V17</f>
        <v>40349.019999999997</v>
      </c>
      <c r="W19" s="59">
        <f>+W11-W17</f>
        <v>-1255191600</v>
      </c>
      <c r="X19" s="59">
        <f>X11-X17</f>
        <v>0</v>
      </c>
      <c r="Y19" s="59">
        <f>Y11-Y17</f>
        <v>76628.640000000014</v>
      </c>
      <c r="Z19" s="55">
        <f>+Y19-X19</f>
        <v>76628.640000000014</v>
      </c>
      <c r="AA19" s="61" t="str">
        <f>IF(X19=0,"",(Y19-X19)/ABS(X19)+1)</f>
        <v/>
      </c>
      <c r="AB19" s="59">
        <f>+AB11-AB17</f>
        <v>6155162817.1600037</v>
      </c>
      <c r="AC19" s="61">
        <f>IF(AB19=0,"",(Y19-AB19)/ABS(AB19))</f>
        <v>-0.99998755050966537</v>
      </c>
      <c r="AD19" s="60"/>
      <c r="AE19" s="60"/>
      <c r="AF19" s="60">
        <v>36279.620000000024</v>
      </c>
      <c r="AG19" s="60"/>
      <c r="AH19" s="60"/>
    </row>
    <row r="20" spans="2:34" x14ac:dyDescent="0.2">
      <c r="B20" s="3" t="s">
        <v>24</v>
      </c>
      <c r="C20" s="59">
        <f>SUM(C10:C16)</f>
        <v>0</v>
      </c>
      <c r="D20" s="61" t="str">
        <f t="shared" si="0"/>
        <v xml:space="preserve"> </v>
      </c>
      <c r="E20" s="59">
        <f>SUM(E10:E16)</f>
        <v>49548.08</v>
      </c>
      <c r="F20" s="61">
        <f>+E20/$E$20</f>
        <v>1</v>
      </c>
      <c r="G20" s="61" t="str">
        <f>IF(C20=0,"",(E20-C20)/ABS(C20)+1)</f>
        <v/>
      </c>
      <c r="H20" s="59">
        <f>SUM(H10:H16)</f>
        <v>10426289442</v>
      </c>
      <c r="I20" s="61">
        <f>+H20/$H$20</f>
        <v>1</v>
      </c>
      <c r="J20" s="61">
        <f>IF(H20=0,"",(E20-H20)/ABS(H20))</f>
        <v>-0.99999524777436155</v>
      </c>
      <c r="K20" s="59">
        <f>SUM(K10:K16)</f>
        <v>0</v>
      </c>
      <c r="L20" s="61" t="str">
        <f t="shared" si="5"/>
        <v xml:space="preserve"> </v>
      </c>
      <c r="M20" s="59">
        <f>SUM(M10:M19)</f>
        <v>287517.95999999996</v>
      </c>
      <c r="N20" s="61">
        <f>+M20/$M$20</f>
        <v>1</v>
      </c>
      <c r="O20" s="61" t="str">
        <f>IF(K20=0,"",(M20-K20)/ABS(K20)+1)</f>
        <v/>
      </c>
      <c r="P20" s="59">
        <f>SUM(P10:P16)</f>
        <v>50404435306</v>
      </c>
      <c r="Q20" s="61">
        <f>+P20/$P$20</f>
        <v>1</v>
      </c>
      <c r="R20" s="61">
        <f>IF(P20=0,"",(M20-P20)/ABS(P20))</f>
        <v>-0.99999429578055476</v>
      </c>
      <c r="T20" s="3"/>
      <c r="U20" s="59"/>
      <c r="V20" s="59"/>
      <c r="W20" s="59"/>
      <c r="X20" s="59"/>
      <c r="Y20" s="59"/>
      <c r="Z20" s="55"/>
      <c r="AA20" s="61"/>
      <c r="AB20" s="59"/>
      <c r="AC20" s="61" t="str">
        <f>IF(AB20=0,"",(Y20-AB20)/ABS(AB20))</f>
        <v/>
      </c>
      <c r="AD20" s="60"/>
      <c r="AE20" s="60"/>
      <c r="AF20" s="60"/>
      <c r="AG20" s="60"/>
      <c r="AH20" s="60"/>
    </row>
    <row r="21" spans="2:34" x14ac:dyDescent="0.2">
      <c r="T21" s="3" t="s">
        <v>25</v>
      </c>
      <c r="U21" s="59">
        <f>+U10+U19</f>
        <v>236652</v>
      </c>
      <c r="V21" s="59">
        <f>+V10+V19</f>
        <v>59300.02</v>
      </c>
      <c r="W21" s="59">
        <f>+W10+W19</f>
        <v>3207165812.2600021</v>
      </c>
      <c r="X21" s="59">
        <f>+X10+X19</f>
        <v>236652</v>
      </c>
      <c r="Y21" s="59">
        <f>+Y10+Y19</f>
        <v>91395.640000000014</v>
      </c>
      <c r="Z21" s="55">
        <f>+Y21-X21</f>
        <v>-145256.35999999999</v>
      </c>
      <c r="AA21" s="61">
        <f>IF(X21=0,"",(Y21-X21)/ABS(X21)+1)</f>
        <v>0.3862026942514748</v>
      </c>
      <c r="AB21" s="59">
        <f>+AB10+AB19</f>
        <v>6613733474.1000032</v>
      </c>
      <c r="AC21" s="61">
        <f>IF(AB21=0,"",(Y21-AB21)/ABS(AB21))</f>
        <v>-0.99998618093088298</v>
      </c>
      <c r="AD21" s="60"/>
      <c r="AE21" s="60"/>
      <c r="AF21" s="2">
        <v>51046.620000000024</v>
      </c>
      <c r="AG21" s="60"/>
      <c r="AH21" s="60"/>
    </row>
    <row r="22" spans="2:34" x14ac:dyDescent="0.2">
      <c r="B22" s="3" t="s">
        <v>26</v>
      </c>
      <c r="C22" s="59"/>
      <c r="D22" s="61" t="str">
        <f>IF($C$20=0," ",C22/$C$20)</f>
        <v xml:space="preserve"> </v>
      </c>
      <c r="E22" s="59">
        <v>0</v>
      </c>
      <c r="F22" s="61">
        <f>+E22/$E$20</f>
        <v>0</v>
      </c>
      <c r="G22" s="61" t="str">
        <f>IF(C22=0,"",(E22-C22)/ABS(C22)+1)</f>
        <v/>
      </c>
      <c r="H22" s="59"/>
      <c r="I22" s="61">
        <f>+H22/$H$20</f>
        <v>0</v>
      </c>
      <c r="J22" s="61" t="str">
        <f>IF(H22=0,"",(E22-H22)/ABS(H22))</f>
        <v/>
      </c>
      <c r="K22" s="59">
        <f>+S18+C22</f>
        <v>0</v>
      </c>
      <c r="L22" s="61" t="str">
        <f>IF($K$20=0," ",K22/$K$20)</f>
        <v xml:space="preserve"> </v>
      </c>
      <c r="M22" s="59">
        <v>54617.06</v>
      </c>
      <c r="N22" s="61">
        <f>+M22/$M$20</f>
        <v>0.18996051585786156</v>
      </c>
      <c r="O22" s="61" t="str">
        <f>IF(K22=0,"",(M22-K22)/ABS(K22)+1)</f>
        <v/>
      </c>
      <c r="P22" s="59"/>
      <c r="Q22" s="61">
        <f>+P22/$P$20</f>
        <v>0</v>
      </c>
      <c r="R22" s="61" t="str">
        <f>IF(P22=0,"",(M22-P22)/ABS(P22))</f>
        <v/>
      </c>
      <c r="AF22" s="60"/>
      <c r="AG22" s="60"/>
      <c r="AH22" s="60"/>
    </row>
    <row r="23" spans="2:34" x14ac:dyDescent="0.2">
      <c r="T23" s="3" t="s">
        <v>27</v>
      </c>
      <c r="U23" s="59"/>
      <c r="V23" s="59"/>
      <c r="W23" s="59"/>
      <c r="X23" s="59"/>
      <c r="Y23" s="59"/>
      <c r="Z23" s="55">
        <f>+Y23-X23</f>
        <v>0</v>
      </c>
      <c r="AA23" s="61" t="str">
        <f>IF(X23=0,"",(Y23-X23)/ABS(X23)+1)</f>
        <v/>
      </c>
      <c r="AB23" s="59">
        <v>0</v>
      </c>
      <c r="AC23" s="61" t="str">
        <f>IF(AB23=0,"",(Y23-AB23)/ABS(AB23))</f>
        <v/>
      </c>
      <c r="AD23" s="60"/>
      <c r="AE23" s="60"/>
      <c r="AG23" s="47"/>
    </row>
    <row r="24" spans="2:34" x14ac:dyDescent="0.2">
      <c r="B24" s="3" t="s">
        <v>28</v>
      </c>
      <c r="C24" s="59">
        <f>+C20-C22</f>
        <v>0</v>
      </c>
      <c r="D24" s="61" t="str">
        <f>IF($C$20=0," ",C24/$C$20)</f>
        <v xml:space="preserve"> </v>
      </c>
      <c r="E24" s="59">
        <f>+E20-E22</f>
        <v>49548.08</v>
      </c>
      <c r="F24" s="61">
        <f>+E24/$E$20</f>
        <v>1</v>
      </c>
      <c r="G24" s="61" t="str">
        <f>IF(C24=0,"",(E24-C24)/ABS(C24)+1)</f>
        <v/>
      </c>
      <c r="H24" s="59">
        <f>+H20-H22</f>
        <v>10426289442</v>
      </c>
      <c r="I24" s="61">
        <f>+H24/$H$20</f>
        <v>1</v>
      </c>
      <c r="J24" s="61">
        <f>IF(H24=0,"",(E24-H24)/ABS(H24))</f>
        <v>-0.99999524777436155</v>
      </c>
      <c r="K24" s="59">
        <f>+K20-K22</f>
        <v>0</v>
      </c>
      <c r="L24" s="61" t="str">
        <f>IF($K$20=0," ",K24/$K$20)</f>
        <v xml:space="preserve"> </v>
      </c>
      <c r="M24" s="59">
        <f>+M20-M22</f>
        <v>232900.89999999997</v>
      </c>
      <c r="N24" s="61">
        <f>+M24/$M$20</f>
        <v>0.81003948414213844</v>
      </c>
      <c r="O24" s="61" t="str">
        <f>IF(K24=0,"",(M24-K24)/ABS(K24)+1)</f>
        <v/>
      </c>
      <c r="P24" s="59">
        <f>+P20-P22</f>
        <v>50404435306</v>
      </c>
      <c r="Q24" s="61">
        <f>+P24/$P$20</f>
        <v>1</v>
      </c>
      <c r="R24" s="61">
        <f>IF(P24=0,"",(M24-P24)/ABS(P24))</f>
        <v>-0.9999953793570231</v>
      </c>
    </row>
    <row r="25" spans="2:34" x14ac:dyDescent="0.2">
      <c r="T25" s="3" t="s">
        <v>29</v>
      </c>
      <c r="U25" s="59"/>
      <c r="V25" s="59">
        <v>1166.82</v>
      </c>
      <c r="W25" s="59">
        <v>1497553310</v>
      </c>
      <c r="X25" s="59">
        <f>+AD22+U25</f>
        <v>0</v>
      </c>
      <c r="Y25" s="59">
        <f>+V25+AF25</f>
        <v>33262.82</v>
      </c>
      <c r="Z25" s="55">
        <f>+Y25-X25</f>
        <v>33262.82</v>
      </c>
      <c r="AA25" s="61" t="str">
        <f>IF(X25=0,"",(Y25-X25)/ABS(X25)+1)</f>
        <v/>
      </c>
      <c r="AB25" s="59">
        <v>4904120971.3899994</v>
      </c>
      <c r="AC25" s="61">
        <f>IF(AB25=0,"",(Y25-AB25)/ABS(AB25))</f>
        <v>-0.99999321737367541</v>
      </c>
      <c r="AD25" s="60"/>
      <c r="AE25" s="60"/>
      <c r="AF25" s="60">
        <v>32096</v>
      </c>
    </row>
    <row r="26" spans="2:34" x14ac:dyDescent="0.2">
      <c r="B26" s="3" t="s">
        <v>30</v>
      </c>
      <c r="C26" s="59"/>
      <c r="D26" s="61" t="str">
        <f>IF($C$20=0," ",C26/$C$20)</f>
        <v xml:space="preserve"> </v>
      </c>
      <c r="E26" s="59">
        <v>961.39</v>
      </c>
      <c r="F26" s="61">
        <f>+E26/$E$20</f>
        <v>1.9403173644669983E-2</v>
      </c>
      <c r="G26" s="61" t="str">
        <f>IF(C26=0,"",(E26-C26)/ABS(C26)+1)</f>
        <v/>
      </c>
      <c r="H26" s="59">
        <v>116175418</v>
      </c>
      <c r="I26" s="61">
        <f>+H26/$H$20</f>
        <v>1.1142546794453359E-2</v>
      </c>
      <c r="J26" s="61">
        <f>IF(H26=0,"",(E26-H26)/ABS(H26))</f>
        <v>-0.99999172466932718</v>
      </c>
      <c r="K26" s="59"/>
      <c r="L26" s="61" t="str">
        <f>IF($K$20=0," ",K26/$K$20)</f>
        <v xml:space="preserve"> </v>
      </c>
      <c r="M26" s="59">
        <v>4901.09</v>
      </c>
      <c r="N26" s="61">
        <f>+M26/$M$20</f>
        <v>1.7046204696221413E-2</v>
      </c>
      <c r="O26" s="61" t="str">
        <f>IF(K26=0,"",(M26-K26)/ABS(K26)+1)</f>
        <v/>
      </c>
      <c r="P26" s="59">
        <v>722886729</v>
      </c>
      <c r="Q26" s="61">
        <f>+P26/$P$20</f>
        <v>1.4341728552486126E-2</v>
      </c>
      <c r="R26" s="61">
        <f>IF(P26=0,"",(M26-P26)/ABS(P26))</f>
        <v>-0.99999322011346536</v>
      </c>
      <c r="AF26" s="60"/>
    </row>
    <row r="27" spans="2:34" x14ac:dyDescent="0.2">
      <c r="B27" s="3" t="s">
        <v>31</v>
      </c>
      <c r="C27" s="59"/>
      <c r="D27" s="61" t="str">
        <f>IF($C$20=0," ",C27/$C$20)</f>
        <v xml:space="preserve"> </v>
      </c>
      <c r="E27" s="59">
        <v>2990.05</v>
      </c>
      <c r="F27" s="61">
        <f>+E27/$E$20</f>
        <v>6.0346435220093295E-2</v>
      </c>
      <c r="G27" s="61" t="str">
        <f>IF(C27=0,"",(E27-C27)/ABS(C27)+1)</f>
        <v/>
      </c>
      <c r="H27" s="59">
        <v>1178010121</v>
      </c>
      <c r="I27" s="61">
        <f>+H27/$H$20</f>
        <v>0.11298459797736354</v>
      </c>
      <c r="J27" s="61">
        <f>IF(H27=0,"",(E27-H27)/ABS(H27))</f>
        <v>-0.99999746177902327</v>
      </c>
      <c r="K27" s="59"/>
      <c r="L27" s="61" t="str">
        <f>IF($K$20=0," ",K27/$K$20)</f>
        <v xml:space="preserve"> </v>
      </c>
      <c r="M27" s="59">
        <v>24364.65</v>
      </c>
      <c r="N27" s="61">
        <f>+M27/$M$20</f>
        <v>8.4741314942551785E-2</v>
      </c>
      <c r="O27" s="61" t="str">
        <f>IF(K27=0,"",(M27-K27)/ABS(K27)+1)</f>
        <v/>
      </c>
      <c r="P27" s="59">
        <v>10764055822</v>
      </c>
      <c r="Q27" s="61">
        <f>+P27/$P$20</f>
        <v>0.21355374297227128</v>
      </c>
      <c r="R27" s="61">
        <f>IF(P27=0,"",(M27-P27)/ABS(P27))</f>
        <v>-0.99999773648052348</v>
      </c>
      <c r="T27" s="3" t="s">
        <v>32</v>
      </c>
      <c r="U27" s="59"/>
      <c r="V27" s="59"/>
      <c r="W27" s="59"/>
      <c r="X27" s="59">
        <f>+AD21+U27</f>
        <v>0</v>
      </c>
      <c r="Y27" s="59">
        <f>+V27+AF26</f>
        <v>0</v>
      </c>
      <c r="Z27" s="55">
        <f>+Y27-X27</f>
        <v>0</v>
      </c>
      <c r="AA27" s="61" t="str">
        <f>IF(X27=0,"",(Y27-X27)/ABS(X27)+1)</f>
        <v/>
      </c>
      <c r="AB27" s="59">
        <v>0</v>
      </c>
      <c r="AC27" s="61" t="str">
        <f>IF(AB27=0,"",(Y27-AB27)/ABS(AB27))</f>
        <v/>
      </c>
      <c r="AD27" s="47"/>
      <c r="AE27" s="47"/>
      <c r="AF27" s="2">
        <v>0</v>
      </c>
    </row>
    <row r="28" spans="2:34" x14ac:dyDescent="0.2">
      <c r="B28" s="3" t="s">
        <v>33</v>
      </c>
      <c r="C28" s="59">
        <f>SUM(C26:C27)</f>
        <v>0</v>
      </c>
      <c r="D28" s="61" t="str">
        <f>IF($C$20=0," ",C28/$C$20)</f>
        <v xml:space="preserve"> </v>
      </c>
      <c r="E28" s="59">
        <f>SUM(E26:E27)</f>
        <v>3951.44</v>
      </c>
      <c r="F28" s="61">
        <f>+E28/$E$20</f>
        <v>7.9749608864763274E-2</v>
      </c>
      <c r="G28" s="61" t="str">
        <f>IF(C28=0,"",(E28-C28)/ABS(C28)+1)</f>
        <v/>
      </c>
      <c r="H28" s="59">
        <f>+H27+H26</f>
        <v>1294185539</v>
      </c>
      <c r="I28" s="61">
        <f>+H28/$H$20</f>
        <v>0.1241271447718169</v>
      </c>
      <c r="J28" s="61">
        <f>IF(H28=0,"",(E28-H28)/ABS(H28))</f>
        <v>-0.99999694677472362</v>
      </c>
      <c r="K28" s="59">
        <f>+K26+K27</f>
        <v>0</v>
      </c>
      <c r="L28" s="61" t="str">
        <f>IF($K$20=0," ",K28/$K$20)</f>
        <v xml:space="preserve"> </v>
      </c>
      <c r="M28" s="59">
        <f>SUM(M26:M27)</f>
        <v>29265.74</v>
      </c>
      <c r="N28" s="61">
        <f>+M28/$M$20</f>
        <v>0.10178751963877319</v>
      </c>
      <c r="O28" s="61" t="str">
        <f>IF(K28=0,"",(M28-K28)/ABS(K28)+1)</f>
        <v/>
      </c>
      <c r="P28" s="59">
        <f>+P27+P26</f>
        <v>11486942551</v>
      </c>
      <c r="Q28" s="61">
        <f>+P28/$P$20</f>
        <v>0.22789547152475742</v>
      </c>
      <c r="R28" s="61">
        <f>IF(P28=0,"",(M28-P28)/ABS(P28))</f>
        <v>-0.99999745226026249</v>
      </c>
      <c r="T28" s="3" t="s">
        <v>34</v>
      </c>
      <c r="U28" s="59"/>
      <c r="V28" s="59"/>
      <c r="W28" s="59"/>
      <c r="X28" s="59"/>
      <c r="Y28" s="59">
        <f>+X28</f>
        <v>0</v>
      </c>
      <c r="Z28" s="55">
        <f>+Y28-X28</f>
        <v>0</v>
      </c>
      <c r="AA28" s="61" t="str">
        <f>IF(X28=0,"",(Y28-X28)/ABS(X28)+1)</f>
        <v/>
      </c>
      <c r="AB28" s="59">
        <v>0</v>
      </c>
      <c r="AC28" s="61" t="str">
        <f>IF(AB28=0,"",(Y28-AB28)/ABS(AB28))</f>
        <v/>
      </c>
      <c r="AD28" s="47"/>
      <c r="AF28" s="60">
        <v>0</v>
      </c>
    </row>
    <row r="29" spans="2:34" x14ac:dyDescent="0.2">
      <c r="AD29" s="47"/>
    </row>
    <row r="30" spans="2:34" x14ac:dyDescent="0.2">
      <c r="B30" s="3" t="s">
        <v>35</v>
      </c>
      <c r="C30" s="59"/>
      <c r="D30" s="61" t="str">
        <f>IF($C$20=0," ",C30/$C$20)</f>
        <v xml:space="preserve"> </v>
      </c>
      <c r="E30" s="59">
        <v>18084.8</v>
      </c>
      <c r="F30" s="61">
        <f>+E30/$E$20</f>
        <v>0.36499497054174446</v>
      </c>
      <c r="G30" s="61" t="str">
        <f>IF(C30=0,"",(E30-C30)/ABS(C30)+1)</f>
        <v/>
      </c>
      <c r="H30" s="59">
        <v>3928463176</v>
      </c>
      <c r="I30" s="61">
        <f>+H30/$H$20</f>
        <v>0.37678439658264762</v>
      </c>
      <c r="J30" s="61">
        <f>IF(H30=0,"",(E30-H30)/ABS(H30))</f>
        <v>-0.99999539646951241</v>
      </c>
      <c r="K30" s="59"/>
      <c r="L30" s="61" t="str">
        <f>IF($K$20=0," ",K30/$K$20)</f>
        <v xml:space="preserve"> </v>
      </c>
      <c r="M30" s="59">
        <v>106380.79000000001</v>
      </c>
      <c r="N30" s="61">
        <f>+M30/$M$20</f>
        <v>0.36999702557711533</v>
      </c>
      <c r="O30" s="61" t="str">
        <f>IF(K30=0,"",(M30-K30)/ABS(K30)+1)</f>
        <v/>
      </c>
      <c r="P30" s="59">
        <v>17803354705</v>
      </c>
      <c r="Q30" s="61">
        <f>+P30/$P$20</f>
        <v>0.35321008155170702</v>
      </c>
      <c r="R30" s="61">
        <f>IF(P30=0,"",(M30-P30)/ABS(P30))</f>
        <v>-0.99999402467727216</v>
      </c>
      <c r="T30" s="3" t="s">
        <v>36</v>
      </c>
      <c r="U30" s="59">
        <f>+U21-U25-U23+U27</f>
        <v>236652</v>
      </c>
      <c r="V30" s="59">
        <f>+V21-V25-V23+V27</f>
        <v>58133.2</v>
      </c>
      <c r="W30" s="59">
        <f>+W21-W25-W23+W27</f>
        <v>1709612502.2600021</v>
      </c>
      <c r="X30" s="59">
        <f>+X21-X25-X23-X27</f>
        <v>236652</v>
      </c>
      <c r="Y30" s="59">
        <f>+Y21-Y25-Y23+Y27</f>
        <v>58132.820000000014</v>
      </c>
      <c r="Z30" s="55">
        <f>+Y30-X30</f>
        <v>-178519.18</v>
      </c>
      <c r="AA30" s="61">
        <f>IF(U30=0,"",(V30-U30)/ABS(U30)+1)</f>
        <v>0.24564846272163354</v>
      </c>
      <c r="AB30" s="59">
        <f>+AB21-AB25-AB23+AB27</f>
        <v>1709612502.7100039</v>
      </c>
      <c r="AC30" s="61">
        <f>IF(AB30=0,"",(Y30-AB30)/ABS(AB30))</f>
        <v>-0.99996599649341134</v>
      </c>
      <c r="AD30" s="47"/>
      <c r="AF30" s="60">
        <v>18950.620000000024</v>
      </c>
    </row>
    <row r="31" spans="2:34" x14ac:dyDescent="0.2">
      <c r="B31" s="3" t="s">
        <v>37</v>
      </c>
      <c r="C31" s="59"/>
      <c r="D31" s="61" t="str">
        <f>IF($C$20=0," ",C31/$C$20)</f>
        <v xml:space="preserve"> </v>
      </c>
      <c r="E31" s="59">
        <v>3397</v>
      </c>
      <c r="F31" s="61">
        <f>+E31/$E$20</f>
        <v>6.855966971878627E-2</v>
      </c>
      <c r="G31" s="61" t="str">
        <f>IF(C31=0,"",(E31-C31)/ABS(C31)+1)</f>
        <v/>
      </c>
      <c r="H31" s="59">
        <v>2454121118</v>
      </c>
      <c r="I31" s="61">
        <f>+H31/$H$20</f>
        <v>0.23537818815139699</v>
      </c>
      <c r="J31" s="61">
        <f>IF(H31=0,"",(E31-H31)/ABS(H31))</f>
        <v>-0.99999861579773908</v>
      </c>
      <c r="K31" s="59"/>
      <c r="L31" s="61" t="str">
        <f>IF($K$20=0," ",K31/$K$20)</f>
        <v xml:space="preserve"> </v>
      </c>
      <c r="M31" s="59">
        <v>21969.479999999996</v>
      </c>
      <c r="N31" s="61">
        <f>+M31/$M$20</f>
        <v>7.6410809258663351E-2</v>
      </c>
      <c r="O31" s="61" t="str">
        <f>IF(K31=0,"",(M31-K31)/ABS(K31)+1)</f>
        <v/>
      </c>
      <c r="P31" s="59">
        <v>9258316541</v>
      </c>
      <c r="Q31" s="61">
        <f>+P31/$P$20</f>
        <v>0.18368059248742177</v>
      </c>
      <c r="R31" s="61">
        <f>IF(P31=0,"",(M31-P31)/ABS(P31))</f>
        <v>-0.99999762705456197</v>
      </c>
      <c r="T31" s="53"/>
      <c r="U31" s="53"/>
      <c r="V31" s="53" t="s">
        <v>47</v>
      </c>
      <c r="W31" s="53" t="s">
        <v>47</v>
      </c>
      <c r="X31" s="59"/>
      <c r="Y31" s="59" t="s">
        <v>47</v>
      </c>
      <c r="Z31" s="53"/>
      <c r="AA31" s="53"/>
      <c r="AB31" s="59" t="s">
        <v>47</v>
      </c>
      <c r="AC31" s="53"/>
      <c r="AD31" s="47"/>
    </row>
    <row r="32" spans="2:34" x14ac:dyDescent="0.2">
      <c r="B32" s="3" t="s">
        <v>38</v>
      </c>
      <c r="C32" s="59">
        <f>SUM(C30:C31)</f>
        <v>0</v>
      </c>
      <c r="D32" s="61" t="str">
        <f>IF($C$20=0," ",C32/$C$20)</f>
        <v xml:space="preserve"> </v>
      </c>
      <c r="E32" s="59">
        <f>SUM(E30:E31)</f>
        <v>21481.8</v>
      </c>
      <c r="F32" s="61">
        <f>+E32/$E$20</f>
        <v>0.43355464026053075</v>
      </c>
      <c r="G32" s="61" t="str">
        <f>IF(C32=0,"",(E32-C32)/ABS(C32)+1)</f>
        <v/>
      </c>
      <c r="H32" s="59">
        <f>+H31+H30</f>
        <v>6382584294</v>
      </c>
      <c r="I32" s="61">
        <f>+H32/$H$20</f>
        <v>0.61216258473404461</v>
      </c>
      <c r="J32" s="61">
        <f>IF(H32=0,"",(E32-H32)/ABS(H32))</f>
        <v>-0.99999663431002073</v>
      </c>
      <c r="K32" s="59">
        <f>+K30+K31</f>
        <v>0</v>
      </c>
      <c r="L32" s="61" t="str">
        <f>IF($K$20=0," ",K32/$K$20)</f>
        <v xml:space="preserve"> </v>
      </c>
      <c r="M32" s="59">
        <f>+M30+M31</f>
        <v>128350.27</v>
      </c>
      <c r="N32" s="61">
        <f>+M32/$M$20</f>
        <v>0.44640783483577867</v>
      </c>
      <c r="O32" s="61" t="str">
        <f>IF(K32=0,"",(M32-K32)/ABS(K32)+1)</f>
        <v/>
      </c>
      <c r="P32" s="59">
        <f>+P31+P30</f>
        <v>27061671246</v>
      </c>
      <c r="Q32" s="61">
        <f>+P32/$P$20</f>
        <v>0.53689067403912882</v>
      </c>
      <c r="R32" s="61">
        <f>IF(P32=0,"",(M32-P32)/ABS(P32))</f>
        <v>-0.99999525711960535</v>
      </c>
      <c r="AD32" s="47"/>
    </row>
    <row r="33" spans="2:30" x14ac:dyDescent="0.2">
      <c r="Y33" s="47"/>
      <c r="AD33" s="47"/>
    </row>
    <row r="34" spans="2:30" x14ac:dyDescent="0.2">
      <c r="B34" s="3" t="s">
        <v>39</v>
      </c>
      <c r="C34" s="59">
        <f>C28+C32</f>
        <v>0</v>
      </c>
      <c r="D34" s="61" t="str">
        <f>IF($C$20=0," ",C34/$C$20)</f>
        <v xml:space="preserve"> </v>
      </c>
      <c r="E34" s="59">
        <f>E28+E32</f>
        <v>25433.239999999998</v>
      </c>
      <c r="F34" s="61">
        <f>+E34/$E$20</f>
        <v>0.51330424912529404</v>
      </c>
      <c r="G34" s="61" t="str">
        <f>IF(C34=0,"",(E34-C34)/ABS(C34)+1)</f>
        <v/>
      </c>
      <c r="H34" s="59">
        <f>H28+H32</f>
        <v>7676769833</v>
      </c>
      <c r="I34" s="61">
        <f>+H34/$H$20</f>
        <v>0.73628972950586158</v>
      </c>
      <c r="J34" s="61">
        <f>IF(H34=0,"",(E34-H34)/ABS(H34))</f>
        <v>-0.99999668698677269</v>
      </c>
      <c r="K34" s="59">
        <f>K28+K32</f>
        <v>0</v>
      </c>
      <c r="L34" s="61" t="str">
        <f>IF($K$20=0," ",K34/$K$20)</f>
        <v xml:space="preserve"> </v>
      </c>
      <c r="M34" s="59">
        <f>M28+M32</f>
        <v>157616.01</v>
      </c>
      <c r="N34" s="61">
        <f>+M34/$M$20</f>
        <v>0.54819535447455192</v>
      </c>
      <c r="O34" s="61" t="str">
        <f>IF(K34=0,"",(M34-K34)/ABS(K34)+1)</f>
        <v/>
      </c>
      <c r="P34" s="59">
        <f>P28+P32</f>
        <v>38548613797</v>
      </c>
      <c r="Q34" s="61">
        <f>+P34/$P$20</f>
        <v>0.76478614556388613</v>
      </c>
      <c r="R34" s="61">
        <f>IF(P34=0,"",(M34-P34)/ABS(P34))</f>
        <v>-0.99999591124052267</v>
      </c>
      <c r="AD34" s="47"/>
    </row>
    <row r="35" spans="2:30" x14ac:dyDescent="0.2">
      <c r="T35" s="55"/>
      <c r="AD35" s="47"/>
    </row>
    <row r="36" spans="2:30" x14ac:dyDescent="0.2">
      <c r="B36" s="3" t="s">
        <v>40</v>
      </c>
      <c r="C36" s="59">
        <f>C24-C34</f>
        <v>0</v>
      </c>
      <c r="D36" s="61" t="str">
        <f>IF($C$20=0," ",C36/$C$20)</f>
        <v xml:space="preserve"> </v>
      </c>
      <c r="E36" s="59">
        <f>E24-E34</f>
        <v>24114.840000000004</v>
      </c>
      <c r="F36" s="61">
        <f>+E36/$E$20</f>
        <v>0.48669575087470601</v>
      </c>
      <c r="G36" s="61" t="str">
        <f>IF(C36=0,"",(E36-C36)/ABS(C36)+1)</f>
        <v/>
      </c>
      <c r="H36" s="59">
        <f>H24-H34</f>
        <v>2749519609</v>
      </c>
      <c r="I36" s="61">
        <f>+H36/$H$20</f>
        <v>0.26371027049413848</v>
      </c>
      <c r="J36" s="61">
        <f>IF(H36=0,"",(E36-H36)/ABS(H36))</f>
        <v>-0.99999122943516339</v>
      </c>
      <c r="K36" s="59">
        <f>K24-K34</f>
        <v>0</v>
      </c>
      <c r="L36" s="61" t="str">
        <f>IF($K$20=0," ",K36/$K$20)</f>
        <v xml:space="preserve"> </v>
      </c>
      <c r="M36" s="59">
        <f>M24-M34</f>
        <v>75284.889999999956</v>
      </c>
      <c r="N36" s="61">
        <f>+M36/$M$20</f>
        <v>0.26184412966758658</v>
      </c>
      <c r="O36" s="61" t="str">
        <f>IF(K36=0,"",(M36-K36)/ABS(K36)+1)</f>
        <v/>
      </c>
      <c r="P36" s="59">
        <f>P24-P34</f>
        <v>11855821509</v>
      </c>
      <c r="Q36" s="61">
        <f>+P36/$P$20</f>
        <v>0.23521385443611381</v>
      </c>
      <c r="R36" s="61">
        <f>IF(P36=0,"",(M36-P36)/ABS(P36))</f>
        <v>-0.99999364996428608</v>
      </c>
      <c r="AD36" s="47"/>
    </row>
    <row r="37" spans="2:30" x14ac:dyDescent="0.2">
      <c r="AD37" s="47"/>
    </row>
    <row r="38" spans="2:30" x14ac:dyDescent="0.2">
      <c r="B38" s="3" t="s">
        <v>41</v>
      </c>
      <c r="C38" s="59"/>
      <c r="D38" s="61" t="str">
        <f>IF($C$20=0," ",C38/$C$20)</f>
        <v xml:space="preserve"> </v>
      </c>
      <c r="E38" s="59"/>
      <c r="F38" s="61">
        <f>+E38/$E$20</f>
        <v>0</v>
      </c>
      <c r="G38" s="61" t="str">
        <f>IF(C38=0,"",(E38-C38)/ABS(C38)+1)</f>
        <v/>
      </c>
      <c r="H38" s="59"/>
      <c r="I38" s="61">
        <f>+H38/$H$20</f>
        <v>0</v>
      </c>
      <c r="J38" s="61" t="str">
        <f>IF(H38=0,"",(E38-H38)/ABS(H38))</f>
        <v/>
      </c>
      <c r="K38" s="59">
        <f>+S28+C38</f>
        <v>0</v>
      </c>
      <c r="L38" s="61" t="str">
        <f>IF($K$20=0," ",K38/$K$20)</f>
        <v xml:space="preserve"> </v>
      </c>
      <c r="M38" s="59"/>
      <c r="N38" s="61">
        <f>+M38/$M$20</f>
        <v>0</v>
      </c>
      <c r="O38" s="61" t="str">
        <f>IF(K38=0,"",(M38-K38)/ABS(K38)+1)</f>
        <v/>
      </c>
      <c r="P38" s="59"/>
      <c r="Q38" s="61">
        <f>+P38/$P$20</f>
        <v>0</v>
      </c>
      <c r="R38" s="61" t="str">
        <f>IF(P38=0,"",(M38-P38)/ABS(P38))</f>
        <v/>
      </c>
      <c r="AD38" s="47"/>
    </row>
    <row r="39" spans="2:30" x14ac:dyDescent="0.2">
      <c r="B39" s="3" t="s">
        <v>42</v>
      </c>
      <c r="C39" s="59"/>
      <c r="D39" s="61" t="str">
        <f>IF($C$20=0," ",C39/$C$20)</f>
        <v xml:space="preserve"> </v>
      </c>
      <c r="E39" s="59">
        <f>364-667</f>
        <v>-303</v>
      </c>
      <c r="F39" s="61">
        <f>+E39/$E$20</f>
        <v>-6.115272276947966E-3</v>
      </c>
      <c r="G39" s="61" t="str">
        <f>IF(C39=0,"",(E39-C39)/ABS(C39)+1)</f>
        <v/>
      </c>
      <c r="H39" s="59">
        <v>131395744</v>
      </c>
      <c r="I39" s="61">
        <f>+H39/$H$20</f>
        <v>1.2602349544479488E-2</v>
      </c>
      <c r="J39" s="61">
        <f>IF(H39=0,"",(E39-H39)/ABS(H39))</f>
        <v>-1.0000023060107639</v>
      </c>
      <c r="K39" s="59"/>
      <c r="L39" s="61" t="str">
        <f>IF($K$20=0," ",K39/$K$20)</f>
        <v xml:space="preserve"> </v>
      </c>
      <c r="M39" s="59">
        <f>3733-667</f>
        <v>3066</v>
      </c>
      <c r="N39" s="61">
        <f>+M39/$M$20</f>
        <v>1.0663681670529383E-2</v>
      </c>
      <c r="O39" s="61" t="str">
        <f>IF(K39=0,"",(M39-K39)/ABS(K39)+1)</f>
        <v/>
      </c>
      <c r="P39" s="59">
        <v>679670503</v>
      </c>
      <c r="Q39" s="61">
        <f>+P39/$P$20</f>
        <v>1.3484339202964822E-2</v>
      </c>
      <c r="R39" s="61">
        <f>IF(P39=0,"",(M39-P39)/ABS(P39))</f>
        <v>-0.99999548899064106</v>
      </c>
    </row>
    <row r="41" spans="2:30" x14ac:dyDescent="0.2">
      <c r="B41" s="3" t="s">
        <v>43</v>
      </c>
      <c r="C41" s="59">
        <f>C36+C38-C39</f>
        <v>0</v>
      </c>
      <c r="D41" s="61" t="str">
        <f>IF($C$20=0," ",C41/$C$20)</f>
        <v xml:space="preserve"> </v>
      </c>
      <c r="E41" s="59">
        <f>E36+E38-E39</f>
        <v>24417.840000000004</v>
      </c>
      <c r="F41" s="61">
        <f>+E41/$E$20</f>
        <v>0.49281102315165398</v>
      </c>
      <c r="G41" s="61" t="str">
        <f>IF(C41=0,"",(E41-C41)/ABS(C41)+1)</f>
        <v/>
      </c>
      <c r="H41" s="59">
        <f>H36+H38-H39</f>
        <v>2618123865</v>
      </c>
      <c r="I41" s="61">
        <f>+H41/$H$20</f>
        <v>0.251107920949659</v>
      </c>
      <c r="J41" s="61">
        <f>IF(H41=0,"",(E41-H41)/ABS(H41))</f>
        <v>-0.9999906735352263</v>
      </c>
      <c r="K41" s="59">
        <f>K36+K38-K39</f>
        <v>0</v>
      </c>
      <c r="L41" s="61" t="str">
        <f>IF($K$20=0," ",K41/$K$20)</f>
        <v xml:space="preserve"> </v>
      </c>
      <c r="M41" s="59">
        <f>M36+M38-M39</f>
        <v>72218.889999999956</v>
      </c>
      <c r="N41" s="61">
        <f>+M41/$M$20</f>
        <v>0.25118044799705719</v>
      </c>
      <c r="O41" s="61" t="str">
        <f>IF(K41=0,"",(M41-K41)/ABS(K41)+1)</f>
        <v/>
      </c>
      <c r="P41" s="59">
        <f>P36+P38-P39</f>
        <v>11176151006</v>
      </c>
      <c r="Q41" s="61">
        <f>+P41/$P$20</f>
        <v>0.22172951523314899</v>
      </c>
      <c r="R41" s="61">
        <f>IF(P41=0,"",(M41-P41)/ABS(P41))</f>
        <v>-0.99999353812506997</v>
      </c>
    </row>
    <row r="42" spans="2:30" x14ac:dyDescent="0.2">
      <c r="B42" s="3" t="s">
        <v>29</v>
      </c>
      <c r="C42" s="59"/>
      <c r="D42" s="61" t="str">
        <f>IF($C$20=0," ",C42/$C$20)</f>
        <v xml:space="preserve"> </v>
      </c>
      <c r="E42" s="59"/>
      <c r="F42" s="61">
        <f>+E42/$E$20</f>
        <v>0</v>
      </c>
      <c r="G42" s="61" t="str">
        <f>IF(C42=0,"",(E42-C42)/ABS(C42)+1)</f>
        <v/>
      </c>
      <c r="H42" s="59"/>
      <c r="I42" s="61">
        <f>+H42/$H$20</f>
        <v>0</v>
      </c>
      <c r="J42" s="61" t="str">
        <f>IF(H42=0,"",(E42-H42)/ABS(H42))</f>
        <v/>
      </c>
      <c r="K42" s="59">
        <f>+S31+C42</f>
        <v>0</v>
      </c>
      <c r="L42" s="61" t="str">
        <f>IF($K$20=0," ",K42/$K$20)</f>
        <v xml:space="preserve"> </v>
      </c>
      <c r="M42" s="59"/>
      <c r="N42" s="61">
        <f>+M42/$M$20</f>
        <v>0</v>
      </c>
      <c r="O42" s="61" t="str">
        <f>IF(K42=0,"",(M42-K42)/ABS(K42)+1)</f>
        <v/>
      </c>
      <c r="P42" s="59">
        <v>19797676.789999999</v>
      </c>
      <c r="Q42" s="61">
        <f>+P42/$P$20</f>
        <v>3.9277648226411813E-4</v>
      </c>
      <c r="R42" s="61">
        <f>IF(P42=0,"",(M42-P42)/ABS(P42))</f>
        <v>-1</v>
      </c>
    </row>
    <row r="43" spans="2:30" x14ac:dyDescent="0.2">
      <c r="B43" s="17" t="s">
        <v>44</v>
      </c>
      <c r="C43" s="63">
        <f>C41-C42</f>
        <v>0</v>
      </c>
      <c r="D43" s="66" t="str">
        <f>IF($C$20=0," ",C43/$C$20)</f>
        <v xml:space="preserve"> </v>
      </c>
      <c r="E43" s="63">
        <f>+E41-E42</f>
        <v>24417.840000000004</v>
      </c>
      <c r="F43" s="66">
        <f>+E43/$E$20</f>
        <v>0.49281102315165398</v>
      </c>
      <c r="G43" s="66" t="str">
        <f>IF(C43=0,"",(E43-C43)/ABS(C43)+1)</f>
        <v/>
      </c>
      <c r="H43" s="63">
        <f>+H41-H42</f>
        <v>2618123865</v>
      </c>
      <c r="I43" s="66">
        <f>+H43/$H$20</f>
        <v>0.251107920949659</v>
      </c>
      <c r="J43" s="66">
        <f>IF(H43=0,"",(E43-H43)/ABS(H43))</f>
        <v>-0.9999906735352263</v>
      </c>
      <c r="K43" s="63">
        <f>+K41-K42</f>
        <v>0</v>
      </c>
      <c r="L43" s="66" t="str">
        <f>IF($K$20=0," ",K43/$K$20)</f>
        <v xml:space="preserve"> </v>
      </c>
      <c r="M43" s="63">
        <f>+M41-M42</f>
        <v>72218.889999999956</v>
      </c>
      <c r="N43" s="66">
        <f>+M43/$M$20</f>
        <v>0.25118044799705719</v>
      </c>
      <c r="O43" s="66" t="str">
        <f>IF(K43=0,"",(M43-K43)/ABS(K43)+1)</f>
        <v/>
      </c>
      <c r="P43" s="63">
        <f>+P41-P42</f>
        <v>11156353329.209999</v>
      </c>
      <c r="Q43" s="66">
        <f>+P43/$P$20</f>
        <v>0.22133673875088486</v>
      </c>
      <c r="R43" s="66">
        <f>IF(P43=0,"",(M43-P43)/ABS(P43))</f>
        <v>-0.99999352665805141</v>
      </c>
    </row>
    <row r="45" spans="2:30" x14ac:dyDescent="0.2">
      <c r="B45" s="3" t="s">
        <v>45</v>
      </c>
      <c r="C45" s="59">
        <f>+C43</f>
        <v>0</v>
      </c>
      <c r="D45" s="61" t="str">
        <f>IF($C$20=0," ",C45/$C$20)</f>
        <v xml:space="preserve"> </v>
      </c>
      <c r="E45" s="59">
        <f>+E43</f>
        <v>24417.840000000004</v>
      </c>
      <c r="F45" s="61">
        <f>+E45/$E$20</f>
        <v>0.49281102315165398</v>
      </c>
      <c r="G45" s="61" t="str">
        <f>IF(C45=0,"",(E45-C45)/ABS(C45)+1)</f>
        <v/>
      </c>
      <c r="H45" s="59">
        <v>2618123865</v>
      </c>
      <c r="I45" s="61">
        <f>+H45/$H$20</f>
        <v>0.251107920949659</v>
      </c>
      <c r="J45" s="61">
        <f>IF(H45=0,"",(E45-H45)/ABS(H45))</f>
        <v>-0.9999906735352263</v>
      </c>
      <c r="K45" s="59">
        <f>+K43</f>
        <v>0</v>
      </c>
      <c r="L45" s="61" t="str">
        <f>IF($K$20=0," ",K45/$K$20)</f>
        <v xml:space="preserve"> </v>
      </c>
      <c r="M45" s="59">
        <f>+M43</f>
        <v>72218.889999999956</v>
      </c>
      <c r="N45" s="61">
        <f>+M45/$M$20</f>
        <v>0.25118044799705719</v>
      </c>
      <c r="O45" s="61" t="str">
        <f>IF(K45=0,"",(M45-K45)/ABS(K45)+1)</f>
        <v/>
      </c>
      <c r="P45" s="59">
        <v>11156353329.209999</v>
      </c>
      <c r="Q45" s="61">
        <f>+P45/$P$20</f>
        <v>0.22133673875088486</v>
      </c>
      <c r="R45" s="61">
        <f>IF(P45=0,"",(M45-P45)/ABS(P45))</f>
        <v>-0.99999352665805141</v>
      </c>
    </row>
    <row r="46" spans="2:30" x14ac:dyDescent="0.2">
      <c r="B46" s="3" t="s">
        <v>20</v>
      </c>
      <c r="C46" s="59"/>
      <c r="D46" s="61"/>
      <c r="E46" s="59">
        <v>10952.8</v>
      </c>
      <c r="F46" s="61">
        <f>+E46/$E$20</f>
        <v>0.22105397424077783</v>
      </c>
      <c r="G46" s="61"/>
      <c r="H46" s="59">
        <v>2419095702</v>
      </c>
      <c r="I46" s="61">
        <f>+H46/$H$20</f>
        <v>0.23201885152499299</v>
      </c>
      <c r="J46" s="61"/>
      <c r="K46" s="59"/>
      <c r="L46" s="61"/>
      <c r="M46" s="59">
        <v>68861.91</v>
      </c>
      <c r="N46" s="61">
        <f>+M46/$M$20</f>
        <v>0.239504725200471</v>
      </c>
      <c r="O46" s="61" t="str">
        <f>IF(K46=0,"",(M46-K46)/ABS(K46)+1)</f>
        <v/>
      </c>
      <c r="P46" s="59">
        <v>11961753973</v>
      </c>
      <c r="Q46" s="61"/>
      <c r="R46" s="61">
        <f>IF(P46=0,"",(M46-P46)/ABS(P46))</f>
        <v>-0.99999424315947683</v>
      </c>
    </row>
    <row r="47" spans="2:30" x14ac:dyDescent="0.2">
      <c r="B47" s="53"/>
      <c r="C47" s="59"/>
      <c r="D47" s="53"/>
      <c r="E47" s="53" t="s">
        <v>47</v>
      </c>
      <c r="F47" s="53"/>
      <c r="G47" s="53"/>
      <c r="H47" s="53" t="s">
        <v>47</v>
      </c>
      <c r="I47" s="53"/>
      <c r="J47" s="53"/>
      <c r="K47" s="53"/>
      <c r="L47" s="53"/>
      <c r="M47" s="59" t="s">
        <v>47</v>
      </c>
      <c r="N47" s="53"/>
      <c r="O47" s="53"/>
      <c r="P47" s="59" t="s">
        <v>47</v>
      </c>
      <c r="Q47" s="53"/>
      <c r="R47" s="53"/>
    </row>
    <row r="48" spans="2:30" x14ac:dyDescent="0.2">
      <c r="H48" s="60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A2603-AE6C-4558-AC22-17797889FCC9}">
  <sheetPr>
    <tabColor theme="2" tint="-0.249977111117893"/>
  </sheetPr>
  <dimension ref="A1:AY47"/>
  <sheetViews>
    <sheetView showGridLines="0" topLeftCell="I1" zoomScaleNormal="100" workbookViewId="0">
      <selection activeCell="AD19" sqref="AD19"/>
    </sheetView>
  </sheetViews>
  <sheetFormatPr baseColWidth="10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3" width="11.42578125" style="2"/>
    <col min="34" max="34" width="12.85546875" style="2" bestFit="1" customWidth="1"/>
    <col min="35" max="35" width="18.85546875" style="2" customWidth="1"/>
    <col min="36" max="16384" width="11.42578125" style="2"/>
  </cols>
  <sheetData>
    <row r="1" spans="1:35" s="42" customFormat="1" ht="18.75" customHeight="1" x14ac:dyDescent="0.2">
      <c r="B1" s="41"/>
    </row>
    <row r="2" spans="1:35" ht="18.75" customHeight="1" x14ac:dyDescent="0.2">
      <c r="A2" s="42"/>
      <c r="Y2" s="46"/>
      <c r="Z2" s="46"/>
      <c r="AA2" s="46"/>
      <c r="AB2" s="46"/>
    </row>
    <row r="3" spans="1:35" ht="18" x14ac:dyDescent="0.25">
      <c r="B3" s="13" t="s">
        <v>117</v>
      </c>
      <c r="S3" s="46"/>
      <c r="T3" s="15" t="s">
        <v>117</v>
      </c>
      <c r="AF3" s="2" t="str">
        <f>+B6</f>
        <v>SEPTIEMBRE de 2022</v>
      </c>
      <c r="AG3" s="2" t="s">
        <v>121</v>
      </c>
      <c r="AH3" s="2">
        <v>8.3699999999999992</v>
      </c>
      <c r="AI3" s="2" t="s">
        <v>122</v>
      </c>
    </row>
    <row r="4" spans="1:35" x14ac:dyDescent="0.2">
      <c r="B4" s="2" t="s">
        <v>76</v>
      </c>
      <c r="S4" s="46"/>
      <c r="T4" s="3" t="s">
        <v>6</v>
      </c>
      <c r="AG4" s="2" t="s">
        <v>123</v>
      </c>
      <c r="AH4" s="90">
        <v>4549688</v>
      </c>
    </row>
    <row r="5" spans="1:35" ht="13.5" thickBot="1" x14ac:dyDescent="0.25">
      <c r="B5" s="3" t="s">
        <v>124</v>
      </c>
      <c r="S5" s="46"/>
      <c r="T5" s="3" t="s">
        <v>125</v>
      </c>
      <c r="X5" s="18" t="s">
        <v>8</v>
      </c>
      <c r="Y5" s="18"/>
      <c r="Z5" s="18"/>
      <c r="AA5" s="18"/>
      <c r="AB5" s="18"/>
      <c r="AC5" s="18"/>
    </row>
    <row r="6" spans="1:35" ht="13.5" thickBot="1" x14ac:dyDescent="0.25">
      <c r="B6" s="17" t="str">
        <f>+'VZLA BFS'!B6</f>
        <v>SEPTIEMBRE de 2022</v>
      </c>
      <c r="C6" s="84"/>
      <c r="K6" s="89" t="s">
        <v>8</v>
      </c>
      <c r="L6" s="89"/>
      <c r="M6" s="89"/>
      <c r="N6" s="89"/>
      <c r="O6" s="89"/>
      <c r="P6" s="89"/>
      <c r="Q6" s="89"/>
      <c r="R6" s="89"/>
      <c r="T6" s="17" t="str">
        <f>+B6</f>
        <v>SEPTIEMBRE de 2022</v>
      </c>
      <c r="Z6" s="2" t="s">
        <v>11</v>
      </c>
      <c r="AA6" s="2" t="s">
        <v>9</v>
      </c>
      <c r="AC6" s="2" t="s">
        <v>10</v>
      </c>
    </row>
    <row r="7" spans="1:35" ht="15.75" customHeight="1" x14ac:dyDescent="0.2">
      <c r="C7" s="2" t="str">
        <f>+'VZLA BFS'!C7</f>
        <v>Ppto 2022</v>
      </c>
      <c r="E7" s="2" t="str">
        <f>+'VZLA BFS'!E7</f>
        <v>Real 2022</v>
      </c>
      <c r="G7" s="2" t="str">
        <f>+'VZLA BFS'!G7</f>
        <v>Cump</v>
      </c>
      <c r="H7" s="2" t="str">
        <f>+'VZLA BFS'!H7</f>
        <v>Real 2021</v>
      </c>
      <c r="J7" s="42" t="s">
        <v>10</v>
      </c>
      <c r="K7" s="2" t="str">
        <f>+C7</f>
        <v>Ppto 2022</v>
      </c>
      <c r="M7" s="2" t="str">
        <f>+E7</f>
        <v>Real 2022</v>
      </c>
      <c r="O7" s="2" t="str">
        <f>+G7</f>
        <v>Cump</v>
      </c>
      <c r="P7" s="2" t="str">
        <f>+H7</f>
        <v>Real 2021</v>
      </c>
      <c r="Q7" s="42"/>
      <c r="R7" s="42" t="s">
        <v>10</v>
      </c>
      <c r="S7" s="42"/>
      <c r="U7" s="46" t="str">
        <f>+C7</f>
        <v>Ppto 2022</v>
      </c>
      <c r="V7" s="46" t="str">
        <f>+M7</f>
        <v>Real 2022</v>
      </c>
      <c r="W7" s="46" t="str">
        <f>+H7</f>
        <v>Real 2021</v>
      </c>
      <c r="X7" s="46" t="str">
        <f>+U7</f>
        <v>Ppto 2022</v>
      </c>
      <c r="Y7" s="46" t="str">
        <f>+V7</f>
        <v>Real 2022</v>
      </c>
      <c r="Z7" s="46" t="s">
        <v>11</v>
      </c>
      <c r="AA7" s="46" t="s">
        <v>9</v>
      </c>
      <c r="AB7" s="46" t="str">
        <f>+W7</f>
        <v>Real 2021</v>
      </c>
      <c r="AC7" s="46" t="s">
        <v>10</v>
      </c>
      <c r="AD7" s="46"/>
      <c r="AE7" s="46"/>
      <c r="AH7" s="2">
        <v>2819322440</v>
      </c>
      <c r="AI7" s="91">
        <f>1/AH4</f>
        <v>2.1979529145734828E-7</v>
      </c>
    </row>
    <row r="8" spans="1:35" ht="13.5" thickBot="1" x14ac:dyDescent="0.25">
      <c r="B8" s="24"/>
      <c r="C8" s="25" t="s">
        <v>13</v>
      </c>
      <c r="D8" s="25" t="s">
        <v>14</v>
      </c>
      <c r="E8" s="25" t="s">
        <v>13</v>
      </c>
      <c r="F8" s="25" t="s">
        <v>14</v>
      </c>
      <c r="G8" s="25" t="s">
        <v>15</v>
      </c>
      <c r="H8" s="25" t="s">
        <v>13</v>
      </c>
      <c r="I8" s="25" t="s">
        <v>14</v>
      </c>
      <c r="J8" s="25" t="s">
        <v>15</v>
      </c>
      <c r="K8" s="25" t="s">
        <v>13</v>
      </c>
      <c r="L8" s="25" t="s">
        <v>14</v>
      </c>
      <c r="M8" s="25" t="s">
        <v>13</v>
      </c>
      <c r="N8" s="25" t="s">
        <v>14</v>
      </c>
      <c r="O8" s="25" t="s">
        <v>15</v>
      </c>
      <c r="P8" s="25" t="s">
        <v>13</v>
      </c>
      <c r="Q8" s="25" t="s">
        <v>14</v>
      </c>
      <c r="R8" s="25" t="s">
        <v>15</v>
      </c>
      <c r="S8" s="46"/>
      <c r="T8" s="24"/>
      <c r="U8" s="25"/>
      <c r="V8" s="25"/>
      <c r="W8" s="25"/>
      <c r="X8" s="24"/>
      <c r="Y8" s="24"/>
      <c r="Z8" s="25"/>
      <c r="AA8" s="25" t="s">
        <v>15</v>
      </c>
      <c r="AB8" s="24"/>
      <c r="AC8" s="25" t="s">
        <v>15</v>
      </c>
      <c r="AD8" s="46"/>
      <c r="AE8" s="46"/>
      <c r="AI8" s="92">
        <f>+AI7*AH7</f>
        <v>619.67379741204229</v>
      </c>
    </row>
    <row r="9" spans="1:35" x14ac:dyDescent="0.2">
      <c r="S9" s="61"/>
      <c r="AD9" s="61"/>
      <c r="AE9" s="61"/>
      <c r="AH9" s="2">
        <f>+AH7/AH4</f>
        <v>619.67379741204229</v>
      </c>
    </row>
    <row r="10" spans="1:35" x14ac:dyDescent="0.2">
      <c r="B10" s="3" t="s">
        <v>55</v>
      </c>
      <c r="C10" s="59">
        <f>'VZLA BFS'!C10/'VENEZUELA USD'!$AH$3</f>
        <v>0</v>
      </c>
      <c r="D10" s="28" t="str">
        <f t="shared" ref="D10:D20" si="0">IF(DD19&lt;=0," ",C10/$C$20)</f>
        <v xml:space="preserve"> </v>
      </c>
      <c r="E10" s="59">
        <f>'VZLA BFS'!E10/'VENEZUELA USD'!$AH$3</f>
        <v>3126.6427718040622</v>
      </c>
      <c r="F10" s="28">
        <f t="shared" ref="F10:F20" si="1">+E10/$E$20</f>
        <v>0.52817384649415278</v>
      </c>
      <c r="G10" s="28" t="str">
        <f>IF(C10=0,"",(E10-C10)/ABS(C10)+1)</f>
        <v/>
      </c>
      <c r="H10" s="55">
        <f>+'VZLA BFS'!H10/'VENEZUELA USD'!$AH$4</f>
        <v>1140.5764182071387</v>
      </c>
      <c r="I10" s="28">
        <f t="shared" ref="I10:I20" si="2">IF($H$20&lt;=0," ",H10/$H$20)</f>
        <v>0.49770983933135288</v>
      </c>
      <c r="J10" s="28">
        <f>IF(E10=0,"",(E10-H10)/ABS(H10))</f>
        <v>1.7412830231215919</v>
      </c>
      <c r="K10" s="59">
        <f>'VZLA BFS'!K10/'VENEZUELA USD'!$AH$3</f>
        <v>0</v>
      </c>
      <c r="L10" s="28" t="str">
        <f t="shared" ref="L10:L22" si="3">IF($K$20&lt;=0," ",K10/$K$20)</f>
        <v xml:space="preserve"> </v>
      </c>
      <c r="M10" s="59">
        <f>'VZLA BFS'!M10/'VENEZUELA USD'!$AH$3</f>
        <v>14471.804062126645</v>
      </c>
      <c r="N10" s="28">
        <f t="shared" ref="N10:N15" si="4">+M10/$M$20</f>
        <v>0.42129194294505995</v>
      </c>
      <c r="O10" s="28" t="str">
        <f>IF(K10=0,"",(M10-K10)/ABS(K10)+1)</f>
        <v/>
      </c>
      <c r="P10" s="55">
        <f>+'VZLA BFS'!P10/'VENEZUELA USD'!$AH$4</f>
        <v>5814.2478090805344</v>
      </c>
      <c r="Q10" s="28">
        <f t="shared" ref="Q10:Q22" si="5">IF($P$20&lt;=0," ",P10/$P$20)</f>
        <v>0.52481519384963937</v>
      </c>
      <c r="R10" s="28">
        <f>IF(M10=0,"",(M10-P10)/ABS(P10))</f>
        <v>1.4890242964059726</v>
      </c>
      <c r="S10" s="61"/>
      <c r="T10" s="3" t="s">
        <v>16</v>
      </c>
      <c r="U10" s="59">
        <f>+'VZLA BFS'!U10/'VENEZUELA USD'!$AH$3</f>
        <v>28273.835125448033</v>
      </c>
      <c r="V10" s="59">
        <f>+'VZLA BFS'!V10/'VENEZUELA USD'!$AH$3</f>
        <v>2264.15770609319</v>
      </c>
      <c r="W10" s="59">
        <f>+'VZLA BFS'!W10/'VENEZUELA USD'!$AH$3</f>
        <v>533137086.29151762</v>
      </c>
      <c r="X10" s="59">
        <f>+'VZLA BFS'!X10/'VENEZUELA USD'!$AH$3</f>
        <v>28273.835125448033</v>
      </c>
      <c r="Y10" s="59">
        <f>+'VZLA BFS'!Y10/'VENEZUELA USD'!$AH$3</f>
        <v>1764.2771804062129</v>
      </c>
      <c r="Z10" s="55">
        <f>+Y10-X10</f>
        <v>-26509.557945041819</v>
      </c>
      <c r="AA10" s="61">
        <f>IF(X10=0,"",(Y10-X10)/ABS(X10)+1)</f>
        <v>6.2399641667934436E-2</v>
      </c>
      <c r="AB10" s="59">
        <f>+'VZLA BFS'!AB10/'VENEZUELA USD'!$AH$3</f>
        <v>54787414.210274793</v>
      </c>
      <c r="AC10" s="61">
        <f>IF(W10=0,"",(Y10-AB10)/ABS(AB10))</f>
        <v>-0.99996779776512845</v>
      </c>
      <c r="AD10" s="61"/>
      <c r="AE10" s="61"/>
    </row>
    <row r="11" spans="1:35" x14ac:dyDescent="0.2">
      <c r="B11" s="3" t="s">
        <v>57</v>
      </c>
      <c r="C11" s="59">
        <f>'VZLA BFS'!C11/'VENEZUELA USD'!$AH$3</f>
        <v>0</v>
      </c>
      <c r="D11" s="28" t="str">
        <f t="shared" si="0"/>
        <v xml:space="preserve"> </v>
      </c>
      <c r="E11" s="59">
        <f>'VZLA BFS'!E11/'VENEZUELA USD'!$AH$3</f>
        <v>690.87216248506581</v>
      </c>
      <c r="F11" s="28">
        <f t="shared" si="1"/>
        <v>0.11670684313095483</v>
      </c>
      <c r="G11" s="28" t="str">
        <f t="shared" ref="G11:G22" si="6">IF(C11=0,"",(E11-C11)/ABS(C11)+1)</f>
        <v/>
      </c>
      <c r="H11" s="55">
        <f>+'VZLA BFS'!H11/'VENEZUELA USD'!$AH$4</f>
        <v>580.57327777201431</v>
      </c>
      <c r="I11" s="28">
        <f t="shared" si="2"/>
        <v>0.253342983589118</v>
      </c>
      <c r="J11" s="28">
        <f t="shared" ref="J11:J20" si="7">IF(E11=0,"",(E11-H11)/ABS(H11))</f>
        <v>0.18998271008326506</v>
      </c>
      <c r="K11" s="59">
        <f>'VZLA BFS'!K11/'VENEZUELA USD'!$AH$3</f>
        <v>0</v>
      </c>
      <c r="L11" s="28" t="str">
        <f t="shared" si="3"/>
        <v xml:space="preserve"> </v>
      </c>
      <c r="M11" s="59">
        <f>'VZLA BFS'!M11/'VENEZUELA USD'!$AH$3</f>
        <v>3298.900836320192</v>
      </c>
      <c r="N11" s="28">
        <f t="shared" si="4"/>
        <v>9.6035044210803416E-2</v>
      </c>
      <c r="O11" s="28" t="str">
        <f t="shared" ref="O11:O22" si="8">IF(K11=0,"",(M11-K11)/ABS(K11)+1)</f>
        <v/>
      </c>
      <c r="P11" s="55">
        <f>+'VZLA BFS'!P11/'VENEZUELA USD'!$AH$4</f>
        <v>1931.2492579710961</v>
      </c>
      <c r="Q11" s="28">
        <f t="shared" si="5"/>
        <v>0.17432159532504615</v>
      </c>
      <c r="R11" s="28">
        <f t="shared" ref="R11:R22" si="9">IF(M11=0,"",(M11-P11)/ABS(P11))</f>
        <v>0.70816937415209857</v>
      </c>
      <c r="S11" s="61"/>
      <c r="T11" s="3" t="s">
        <v>17</v>
      </c>
      <c r="U11" s="59">
        <f>+'VZLA BFS'!U11/'VENEZUELA USD'!$AH$3</f>
        <v>0</v>
      </c>
      <c r="V11" s="59">
        <f>+'VZLA BFS'!V11/'VENEZUELA USD'!$AH$3</f>
        <v>6785.3763440860221</v>
      </c>
      <c r="W11" s="59">
        <f>+'VZLA BFS'!W11/'VENEZUELA USD'!$AH$3</f>
        <v>618670927.35961771</v>
      </c>
      <c r="X11" s="59">
        <f>+'VZLA BFS'!X11/'VENEZUELA USD'!$AH$3</f>
        <v>0</v>
      </c>
      <c r="Y11" s="59">
        <f>+'VZLA BFS'!Y11/'VENEZUELA USD'!$AH$3</f>
        <v>33971.843488649945</v>
      </c>
      <c r="Z11" s="55">
        <f>+Y11-X11</f>
        <v>33971.843488649945</v>
      </c>
      <c r="AA11" s="61" t="str">
        <f>IF(X11=0,"",(Y11-X11)/ABS(X11)+1)</f>
        <v/>
      </c>
      <c r="AB11" s="59">
        <f>+'VZLA BFS'!AB11/'VENEZUELA USD'!$AH$3</f>
        <v>4932256222.8817215</v>
      </c>
      <c r="AC11" s="61">
        <f>IF(AB11=0,"",(Y11-AB11)/ABS(AB11))</f>
        <v>-0.99999311231169807</v>
      </c>
      <c r="AD11" s="61"/>
      <c r="AE11" s="61"/>
    </row>
    <row r="12" spans="1:35" x14ac:dyDescent="0.2">
      <c r="B12" s="3" t="s">
        <v>59</v>
      </c>
      <c r="C12" s="59">
        <f>'VZLA BFS'!C12/'VENEZUELA USD'!$AH$3</f>
        <v>0</v>
      </c>
      <c r="D12" s="28" t="str">
        <f t="shared" si="0"/>
        <v xml:space="preserve"> </v>
      </c>
      <c r="E12" s="59">
        <f>'VZLA BFS'!E12/'VENEZUELA USD'!$AH$3</f>
        <v>827.67980884109932</v>
      </c>
      <c r="F12" s="28">
        <f t="shared" si="1"/>
        <v>0.13981732490946169</v>
      </c>
      <c r="G12" s="28" t="str">
        <f t="shared" si="6"/>
        <v/>
      </c>
      <c r="H12" s="55">
        <f>+'VZLA BFS'!H12/'VENEZUELA USD'!$AH$4</f>
        <v>244.88216642547798</v>
      </c>
      <c r="I12" s="28">
        <f t="shared" si="2"/>
        <v>0.10685848116895201</v>
      </c>
      <c r="J12" s="28">
        <f t="shared" si="7"/>
        <v>2.3799105133814513</v>
      </c>
      <c r="K12" s="59">
        <f>'VZLA BFS'!K12/'VENEZUELA USD'!$AH$3</f>
        <v>0</v>
      </c>
      <c r="L12" s="28" t="str">
        <f t="shared" si="3"/>
        <v xml:space="preserve"> </v>
      </c>
      <c r="M12" s="59">
        <f>'VZLA BFS'!M12/'VENEZUELA USD'!$AH$3</f>
        <v>4516.6129032258068</v>
      </c>
      <c r="N12" s="28">
        <f t="shared" si="4"/>
        <v>0.13148413406939868</v>
      </c>
      <c r="O12" s="28" t="str">
        <f t="shared" si="8"/>
        <v/>
      </c>
      <c r="P12" s="55">
        <f>+'VZLA BFS'!P12/'VENEZUELA USD'!$AH$4</f>
        <v>1417.3826976706973</v>
      </c>
      <c r="Q12" s="28">
        <f t="shared" si="5"/>
        <v>0.12793812710827793</v>
      </c>
      <c r="R12" s="28">
        <f t="shared" si="9"/>
        <v>2.1865867352891577</v>
      </c>
      <c r="S12" s="61"/>
      <c r="U12" s="59">
        <f>+'VZLA BFS'!U12/'VENEZUELA USD'!$AH$3</f>
        <v>0</v>
      </c>
      <c r="AD12" s="61"/>
      <c r="AE12" s="61"/>
    </row>
    <row r="13" spans="1:35" x14ac:dyDescent="0.2">
      <c r="B13" s="3" t="s">
        <v>61</v>
      </c>
      <c r="C13" s="59">
        <f>'VZLA BFS'!C13/'VENEZUELA USD'!$AH$3</f>
        <v>0</v>
      </c>
      <c r="D13" s="28" t="str">
        <f t="shared" si="0"/>
        <v xml:space="preserve"> </v>
      </c>
      <c r="E13" s="59">
        <f>'VZLA BFS'!E13/'VENEZUELA USD'!$AH$3</f>
        <v>435.72281959378739</v>
      </c>
      <c r="F13" s="28">
        <f t="shared" si="1"/>
        <v>7.3605273907687244E-2</v>
      </c>
      <c r="G13" s="28" t="str">
        <f t="shared" si="6"/>
        <v/>
      </c>
      <c r="H13" s="55">
        <f>+'VZLA BFS'!H13/'VENEZUELA USD'!$AH$4</f>
        <v>0</v>
      </c>
      <c r="I13" s="28">
        <f t="shared" si="2"/>
        <v>0</v>
      </c>
      <c r="J13" s="28" t="e">
        <f t="shared" si="7"/>
        <v>#DIV/0!</v>
      </c>
      <c r="K13" s="59">
        <f>'VZLA BFS'!K13/'VENEZUELA USD'!$AH$3</f>
        <v>0</v>
      </c>
      <c r="L13" s="28" t="str">
        <f t="shared" si="3"/>
        <v xml:space="preserve"> </v>
      </c>
      <c r="M13" s="59">
        <f>'VZLA BFS'!M13/'VENEZUELA USD'!$AH$3</f>
        <v>7756.113500597372</v>
      </c>
      <c r="N13" s="28">
        <f t="shared" si="4"/>
        <v>0.22578996456430064</v>
      </c>
      <c r="O13" s="28" t="str">
        <f t="shared" si="8"/>
        <v/>
      </c>
      <c r="P13" s="55">
        <f>+'VZLA BFS'!P13/'VENEZUELA USD'!$AH$4</f>
        <v>204.09358048288146</v>
      </c>
      <c r="Q13" s="28">
        <f t="shared" si="5"/>
        <v>1.8422230273244758E-2</v>
      </c>
      <c r="R13" s="28">
        <f t="shared" si="9"/>
        <v>37.002731307111951</v>
      </c>
      <c r="S13" s="61"/>
      <c r="T13" s="3" t="s">
        <v>18</v>
      </c>
      <c r="U13" s="59">
        <f>+'VZLA BFS'!U13/'VENEZUELA USD'!$AH$3</f>
        <v>0</v>
      </c>
      <c r="V13" s="59">
        <f>+'VZLA BFS'!V13/'VENEZUELA USD'!$AH$3</f>
        <v>0</v>
      </c>
      <c r="W13" s="59">
        <f>+'VZLA BFS'!W13/'VENEZUELA USD'!$AH$3</f>
        <v>0</v>
      </c>
      <c r="X13" s="59">
        <f>+'VZLA BFS'!X13/'VENEZUELA USD'!$AH$3</f>
        <v>0</v>
      </c>
      <c r="Y13" s="59">
        <f>+'VZLA BFS'!Y13/'VENEZUELA USD'!$AH$3</f>
        <v>0</v>
      </c>
      <c r="Z13" s="55">
        <f>+X13-Y13</f>
        <v>0</v>
      </c>
      <c r="AA13" s="61" t="str">
        <f>IF(X13=0,"",(Y13-X13)/ABS(X13)+1)</f>
        <v/>
      </c>
      <c r="AB13" s="59">
        <f>+'VZLA BFS'!AB13/'VENEZUELA USD'!$AH$3</f>
        <v>0</v>
      </c>
      <c r="AC13" s="61" t="str">
        <f>IF(AB13=0,"",(Y13-AB13)/ABS(AB13))</f>
        <v/>
      </c>
      <c r="AD13" s="61"/>
      <c r="AE13" s="61"/>
    </row>
    <row r="14" spans="1:35" x14ac:dyDescent="0.2">
      <c r="B14" s="3" t="s">
        <v>62</v>
      </c>
      <c r="C14" s="59">
        <f>'VZLA BFS'!C14/'VENEZUELA USD'!$AH$3</f>
        <v>0</v>
      </c>
      <c r="D14" s="28" t="str">
        <f t="shared" si="0"/>
        <v xml:space="preserve"> </v>
      </c>
      <c r="E14" s="59">
        <f>'VZLA BFS'!E14/'VENEZUELA USD'!$AH$3</f>
        <v>0</v>
      </c>
      <c r="F14" s="28">
        <f t="shared" si="1"/>
        <v>0</v>
      </c>
      <c r="G14" s="28" t="str">
        <f t="shared" si="6"/>
        <v/>
      </c>
      <c r="H14" s="55">
        <f>+'VZLA BFS'!H14/'VENEZUELA USD'!$AH$4</f>
        <v>0</v>
      </c>
      <c r="I14" s="28">
        <f t="shared" si="2"/>
        <v>0</v>
      </c>
      <c r="J14" s="28" t="str">
        <f t="shared" si="7"/>
        <v/>
      </c>
      <c r="K14" s="59">
        <f>'VZLA BFS'!K14/'VENEZUELA USD'!$AH$3</f>
        <v>0</v>
      </c>
      <c r="L14" s="28" t="str">
        <f t="shared" si="3"/>
        <v xml:space="preserve"> </v>
      </c>
      <c r="M14" s="59">
        <f>'VZLA BFS'!M14/'VENEZUELA USD'!$AH$3</f>
        <v>0</v>
      </c>
      <c r="N14" s="28">
        <f t="shared" si="4"/>
        <v>0</v>
      </c>
      <c r="O14" s="28" t="str">
        <f t="shared" si="8"/>
        <v/>
      </c>
      <c r="P14" s="55">
        <f>+'VZLA BFS'!P14/'VENEZUELA USD'!$AH$4</f>
        <v>0</v>
      </c>
      <c r="Q14" s="28">
        <f t="shared" si="5"/>
        <v>0</v>
      </c>
      <c r="R14" s="28" t="str">
        <f t="shared" si="9"/>
        <v/>
      </c>
      <c r="S14" s="61"/>
      <c r="T14" s="3" t="s">
        <v>19</v>
      </c>
      <c r="U14" s="59">
        <f>+'VZLA BFS'!U14/'VENEZUELA USD'!$AH$3</f>
        <v>0</v>
      </c>
      <c r="V14" s="59">
        <f>+'VZLA BFS'!V14/'VENEZUELA USD'!$AH$3</f>
        <v>0</v>
      </c>
      <c r="W14" s="59">
        <f>+'VZLA BFS'!W14/'VENEZUELA USD'!$AH$3</f>
        <v>0</v>
      </c>
      <c r="X14" s="59">
        <f>+'VZLA BFS'!X14/'VENEZUELA USD'!$AH$3</f>
        <v>0</v>
      </c>
      <c r="Y14" s="59">
        <f>+'VZLA BFS'!Y14/'VENEZUELA USD'!$AH$3</f>
        <v>0</v>
      </c>
      <c r="Z14" s="55">
        <f>+X14-Y14</f>
        <v>0</v>
      </c>
      <c r="AA14" s="61" t="str">
        <f>IF(X14=0,"",(Y14-X14)/ABS(X14)+1)</f>
        <v/>
      </c>
      <c r="AB14" s="59">
        <f>+'VZLA BFS'!AB14/'VENEZUELA USD'!$AH$3</f>
        <v>0</v>
      </c>
      <c r="AC14" s="61" t="str">
        <f>IF(AB14=0,"",(Y14-AB14)/ABS(AB14))</f>
        <v/>
      </c>
      <c r="AD14" s="61"/>
      <c r="AE14" s="61"/>
    </row>
    <row r="15" spans="1:35" x14ac:dyDescent="0.2">
      <c r="B15" s="3" t="s">
        <v>64</v>
      </c>
      <c r="C15" s="59">
        <f>'VZLA BFS'!C15/'VENEZUELA USD'!$AH$3</f>
        <v>0</v>
      </c>
      <c r="D15" s="28" t="str">
        <f t="shared" si="0"/>
        <v xml:space="preserve"> </v>
      </c>
      <c r="E15" s="59">
        <f>'VZLA BFS'!E15/'VENEZUELA USD'!$AH$3</f>
        <v>838.80525686977307</v>
      </c>
      <c r="F15" s="28">
        <f t="shared" si="1"/>
        <v>0.14169671155774352</v>
      </c>
      <c r="G15" s="28" t="str">
        <f t="shared" si="6"/>
        <v/>
      </c>
      <c r="H15" s="55">
        <f>+'VZLA BFS'!H15/'VENEZUELA USD'!$AH$4</f>
        <v>325.61746431843238</v>
      </c>
      <c r="I15" s="28">
        <f t="shared" si="2"/>
        <v>0.14208869591057724</v>
      </c>
      <c r="J15" s="28">
        <f t="shared" si="7"/>
        <v>1.5760450491361755</v>
      </c>
      <c r="K15" s="59">
        <f>'VZLA BFS'!K15/'VENEZUELA USD'!$AH$3</f>
        <v>0</v>
      </c>
      <c r="L15" s="28" t="str">
        <f t="shared" si="3"/>
        <v xml:space="preserve"> </v>
      </c>
      <c r="M15" s="59">
        <f>'VZLA BFS'!M15/'VENEZUELA USD'!$AH$3</f>
        <v>4307.5794504181595</v>
      </c>
      <c r="N15" s="28">
        <f t="shared" si="4"/>
        <v>0.1253989142104375</v>
      </c>
      <c r="O15" s="28" t="str">
        <f t="shared" si="8"/>
        <v/>
      </c>
      <c r="P15" s="55">
        <f>+'VZLA BFS'!P15/'VENEZUELA USD'!$AH$4</f>
        <v>1711.6842036201165</v>
      </c>
      <c r="Q15" s="28">
        <f t="shared" si="5"/>
        <v>0.15450285344379175</v>
      </c>
      <c r="R15" s="28">
        <f t="shared" si="9"/>
        <v>1.5165737005154745</v>
      </c>
      <c r="S15" s="61"/>
      <c r="T15" s="3" t="s">
        <v>20</v>
      </c>
      <c r="U15" s="59">
        <f>+'VZLA BFS'!U15/'VENEZUELA USD'!$AH$3</f>
        <v>0</v>
      </c>
      <c r="V15" s="59">
        <f>+'VZLA BFS'!V15/'VENEZUELA USD'!$AH$3</f>
        <v>1213.9677419354839</v>
      </c>
      <c r="W15" s="59">
        <f>+'VZLA BFS'!W15/'VENEZUELA USD'!$AH$3</f>
        <v>259664859.73715654</v>
      </c>
      <c r="X15" s="59">
        <f>+'VZLA BFS'!X15/'VENEZUELA USD'!$AH$3</f>
        <v>0</v>
      </c>
      <c r="Y15" s="59">
        <f>+'VZLA BFS'!Y15/'VENEZUELA USD'!$AH$3</f>
        <v>7138.138590203107</v>
      </c>
      <c r="Z15" s="55">
        <f>+X15-Y15</f>
        <v>-7138.138590203107</v>
      </c>
      <c r="AA15" s="61" t="str">
        <f>IF(X15=0,"",(Y15-X15)/ABS(X15)+1)</f>
        <v/>
      </c>
      <c r="AB15" s="59">
        <f>+'VZLA BFS'!AB15/'VENEZUELA USD'!$AH$3</f>
        <v>931726461.17084837</v>
      </c>
      <c r="AC15" s="61">
        <f>IF(AB15=0,"",(Y15-AB15)/ABS(AB15))</f>
        <v>-0.99999233880448002</v>
      </c>
      <c r="AD15" s="61"/>
      <c r="AE15" s="61"/>
      <c r="AG15" s="47"/>
    </row>
    <row r="16" spans="1:35" x14ac:dyDescent="0.2">
      <c r="B16" s="3" t="s">
        <v>65</v>
      </c>
      <c r="C16" s="59">
        <f>'VZLA BFS'!C16/'VENEZUELA USD'!$AH$3</f>
        <v>0</v>
      </c>
      <c r="D16" s="28" t="str">
        <f t="shared" si="0"/>
        <v xml:space="preserve"> </v>
      </c>
      <c r="E16" s="59">
        <f>'VZLA BFS'!E16/'VENEZUELA USD'!$AH$3</f>
        <v>0</v>
      </c>
      <c r="F16" s="28">
        <f t="shared" si="1"/>
        <v>0</v>
      </c>
      <c r="G16" s="28" t="str">
        <f t="shared" si="6"/>
        <v/>
      </c>
      <c r="H16" s="55">
        <f>+'VZLA BFS'!H16/'VENEZUELA USD'!$AH$4</f>
        <v>0</v>
      </c>
      <c r="I16" s="28">
        <f t="shared" si="2"/>
        <v>0</v>
      </c>
      <c r="J16" s="28" t="str">
        <f t="shared" si="7"/>
        <v/>
      </c>
      <c r="K16" s="59">
        <f>'VZLA BFS'!K16/'VENEZUELA USD'!$AH$3</f>
        <v>0</v>
      </c>
      <c r="L16" s="28" t="str">
        <f t="shared" si="3"/>
        <v xml:space="preserve"> </v>
      </c>
      <c r="M16" s="59">
        <f>'VZLA BFS'!M16/'VENEZUELA USD'!$AH$3</f>
        <v>0</v>
      </c>
      <c r="N16" s="28"/>
      <c r="O16" s="28" t="str">
        <f t="shared" si="8"/>
        <v/>
      </c>
      <c r="P16" s="55">
        <f>+'VZLA BFS'!P16/'VENEZUELA USD'!$AH$4</f>
        <v>0</v>
      </c>
      <c r="Q16" s="28">
        <f t="shared" si="5"/>
        <v>0</v>
      </c>
      <c r="R16" s="28" t="str">
        <f t="shared" si="9"/>
        <v/>
      </c>
      <c r="S16" s="61"/>
      <c r="T16" s="3" t="s">
        <v>21</v>
      </c>
      <c r="U16" s="59">
        <f>+'VZLA BFS'!U16/'VENEZUELA USD'!$AH$3</f>
        <v>0</v>
      </c>
      <c r="V16" s="59">
        <f>+'VZLA BFS'!V16/'VENEZUELA USD'!$AH$3</f>
        <v>750.73715651135012</v>
      </c>
      <c r="W16" s="59">
        <f>+'VZLA BFS'!W16/'VENEZUELA USD'!$AH$3</f>
        <v>508969221.74432504</v>
      </c>
      <c r="X16" s="59">
        <f>+'VZLA BFS'!X16/'VENEZUELA USD'!$AH$3</f>
        <v>0</v>
      </c>
      <c r="Y16" s="59">
        <f>+'VZLA BFS'!Y16/'VENEZUELA USD'!$AH$3</f>
        <v>17678.550776583037</v>
      </c>
      <c r="Z16" s="55">
        <f>+X16-Y16</f>
        <v>-17678.550776583037</v>
      </c>
      <c r="AA16" s="61" t="str">
        <f>IF(X16=0,"",(Y16-X16)/ABS(X16)+1)</f>
        <v/>
      </c>
      <c r="AB16" s="59">
        <f>+'VZLA BFS'!AB16/'VENEZUELA USD'!$AH$3</f>
        <v>3265145912.5878139</v>
      </c>
      <c r="AC16" s="61">
        <f>IF(AB16=0,"",(Y16-AB16)/ABS(AB16))</f>
        <v>-0.99999458567817501</v>
      </c>
      <c r="AD16" s="61"/>
      <c r="AE16" s="61"/>
    </row>
    <row r="17" spans="2:33" x14ac:dyDescent="0.2">
      <c r="B17" s="3" t="s">
        <v>66</v>
      </c>
      <c r="C17" s="59">
        <f>'VZLA BFS'!C17/'VENEZUELA USD'!$AH$3</f>
        <v>0</v>
      </c>
      <c r="D17" s="28" t="str">
        <f t="shared" si="0"/>
        <v xml:space="preserve"> </v>
      </c>
      <c r="E17" s="59">
        <f>'VZLA BFS'!E17/'VENEZUELA USD'!$AH$3</f>
        <v>0</v>
      </c>
      <c r="F17" s="28">
        <f t="shared" si="1"/>
        <v>0</v>
      </c>
      <c r="G17" s="28" t="str">
        <f t="shared" si="6"/>
        <v/>
      </c>
      <c r="H17" s="55">
        <f>+'VZLA BFS'!H17/'VENEZUELA USD'!$AH$4</f>
        <v>0</v>
      </c>
      <c r="I17" s="28">
        <f t="shared" si="2"/>
        <v>0</v>
      </c>
      <c r="J17" s="28" t="str">
        <f t="shared" si="7"/>
        <v/>
      </c>
      <c r="K17" s="59">
        <f>'VZLA BFS'!K17/'VENEZUELA USD'!$AH$3</f>
        <v>0</v>
      </c>
      <c r="L17" s="28" t="str">
        <f t="shared" si="3"/>
        <v xml:space="preserve"> </v>
      </c>
      <c r="M17" s="59">
        <f>'VZLA BFS'!M17/'VENEZUELA USD'!$AH$3</f>
        <v>0</v>
      </c>
      <c r="N17" s="28"/>
      <c r="O17" s="28" t="str">
        <f t="shared" si="8"/>
        <v/>
      </c>
      <c r="P17" s="55">
        <f>+'VZLA BFS'!P17/'VENEZUELA USD'!$AH$4</f>
        <v>0</v>
      </c>
      <c r="Q17" s="28">
        <f t="shared" si="5"/>
        <v>0</v>
      </c>
      <c r="R17" s="28" t="str">
        <f t="shared" si="9"/>
        <v/>
      </c>
      <c r="S17" s="61"/>
      <c r="T17" s="3" t="s">
        <v>22</v>
      </c>
      <c r="U17" s="59">
        <f>+'VZLA BFS'!U17/'VENEZUELA USD'!$AH$3</f>
        <v>0</v>
      </c>
      <c r="V17" s="59">
        <f>+'VZLA BFS'!V17/'VENEZUELA USD'!$AH$3</f>
        <v>1964.7048984468342</v>
      </c>
      <c r="W17" s="59">
        <f>+'VZLA BFS'!W17/'VENEZUELA USD'!$AH$3</f>
        <v>768634081.48148155</v>
      </c>
      <c r="X17" s="59">
        <f>+'VZLA BFS'!X17/'VENEZUELA USD'!$AH$3</f>
        <v>0</v>
      </c>
      <c r="Y17" s="59">
        <f>+'VZLA BFS'!Y17/'VENEZUELA USD'!$AH$3</f>
        <v>24816.689366786144</v>
      </c>
      <c r="Z17" s="55">
        <f>+Y17-X17</f>
        <v>24816.689366786144</v>
      </c>
      <c r="AA17" s="61" t="str">
        <f>IF(X17=0,"",(Y17-X17)/ABS(X17)+1)</f>
        <v/>
      </c>
      <c r="AB17" s="59">
        <f>+'VZLA BFS'!AB17/'VENEZUELA USD'!$AH$3</f>
        <v>4196872373.7586622</v>
      </c>
      <c r="AC17" s="61">
        <f>IF(AB17=0,"",(Y17-AB17)/ABS(AB17))</f>
        <v>-0.99999408686108204</v>
      </c>
      <c r="AD17" s="61"/>
      <c r="AE17" s="61"/>
    </row>
    <row r="18" spans="2:33" x14ac:dyDescent="0.2">
      <c r="B18" s="3" t="s">
        <v>120</v>
      </c>
      <c r="C18" s="59">
        <f>'VZLA BFS'!C18/'VENEZUELA USD'!$AH$3</f>
        <v>0</v>
      </c>
      <c r="D18" s="28" t="str">
        <f t="shared" si="0"/>
        <v xml:space="preserve"> </v>
      </c>
      <c r="E18" s="59">
        <f>'VZLA BFS'!E18/'VENEZUELA USD'!$AH$3</f>
        <v>0</v>
      </c>
      <c r="F18" s="28">
        <f t="shared" si="1"/>
        <v>0</v>
      </c>
      <c r="G18" s="28" t="str">
        <f t="shared" si="6"/>
        <v/>
      </c>
      <c r="H18" s="55">
        <f>+'VZLA BFS'!H18/'VENEZUELA USD'!$AH$4</f>
        <v>0</v>
      </c>
      <c r="I18" s="28">
        <f t="shared" si="2"/>
        <v>0</v>
      </c>
      <c r="J18" s="28" t="str">
        <f t="shared" si="7"/>
        <v/>
      </c>
      <c r="K18" s="59">
        <f>'VZLA BFS'!K18/'VENEZUELA USD'!$AH$3</f>
        <v>0</v>
      </c>
      <c r="L18" s="28" t="str">
        <f t="shared" si="3"/>
        <v xml:space="preserve"> </v>
      </c>
      <c r="M18" s="59">
        <f>'VZLA BFS'!M18/'VENEZUELA USD'!$AH$3</f>
        <v>0</v>
      </c>
      <c r="N18" s="28"/>
      <c r="O18" s="28" t="str">
        <f t="shared" si="8"/>
        <v/>
      </c>
      <c r="P18" s="55">
        <f>+'VZLA BFS'!P18/'VENEZUELA USD'!$AH$4</f>
        <v>0</v>
      </c>
      <c r="Q18" s="28">
        <f t="shared" si="5"/>
        <v>0</v>
      </c>
      <c r="R18" s="28" t="str">
        <f t="shared" si="9"/>
        <v/>
      </c>
      <c r="S18" s="61"/>
      <c r="U18" s="59">
        <f>+'VZLA BFS'!U18/'VENEZUELA USD'!$AH$3</f>
        <v>0</v>
      </c>
      <c r="AD18" s="61"/>
      <c r="AE18" s="61"/>
    </row>
    <row r="19" spans="2:33" x14ac:dyDescent="0.2">
      <c r="B19" s="3" t="s">
        <v>70</v>
      </c>
      <c r="C19" s="59">
        <f>'VZLA BFS'!C19/'VENEZUELA USD'!$AH$3</f>
        <v>0</v>
      </c>
      <c r="D19" s="28" t="str">
        <f t="shared" si="0"/>
        <v xml:space="preserve"> </v>
      </c>
      <c r="E19" s="59">
        <f>'VZLA BFS'!E19/'VENEZUELA USD'!$AH$3</f>
        <v>0</v>
      </c>
      <c r="F19" s="28">
        <f t="shared" si="1"/>
        <v>0</v>
      </c>
      <c r="G19" s="28" t="str">
        <f t="shared" si="6"/>
        <v/>
      </c>
      <c r="H19" s="55">
        <f>+'VZLA BFS'!H19/'VENEZUELA USD'!$AH$4</f>
        <v>0</v>
      </c>
      <c r="I19" s="28">
        <f t="shared" si="2"/>
        <v>0</v>
      </c>
      <c r="J19" s="28" t="str">
        <f t="shared" si="7"/>
        <v/>
      </c>
      <c r="K19" s="59">
        <f>'VZLA BFS'!K19/'VENEZUELA USD'!$AH$3</f>
        <v>0</v>
      </c>
      <c r="L19" s="28" t="str">
        <f t="shared" si="3"/>
        <v xml:space="preserve"> </v>
      </c>
      <c r="M19" s="59">
        <f>'VZLA BFS'!M19/'VENEZUELA USD'!$AH$3</f>
        <v>0</v>
      </c>
      <c r="N19" s="28"/>
      <c r="O19" s="28" t="str">
        <f t="shared" si="8"/>
        <v/>
      </c>
      <c r="P19" s="55">
        <f>+'VZLA BFS'!P19/'VENEZUELA USD'!$AH$4</f>
        <v>0</v>
      </c>
      <c r="Q19" s="28">
        <f t="shared" si="5"/>
        <v>0</v>
      </c>
      <c r="R19" s="28" t="str">
        <f t="shared" si="9"/>
        <v/>
      </c>
      <c r="S19" s="61"/>
      <c r="T19" s="3" t="s">
        <v>23</v>
      </c>
      <c r="U19" s="59">
        <f>+'VZLA BFS'!U19/'VENEZUELA USD'!$AH$3</f>
        <v>0</v>
      </c>
      <c r="V19" s="59">
        <f>+V11-V17</f>
        <v>4820.6714456391874</v>
      </c>
      <c r="W19" s="59">
        <f>+'VZLA BFS'!W19/'VENEZUELA USD'!$AH$3</f>
        <v>-149963154.12186381</v>
      </c>
      <c r="X19" s="59">
        <f>+'VZLA BFS'!X19/'VENEZUELA USD'!$AH$3</f>
        <v>0</v>
      </c>
      <c r="Y19" s="59">
        <f>Y11-Y17</f>
        <v>9155.1541218638013</v>
      </c>
      <c r="Z19" s="55">
        <f>+Y19-X19</f>
        <v>9155.1541218638013</v>
      </c>
      <c r="AA19" s="61" t="str">
        <f>IF(X19=0,"",(Y19-X19)/ABS(X19)+1)</f>
        <v/>
      </c>
      <c r="AB19" s="59">
        <f>+'VZLA BFS'!AB19/'VENEZUELA USD'!$AH$3</f>
        <v>735383849.12305903</v>
      </c>
      <c r="AC19" s="61">
        <f>IF(AB19=0,"",(Y19-AB19)/ABS(AB19))</f>
        <v>-0.99998755050966537</v>
      </c>
      <c r="AD19" s="61"/>
      <c r="AE19" s="61"/>
      <c r="AG19" s="47"/>
    </row>
    <row r="20" spans="2:33" x14ac:dyDescent="0.2">
      <c r="B20" s="3" t="s">
        <v>24</v>
      </c>
      <c r="C20" s="59">
        <f>'VZLA BFS'!C20/'VENEZUELA USD'!$AH$3</f>
        <v>0</v>
      </c>
      <c r="D20" s="28" t="str">
        <f t="shared" si="0"/>
        <v xml:space="preserve"> </v>
      </c>
      <c r="E20" s="59">
        <f>'VZLA BFS'!E20/'VENEZUELA USD'!$AH$3</f>
        <v>5919.7228195937878</v>
      </c>
      <c r="F20" s="28">
        <f t="shared" si="1"/>
        <v>1</v>
      </c>
      <c r="G20" s="28" t="str">
        <f t="shared" si="6"/>
        <v/>
      </c>
      <c r="H20" s="55">
        <f>+'VZLA BFS'!H20/'VENEZUELA USD'!$AH$4</f>
        <v>2291.649326723063</v>
      </c>
      <c r="I20" s="28">
        <f t="shared" si="2"/>
        <v>1</v>
      </c>
      <c r="J20" s="28">
        <f t="shared" si="7"/>
        <v>1.5831713214423941</v>
      </c>
      <c r="K20" s="59">
        <f>'VZLA BFS'!K20/'VENEZUELA USD'!$AH$3</f>
        <v>0</v>
      </c>
      <c r="L20" s="28" t="str">
        <f t="shared" si="3"/>
        <v xml:space="preserve"> </v>
      </c>
      <c r="M20" s="59">
        <f>'VZLA BFS'!M20/'VENEZUELA USD'!$AH$3</f>
        <v>34351.010752688169</v>
      </c>
      <c r="N20" s="28">
        <f>+M20/$M$20</f>
        <v>1</v>
      </c>
      <c r="O20" s="28" t="str">
        <f t="shared" si="8"/>
        <v/>
      </c>
      <c r="P20" s="55">
        <f>+'VZLA BFS'!P20/'VENEZUELA USD'!$AH$4</f>
        <v>11078.657548825326</v>
      </c>
      <c r="Q20" s="28">
        <f t="shared" si="5"/>
        <v>1</v>
      </c>
      <c r="R20" s="28">
        <f t="shared" si="9"/>
        <v>2.1006474025664255</v>
      </c>
      <c r="S20" s="61"/>
      <c r="T20" s="3"/>
      <c r="U20" s="59">
        <f>+'VZLA BFS'!U20/'VENEZUELA USD'!$AH$3</f>
        <v>0</v>
      </c>
      <c r="V20" s="59"/>
      <c r="W20" s="59"/>
      <c r="X20" s="59"/>
      <c r="Y20" s="59"/>
      <c r="Z20" s="55"/>
      <c r="AA20" s="61"/>
      <c r="AB20" s="59"/>
      <c r="AC20" s="61" t="str">
        <f>IF(AB20=0,"",(Y20-AB20)/ABS(AB20))</f>
        <v/>
      </c>
      <c r="AD20" s="61"/>
      <c r="AE20" s="61"/>
    </row>
    <row r="21" spans="2:33" x14ac:dyDescent="0.2">
      <c r="E21" s="59">
        <f>'VZLA BFS'!E21/'VENEZUELA USD'!$AH$3</f>
        <v>0</v>
      </c>
      <c r="G21" s="28" t="str">
        <f t="shared" si="6"/>
        <v/>
      </c>
      <c r="H21" s="55">
        <f>+'VZLA BFS'!H21/'VENEZUELA USD'!$AH$4</f>
        <v>0</v>
      </c>
      <c r="L21" s="28" t="str">
        <f t="shared" si="3"/>
        <v xml:space="preserve"> </v>
      </c>
      <c r="M21" s="59">
        <f>'VZLA BFS'!M21/'VENEZUELA USD'!$AH$3</f>
        <v>0</v>
      </c>
      <c r="O21" s="28" t="str">
        <f t="shared" si="8"/>
        <v/>
      </c>
      <c r="P21" s="55">
        <f>+'VZLA BFS'!P21/'VENEZUELA USD'!$AH$4</f>
        <v>0</v>
      </c>
      <c r="Q21" s="28">
        <f t="shared" si="5"/>
        <v>0</v>
      </c>
      <c r="R21" s="28" t="str">
        <f t="shared" si="9"/>
        <v/>
      </c>
      <c r="S21" s="61"/>
      <c r="T21" s="3" t="s">
        <v>25</v>
      </c>
      <c r="U21" s="59">
        <f>+'VZLA BFS'!U21/'VENEZUELA USD'!$AH$3</f>
        <v>28273.835125448033</v>
      </c>
      <c r="V21" s="59">
        <f>+V10+V19</f>
        <v>7084.8291517323778</v>
      </c>
      <c r="W21" s="59">
        <f>+'VZLA BFS'!W21/'VENEZUELA USD'!$AH$3</f>
        <v>383173932.16965383</v>
      </c>
      <c r="X21" s="59">
        <f>+'VZLA BFS'!X21/'VENEZUELA USD'!$AH$3</f>
        <v>28273.835125448033</v>
      </c>
      <c r="Y21" s="59">
        <f>+Y10+Y19</f>
        <v>10919.431302270013</v>
      </c>
      <c r="Z21" s="55">
        <f>+Y21-X21</f>
        <v>-17354.403823178021</v>
      </c>
      <c r="AA21" s="61">
        <f>IF(X21=0,"",(Y21-X21)/ABS(X21)+1)</f>
        <v>0.38620269425147469</v>
      </c>
      <c r="AB21" s="59">
        <f>+'VZLA BFS'!AB21/'VENEZUELA USD'!$AH$3</f>
        <v>790171263.33333385</v>
      </c>
      <c r="AC21" s="61">
        <f>IF(AB21=0,"",(Y21-AB21)/ABS(AB21))</f>
        <v>-0.99998618093088298</v>
      </c>
      <c r="AD21" s="61"/>
      <c r="AE21" s="61"/>
      <c r="AG21" s="47"/>
    </row>
    <row r="22" spans="2:33" x14ac:dyDescent="0.2">
      <c r="B22" s="3" t="s">
        <v>26</v>
      </c>
      <c r="C22" s="59">
        <f>'VZLA BFS'!C21/'VENEZUELA USD'!$AH$3</f>
        <v>0</v>
      </c>
      <c r="D22" s="28" t="str">
        <f>IF(DD30&lt;=0," ",C22/$C$20)</f>
        <v xml:space="preserve"> </v>
      </c>
      <c r="E22" s="59">
        <f>'VZLA BFS'!E22/'VENEZUELA USD'!$AH$3</f>
        <v>0</v>
      </c>
      <c r="F22" s="28">
        <f>+E22/$E$20</f>
        <v>0</v>
      </c>
      <c r="G22" s="28" t="str">
        <f t="shared" si="6"/>
        <v/>
      </c>
      <c r="H22" s="55">
        <f>+'VZLA BFS'!H22/'VENEZUELA USD'!$AH$4</f>
        <v>0</v>
      </c>
      <c r="I22" s="28">
        <f>IF($H$20&lt;=0," ",H22/$H$20)</f>
        <v>0</v>
      </c>
      <c r="J22" s="28" t="str">
        <f>IF(E22=0,"",(E22-H22)/ABS(H22))</f>
        <v/>
      </c>
      <c r="K22" s="59">
        <f>'VZLA BFS'!K21/'VENEZUELA USD'!$AH$3</f>
        <v>0</v>
      </c>
      <c r="L22" s="28" t="str">
        <f t="shared" si="3"/>
        <v xml:space="preserve"> </v>
      </c>
      <c r="M22" s="59">
        <f>'VZLA BFS'!M22/'VENEZUELA USD'!$AH$3</f>
        <v>6525.3357228195937</v>
      </c>
      <c r="N22" s="28">
        <f>+M22/$M$20</f>
        <v>0.18996051585786156</v>
      </c>
      <c r="O22" s="28" t="str">
        <f t="shared" si="8"/>
        <v/>
      </c>
      <c r="P22" s="55">
        <f>+'VZLA BFS'!P22/'VENEZUELA USD'!$AH$4</f>
        <v>0</v>
      </c>
      <c r="Q22" s="28">
        <f t="shared" si="5"/>
        <v>0</v>
      </c>
      <c r="R22" s="28" t="e">
        <f t="shared" si="9"/>
        <v>#DIV/0!</v>
      </c>
      <c r="S22" s="61"/>
      <c r="U22" s="59">
        <f>+'VZLA BFS'!U22/'VENEZUELA USD'!$AH$3</f>
        <v>0</v>
      </c>
      <c r="AD22" s="61"/>
      <c r="AE22" s="61"/>
    </row>
    <row r="23" spans="2:33" x14ac:dyDescent="0.2">
      <c r="E23" s="59">
        <f>'VZLA BFS'!E23/'VENEZUELA USD'!$AH$3</f>
        <v>0</v>
      </c>
      <c r="H23" s="55">
        <f>+'VZLA BFS'!H23/'VENEZUELA USD'!$AH$4</f>
        <v>0</v>
      </c>
      <c r="M23" s="59">
        <f>'VZLA BFS'!M23/'VENEZUELA USD'!$AH$3</f>
        <v>0</v>
      </c>
      <c r="P23" s="55">
        <f>+'VZLA BFS'!P23/'VENEZUELA USD'!$AH$4</f>
        <v>0</v>
      </c>
      <c r="S23" s="61"/>
      <c r="T23" s="3" t="s">
        <v>27</v>
      </c>
      <c r="U23" s="59">
        <f>+'VZLA BFS'!U23/'VENEZUELA USD'!$AH$3</f>
        <v>0</v>
      </c>
      <c r="V23" s="59"/>
      <c r="W23" s="59"/>
      <c r="X23" s="59"/>
      <c r="Y23" s="59"/>
      <c r="Z23" s="55">
        <f>+Y23-X23</f>
        <v>0</v>
      </c>
      <c r="AA23" s="61" t="str">
        <f>IF(X23=0,"",(Y23-X23)/ABS(X23)+1)</f>
        <v/>
      </c>
      <c r="AB23" s="59">
        <v>0</v>
      </c>
      <c r="AC23" s="61" t="str">
        <f>IF(AB23=0,"",(Y23-AB23)/ABS(AB23))</f>
        <v/>
      </c>
      <c r="AD23" s="61"/>
      <c r="AE23" s="61"/>
    </row>
    <row r="24" spans="2:33" x14ac:dyDescent="0.2">
      <c r="B24" s="3" t="s">
        <v>28</v>
      </c>
      <c r="C24" s="59">
        <f>'VZLA BFS'!C22/'VENEZUELA USD'!$AH$3</f>
        <v>0</v>
      </c>
      <c r="D24" s="28" t="str">
        <f>IF(DD31&lt;=0," ",C24/$C$20)</f>
        <v xml:space="preserve"> </v>
      </c>
      <c r="E24" s="59">
        <f>'VZLA BFS'!E24/'VENEZUELA USD'!$AH$3</f>
        <v>5919.7228195937878</v>
      </c>
      <c r="F24" s="28">
        <f>+E24/$E$20</f>
        <v>1</v>
      </c>
      <c r="G24" s="28" t="str">
        <f>IF(C24=0,"",(E24-C24)/ABS(C24)+1)</f>
        <v/>
      </c>
      <c r="H24" s="55">
        <f>+'VZLA BFS'!H24/'VENEZUELA USD'!$AH$4</f>
        <v>2291.649326723063</v>
      </c>
      <c r="I24" s="28">
        <f>IF($H$20&lt;=0," ",H24/$H$20)</f>
        <v>1</v>
      </c>
      <c r="J24" s="28">
        <f>IF(E24=0,"",(E24-H24)/ABS(H24))</f>
        <v>1.5831713214423941</v>
      </c>
      <c r="K24" s="59">
        <f>'VZLA BFS'!K22/'VENEZUELA USD'!$AH$3</f>
        <v>0</v>
      </c>
      <c r="L24" s="28" t="str">
        <f>IF($K$20&lt;=0," ",K24/$K$20)</f>
        <v xml:space="preserve"> </v>
      </c>
      <c r="M24" s="59">
        <f>'VZLA BFS'!M24/'VENEZUELA USD'!$AH$3</f>
        <v>27825.675029868577</v>
      </c>
      <c r="N24" s="28">
        <f>+M24/$M$20</f>
        <v>0.81003948414213844</v>
      </c>
      <c r="O24" s="28" t="str">
        <f>IF(K24=0,"",(M24-K24)/ABS(K24)+1)</f>
        <v/>
      </c>
      <c r="P24" s="55">
        <f>+'VZLA BFS'!P24/'VENEZUELA USD'!$AH$4</f>
        <v>11078.657548825326</v>
      </c>
      <c r="Q24" s="28">
        <f>IF($P$20&lt;=0," ",P24/$P$20)</f>
        <v>1</v>
      </c>
      <c r="R24" s="28">
        <f>IF(M24=0,"",(M24-P24)/ABS(P24))</f>
        <v>1.5116468224815689</v>
      </c>
      <c r="S24" s="61"/>
      <c r="U24" s="59">
        <f>+'VZLA BFS'!U24/'VENEZUELA USD'!$AH$3</f>
        <v>0</v>
      </c>
      <c r="AD24" s="61"/>
      <c r="AE24" s="61"/>
    </row>
    <row r="25" spans="2:33" x14ac:dyDescent="0.2">
      <c r="E25" s="59">
        <f>'VZLA BFS'!E25/'VENEZUELA USD'!$AH$3</f>
        <v>0</v>
      </c>
      <c r="H25" s="55">
        <f>+'VZLA BFS'!H25/'VENEZUELA USD'!$AH$4</f>
        <v>0</v>
      </c>
      <c r="M25" s="59">
        <f>'VZLA BFS'!M25/'VENEZUELA USD'!$AH$3</f>
        <v>0</v>
      </c>
      <c r="P25" s="55">
        <f>+'VZLA BFS'!P25/'VENEZUELA USD'!$AH$4</f>
        <v>0</v>
      </c>
      <c r="S25" s="61"/>
      <c r="T25" s="3" t="s">
        <v>29</v>
      </c>
      <c r="U25" s="59">
        <f>+'VZLA BFS'!U25/'VENEZUELA USD'!$AH$3</f>
        <v>0</v>
      </c>
      <c r="V25" s="59">
        <v>1736.09</v>
      </c>
      <c r="W25" s="59">
        <f>+'VZLA BFS'!W25/'VENEZUELA USD'!$AH$3</f>
        <v>178919152.92712069</v>
      </c>
      <c r="X25" s="59">
        <f>+'VZLA BFS'!X25/'VENEZUELA USD'!$AH$3</f>
        <v>0</v>
      </c>
      <c r="Y25" s="59">
        <f>+'VZLA BFS'!Y25/'VENEZUELA USD'!$AH$3</f>
        <v>3974.0525686977303</v>
      </c>
      <c r="Z25" s="55">
        <f>+Y25-X25</f>
        <v>3974.0525686977303</v>
      </c>
      <c r="AA25" s="61" t="str">
        <f>IF(X25=0,"",(Y25-X25)/ABS(X25)+1)</f>
        <v/>
      </c>
      <c r="AB25" s="59">
        <f>+'VZLA BFS'!AB25/'VENEZUELA USD'!$AH$3</f>
        <v>585916484.03703701</v>
      </c>
      <c r="AC25" s="61">
        <f>IF(AB25=0,"",(Y25-AB25)/ABS(AB25))</f>
        <v>-0.9999932173736753</v>
      </c>
    </row>
    <row r="26" spans="2:33" x14ac:dyDescent="0.2">
      <c r="B26" s="3" t="s">
        <v>30</v>
      </c>
      <c r="C26" s="59">
        <f>'VZLA BFS'!C23/'VENEZUELA USD'!$AH$3</f>
        <v>0</v>
      </c>
      <c r="D26" s="28" t="str">
        <f>IF(DD32&lt;=0," ",C26/$C$20)</f>
        <v xml:space="preserve"> </v>
      </c>
      <c r="E26" s="59">
        <f>'VZLA BFS'!E26/'VENEZUELA USD'!$AH$3</f>
        <v>114.86140979689368</v>
      </c>
      <c r="F26" s="28">
        <f>+E26/$E$20</f>
        <v>1.9403173644669987E-2</v>
      </c>
      <c r="G26" s="28" t="str">
        <f>IF(C26=0,"",(E26-C26)/ABS(C26)+1)</f>
        <v/>
      </c>
      <c r="H26" s="55">
        <f>+'VZLA BFS'!H26/'VENEZUELA USD'!$AH$4</f>
        <v>25.534809859489265</v>
      </c>
      <c r="I26" s="28">
        <f>IF($H$20&lt;=0," ",H26/$H$20)</f>
        <v>1.1142546794453359E-2</v>
      </c>
      <c r="J26" s="28">
        <f>IF(E26=0,"",(E26-H26)/ABS(H26))</f>
        <v>3.4982285135054099</v>
      </c>
      <c r="K26" s="59">
        <f>'VZLA BFS'!K23/'VENEZUELA USD'!$AH$3</f>
        <v>0</v>
      </c>
      <c r="L26" s="28" t="str">
        <f>IF($K$20&lt;=0," ",K26/$K$20)</f>
        <v xml:space="preserve"> </v>
      </c>
      <c r="M26" s="59">
        <f>'VZLA BFS'!M26/'VENEZUELA USD'!$AH$3</f>
        <v>585.55436081242544</v>
      </c>
      <c r="N26" s="28">
        <f>+M26/$M$20</f>
        <v>1.7046204696221416E-2</v>
      </c>
      <c r="O26" s="28" t="str">
        <f>IF(K26=0,"",(M26-K26)/ABS(K26)+1)</f>
        <v/>
      </c>
      <c r="P26" s="55">
        <f>+'VZLA BFS'!P26/'VENEZUELA USD'!$AH$4</f>
        <v>158.88709929120415</v>
      </c>
      <c r="Q26" s="28">
        <f>IF($P$20&lt;=0," ",P26/$P$20)</f>
        <v>1.4341728552486128E-2</v>
      </c>
      <c r="R26" s="28">
        <f>IF(M26=0,"",(M26-P26)/ABS(P26))</f>
        <v>2.6853486747796724</v>
      </c>
      <c r="S26" s="61"/>
      <c r="U26" s="59">
        <f>+'VZLA BFS'!U26/'VENEZUELA USD'!$AH$3</f>
        <v>0</v>
      </c>
    </row>
    <row r="27" spans="2:33" x14ac:dyDescent="0.2">
      <c r="B27" s="3" t="s">
        <v>31</v>
      </c>
      <c r="C27" s="59">
        <f>'VZLA BFS'!C24/'VENEZUELA USD'!$AH$3</f>
        <v>0</v>
      </c>
      <c r="D27" s="28" t="str">
        <f>IF(DD33&lt;=0," ",C27/$C$20)</f>
        <v xml:space="preserve"> </v>
      </c>
      <c r="E27" s="59">
        <f>'VZLA BFS'!E27/'VENEZUELA USD'!$AH$3</f>
        <v>357.23416965352453</v>
      </c>
      <c r="F27" s="28">
        <f>+E27/$E$20</f>
        <v>6.0346435220093295E-2</v>
      </c>
      <c r="G27" s="28" t="str">
        <f>IF(C27=0,"",(E27-C27)/ABS(C27)+1)</f>
        <v/>
      </c>
      <c r="H27" s="55">
        <f>+'VZLA BFS'!H27/'VENEZUELA USD'!$AH$4</f>
        <v>258.92107788490114</v>
      </c>
      <c r="I27" s="28">
        <f>IF($H$20&lt;=0," ",H27/$H$20)</f>
        <v>0.11298459797736356</v>
      </c>
      <c r="J27" s="28">
        <f>IF(E27=0,"",(E27-H27)/ABS(H27))</f>
        <v>0.37970292944758544</v>
      </c>
      <c r="K27" s="59">
        <f>'VZLA BFS'!K24/'VENEZUELA USD'!$AH$3</f>
        <v>0</v>
      </c>
      <c r="L27" s="28" t="str">
        <f>IF($K$20&lt;=0," ",K27/$K$20)</f>
        <v xml:space="preserve"> </v>
      </c>
      <c r="M27" s="59">
        <f>'VZLA BFS'!M27/'VENEZUELA USD'!$AH$3</f>
        <v>2910.9498207885308</v>
      </c>
      <c r="N27" s="28">
        <f>+M27/$M$20</f>
        <v>8.4741314942551785E-2</v>
      </c>
      <c r="O27" s="28" t="str">
        <f>IF(K27=0,"",(M27-K27)/ABS(K27)+1)</f>
        <v/>
      </c>
      <c r="P27" s="55">
        <f>+'VZLA BFS'!P27/'VENEZUELA USD'!$AH$4</f>
        <v>2365.8887866596565</v>
      </c>
      <c r="Q27" s="28">
        <f>IF($P$20&lt;=0," ",P27/$P$20)</f>
        <v>0.21355374297227128</v>
      </c>
      <c r="R27" s="28">
        <f>IF(M27=0,"",(M27-P27)/ABS(P27))</f>
        <v>0.23038320195026299</v>
      </c>
      <c r="S27" s="61"/>
      <c r="T27" s="3" t="s">
        <v>32</v>
      </c>
      <c r="U27" s="59">
        <f>+'VZLA BFS'!U27/'VENEZUELA USD'!$AH$3</f>
        <v>0</v>
      </c>
      <c r="V27" s="59"/>
      <c r="W27" s="59"/>
      <c r="X27" s="59">
        <f>+'VZLA BFS'!X27/'VENEZUELA USD'!$AH$3</f>
        <v>0</v>
      </c>
      <c r="Y27" s="59">
        <f>+'VZLA BFS'!Y27/'VENEZUELA USD'!$AH$3</f>
        <v>0</v>
      </c>
      <c r="Z27" s="55">
        <f>+Y27-X27</f>
        <v>0</v>
      </c>
      <c r="AA27" s="61" t="str">
        <f>IF(X27=0,"",(Y27-X27)/ABS(X27)+1)</f>
        <v/>
      </c>
      <c r="AB27" s="59">
        <f>+'VZLA BFS'!AB27/'VENEZUELA USD'!$AH$3</f>
        <v>0</v>
      </c>
      <c r="AC27" s="61" t="str">
        <f>IF(AB27=0,"",(Y27-AB27)/ABS(AB27))</f>
        <v/>
      </c>
    </row>
    <row r="28" spans="2:33" x14ac:dyDescent="0.2">
      <c r="B28" s="3" t="s">
        <v>33</v>
      </c>
      <c r="C28" s="59">
        <f>'VZLA BFS'!C25/'VENEZUELA USD'!$AH$3</f>
        <v>0</v>
      </c>
      <c r="D28" s="28" t="str">
        <f>IF(DD34&lt;=0," ",C28/$C$20)</f>
        <v xml:space="preserve"> </v>
      </c>
      <c r="E28" s="59">
        <f>'VZLA BFS'!E28/'VENEZUELA USD'!$AH$3</f>
        <v>472.0955794504182</v>
      </c>
      <c r="F28" s="28">
        <f>+E28/$E$20</f>
        <v>7.9749608864763274E-2</v>
      </c>
      <c r="G28" s="28" t="str">
        <f>IF(C28=0,"",(E28-C28)/ABS(C28)+1)</f>
        <v/>
      </c>
      <c r="H28" s="55">
        <f>+'VZLA BFS'!H28/'VENEZUELA USD'!$AH$4</f>
        <v>284.4558877443904</v>
      </c>
      <c r="I28" s="28">
        <f>IF($H$20&lt;=0," ",H28/$H$20)</f>
        <v>0.12412714477181691</v>
      </c>
      <c r="J28" s="28">
        <f>IF(E28=0,"",(E28-H28)/ABS(H28))</f>
        <v>0.65964425343390753</v>
      </c>
      <c r="K28" s="59">
        <f>'VZLA BFS'!K25/'VENEZUELA USD'!$AH$3</f>
        <v>0</v>
      </c>
      <c r="L28" s="28" t="str">
        <f>IF($K$20&lt;=0," ",K28/$K$20)</f>
        <v xml:space="preserve"> </v>
      </c>
      <c r="M28" s="59">
        <f>'VZLA BFS'!M28/'VENEZUELA USD'!$AH$3</f>
        <v>3496.5041816009561</v>
      </c>
      <c r="N28" s="28">
        <f>+M28/$M$20</f>
        <v>0.10178751963877319</v>
      </c>
      <c r="O28" s="28" t="str">
        <f>IF(K28=0,"",(M28-K28)/ABS(K28)+1)</f>
        <v/>
      </c>
      <c r="P28" s="55">
        <f>+'VZLA BFS'!P28/'VENEZUELA USD'!$AH$4</f>
        <v>2524.7758859508608</v>
      </c>
      <c r="Q28" s="28">
        <f>IF($P$20&lt;=0," ",P28/$P$20)</f>
        <v>0.22789547152475742</v>
      </c>
      <c r="R28" s="28">
        <f>IF(M28=0,"",(M28-P28)/ABS(P28))</f>
        <v>0.38487705029871627</v>
      </c>
      <c r="S28" s="61"/>
      <c r="T28" s="3" t="s">
        <v>34</v>
      </c>
      <c r="U28" s="59">
        <f>+'VZLA BFS'!U28/'VENEZUELA USD'!$AH$3</f>
        <v>0</v>
      </c>
      <c r="V28" s="59"/>
      <c r="W28" s="59"/>
      <c r="X28" s="59"/>
      <c r="Y28" s="59">
        <f>+'VZLA BFS'!Y28/'VENEZUELA USD'!$AH$3</f>
        <v>0</v>
      </c>
      <c r="Z28" s="55">
        <f>+Y28-X28</f>
        <v>0</v>
      </c>
      <c r="AA28" s="61" t="str">
        <f>IF(X28=0,"",(Y28-X28)/ABS(X28)+1)</f>
        <v/>
      </c>
      <c r="AB28" s="59">
        <f>+'VZLA BFS'!AB28/'VENEZUELA USD'!$AH$3</f>
        <v>0</v>
      </c>
      <c r="AC28" s="61" t="str">
        <f>IF(AB28=0,"",(Y28-AB28)/ABS(AB28))</f>
        <v/>
      </c>
    </row>
    <row r="29" spans="2:33" x14ac:dyDescent="0.2">
      <c r="E29" s="59">
        <f>'VZLA BFS'!E29/'VENEZUELA USD'!$AH$3</f>
        <v>0</v>
      </c>
      <c r="H29" s="55">
        <f>+'VZLA BFS'!H29/'VENEZUELA USD'!$AH$4</f>
        <v>0</v>
      </c>
      <c r="M29" s="59">
        <f>'VZLA BFS'!M29/'VENEZUELA USD'!$AH$3</f>
        <v>0</v>
      </c>
      <c r="P29" s="55">
        <f>+'VZLA BFS'!P29/'VENEZUELA USD'!$AH$4</f>
        <v>0</v>
      </c>
      <c r="S29" s="61"/>
      <c r="U29" s="59">
        <f>+'VZLA BFS'!U29/'VENEZUELA USD'!$AH$3</f>
        <v>0</v>
      </c>
    </row>
    <row r="30" spans="2:33" x14ac:dyDescent="0.2">
      <c r="B30" s="3" t="s">
        <v>35</v>
      </c>
      <c r="C30" s="59">
        <f>'VZLA BFS'!C26/'VENEZUELA USD'!$AH$3</f>
        <v>0</v>
      </c>
      <c r="D30" s="28" t="str">
        <f>IF(DD35&lt;=0," ",C30/$C$20)</f>
        <v xml:space="preserve"> </v>
      </c>
      <c r="E30" s="59">
        <f>'VZLA BFS'!E30/'VENEZUELA USD'!$AH$3</f>
        <v>2160.6690561529272</v>
      </c>
      <c r="F30" s="28">
        <f>+E30/$E$20</f>
        <v>0.36499497054174446</v>
      </c>
      <c r="G30" s="28" t="str">
        <f>IF(C30=0,"",(E30-C30)/ABS(C30)+1)</f>
        <v/>
      </c>
      <c r="H30" s="55">
        <f>+'VZLA BFS'!H30/'VENEZUELA USD'!$AH$4</f>
        <v>863.45770874838013</v>
      </c>
      <c r="I30" s="28">
        <f>IF($H$20&lt;=0," ",H30/$H$20)</f>
        <v>0.37678439658264767</v>
      </c>
      <c r="J30" s="28">
        <f>IF(E30=0,"",(E30-H30)/ABS(H30))</f>
        <v>1.5023449721526163</v>
      </c>
      <c r="K30" s="59">
        <f>'VZLA BFS'!K26/'VENEZUELA USD'!$AH$3</f>
        <v>0</v>
      </c>
      <c r="L30" s="28" t="str">
        <f>IF($K$20&lt;=0," ",K30/$K$20)</f>
        <v xml:space="preserve"> </v>
      </c>
      <c r="M30" s="59">
        <f>'VZLA BFS'!M30/'VENEZUELA USD'!$AH$3</f>
        <v>12709.771804062129</v>
      </c>
      <c r="N30" s="28">
        <f>+M30/$M$20</f>
        <v>0.36999702557711533</v>
      </c>
      <c r="O30" s="28" t="str">
        <f>IF(K30=0,"",(M30-K30)/ABS(K30)+1)</f>
        <v/>
      </c>
      <c r="P30" s="55">
        <f>+'VZLA BFS'!P30/'VENEZUELA USD'!$AH$4</f>
        <v>3913.093536304028</v>
      </c>
      <c r="Q30" s="28">
        <f>IF($P$20&lt;=0," ",P30/$P$20)</f>
        <v>0.35321008155170702</v>
      </c>
      <c r="R30" s="28">
        <f>IF(M30=0,"",(M30-P30)/ABS(P30))</f>
        <v>2.2480112438269719</v>
      </c>
      <c r="S30" s="61"/>
      <c r="T30" s="3" t="s">
        <v>36</v>
      </c>
      <c r="U30" s="59">
        <f>+'VZLA BFS'!U30/'VENEZUELA USD'!$AH$3</f>
        <v>28273.835125448033</v>
      </c>
      <c r="V30" s="59">
        <f>+V21-V25-V23+V27</f>
        <v>5348.7391517323776</v>
      </c>
      <c r="W30" s="59">
        <f>+W21-W25-W23+W27</f>
        <v>204254779.24253315</v>
      </c>
      <c r="X30" s="59">
        <f>+X21-X25-X23-X27</f>
        <v>28273.835125448033</v>
      </c>
      <c r="Y30" s="59">
        <f>+Y21-Y25-Y23+Y27</f>
        <v>6945.3787335722827</v>
      </c>
      <c r="Z30" s="55">
        <f>+Y30-X30</f>
        <v>-21328.456391875749</v>
      </c>
      <c r="AA30" s="61">
        <f>IF(U30=0,"",(V30-U30)/ABS(U30)+1)</f>
        <v>0.18917628712201884</v>
      </c>
      <c r="AB30" s="59">
        <f>+AB21-AB25-AB23-AB27</f>
        <v>204254779.29629683</v>
      </c>
      <c r="AC30" s="61">
        <f>IF(AB30=0,"",(Y30-AB30)/ABS(AB30))</f>
        <v>-0.99996599649341134</v>
      </c>
    </row>
    <row r="31" spans="2:33" x14ac:dyDescent="0.2">
      <c r="B31" s="3" t="s">
        <v>37</v>
      </c>
      <c r="C31" s="59">
        <f>'VZLA BFS'!C27/'VENEZUELA USD'!$AH$3</f>
        <v>0</v>
      </c>
      <c r="D31" s="28" t="str">
        <f>IF(DD36&lt;=0," ",C31/$C$20)</f>
        <v xml:space="preserve"> </v>
      </c>
      <c r="E31" s="59">
        <f>'VZLA BFS'!E31/'VENEZUELA USD'!$AH$3</f>
        <v>405.85424133811233</v>
      </c>
      <c r="F31" s="28">
        <f>+E31/$E$20</f>
        <v>6.855966971878627E-2</v>
      </c>
      <c r="G31" s="28" t="str">
        <f>IF(C31=0,"",(E31-C31)/ABS(C31)+1)</f>
        <v/>
      </c>
      <c r="H31" s="55">
        <f>+'VZLA BFS'!H31/'VENEZUELA USD'!$AH$4</f>
        <v>539.40426640244345</v>
      </c>
      <c r="I31" s="28">
        <f>IF($H$20&lt;=0," ",H31/$H$20)</f>
        <v>0.23537818815139702</v>
      </c>
      <c r="J31" s="28">
        <f>IF(E31=0,"",(E31-H31)/ABS(H31))</f>
        <v>-0.24758800288148064</v>
      </c>
      <c r="K31" s="59">
        <f>'VZLA BFS'!K27/'VENEZUELA USD'!$AH$3</f>
        <v>0</v>
      </c>
      <c r="L31" s="28" t="str">
        <f>IF($K$20&lt;=0," ",K31/$K$20)</f>
        <v xml:space="preserve"> </v>
      </c>
      <c r="M31" s="59">
        <f>'VZLA BFS'!M31/'VENEZUELA USD'!$AH$3</f>
        <v>2624.7885304659494</v>
      </c>
      <c r="N31" s="28">
        <f>+M31/$M$20</f>
        <v>7.6410809258663351E-2</v>
      </c>
      <c r="O31" s="28" t="str">
        <f>IF(K31=0,"",(M31-K31)/ABS(K31)+1)</f>
        <v/>
      </c>
      <c r="P31" s="55">
        <f>+'VZLA BFS'!P31/'VENEZUELA USD'!$AH$4</f>
        <v>2034.9343825334836</v>
      </c>
      <c r="Q31" s="28">
        <f>IF($P$20&lt;=0," ",P31/$P$20)</f>
        <v>0.18368059248742177</v>
      </c>
      <c r="R31" s="28">
        <f>IF(M31=0,"",(M31-P31)/ABS(P31))</f>
        <v>0.28986396465428049</v>
      </c>
      <c r="S31" s="61"/>
      <c r="T31" s="61"/>
      <c r="U31" s="50"/>
    </row>
    <row r="32" spans="2:33" x14ac:dyDescent="0.2">
      <c r="B32" s="3" t="s">
        <v>38</v>
      </c>
      <c r="C32" s="59">
        <f>'VZLA BFS'!C28/'VENEZUELA USD'!$AH$3</f>
        <v>0</v>
      </c>
      <c r="D32" s="28" t="str">
        <f>IF(DD37&lt;=0," ",C32/$C$20)</f>
        <v xml:space="preserve"> </v>
      </c>
      <c r="E32" s="59">
        <f>'VZLA BFS'!E32/'VENEZUELA USD'!$AH$3</f>
        <v>2566.5232974910396</v>
      </c>
      <c r="F32" s="28">
        <f>+E32/$E$20</f>
        <v>0.43355464026053075</v>
      </c>
      <c r="G32" s="28" t="str">
        <f>IF(C32=0,"",(E32-C32)/ABS(C32)+1)</f>
        <v/>
      </c>
      <c r="H32" s="55">
        <f>+'VZLA BFS'!H32/'VENEZUELA USD'!$AH$4</f>
        <v>1402.8619751508236</v>
      </c>
      <c r="I32" s="28">
        <f>IF($H$20&lt;=0," ",H32/$H$20)</f>
        <v>0.61216258473404472</v>
      </c>
      <c r="J32" s="28">
        <f>IF(E32=0,"",(E32-H32)/ABS(H32))</f>
        <v>0.82949095702384346</v>
      </c>
      <c r="K32" s="59">
        <f>'VZLA BFS'!K28/'VENEZUELA USD'!$AH$3</f>
        <v>0</v>
      </c>
      <c r="L32" s="28" t="str">
        <f>IF($K$20&lt;=0," ",K32/$K$20)</f>
        <v xml:space="preserve"> </v>
      </c>
      <c r="M32" s="59">
        <f>'VZLA BFS'!M32/'VENEZUELA USD'!$AH$3</f>
        <v>15334.560334528078</v>
      </c>
      <c r="N32" s="28">
        <f>+M32/$M$20</f>
        <v>0.44640783483577867</v>
      </c>
      <c r="O32" s="28" t="str">
        <f>IF(K32=0,"",(M32-K32)/ABS(K32)+1)</f>
        <v/>
      </c>
      <c r="P32" s="55">
        <f>+'VZLA BFS'!P32/'VENEZUELA USD'!$AH$4</f>
        <v>5948.0279188375116</v>
      </c>
      <c r="Q32" s="28">
        <f>IF($P$20&lt;=0," ",P32/$P$20)</f>
        <v>0.53689067403912882</v>
      </c>
      <c r="R32" s="28">
        <f>IF(M32=0,"",(M32-P32)/ABS(P32))</f>
        <v>1.5780915193695122</v>
      </c>
      <c r="S32" s="61"/>
    </row>
    <row r="33" spans="2:51" x14ac:dyDescent="0.2">
      <c r="E33" s="59">
        <f>'VZLA BFS'!E33/'VENEZUELA USD'!$AH$3</f>
        <v>0</v>
      </c>
      <c r="H33" s="55">
        <f>+'VZLA BFS'!H33/'VENEZUELA USD'!$AH$4</f>
        <v>0</v>
      </c>
      <c r="M33" s="59">
        <f>'VZLA BFS'!M33/'VENEZUELA USD'!$AH$3</f>
        <v>0</v>
      </c>
      <c r="P33" s="55">
        <f>+'VZLA BFS'!P33/'VENEZUELA USD'!$AH$4</f>
        <v>0</v>
      </c>
      <c r="S33" s="61"/>
    </row>
    <row r="34" spans="2:51" x14ac:dyDescent="0.2">
      <c r="B34" s="3" t="s">
        <v>39</v>
      </c>
      <c r="C34" s="59">
        <f>'VZLA BFS'!C29/'VENEZUELA USD'!$AH$3</f>
        <v>0</v>
      </c>
      <c r="D34" s="28" t="str">
        <f>IF(DD38&lt;=0," ",C34/$C$20)</f>
        <v xml:space="preserve"> </v>
      </c>
      <c r="E34" s="59">
        <f>'VZLA BFS'!E34/'VENEZUELA USD'!$AH$3</f>
        <v>3038.6188769414575</v>
      </c>
      <c r="F34" s="28">
        <f>+E34/$E$20</f>
        <v>0.51330424912529404</v>
      </c>
      <c r="G34" s="28" t="str">
        <f>IF(C34=0,"",(E34-C34)/ABS(C34)+1)</f>
        <v/>
      </c>
      <c r="H34" s="55">
        <f>+'VZLA BFS'!H34/'VENEZUELA USD'!$AH$4</f>
        <v>1687.3178628952139</v>
      </c>
      <c r="I34" s="28">
        <f>IF($H$20&lt;=0," ",H34/$H$20)</f>
        <v>0.73628972950586158</v>
      </c>
      <c r="J34" s="28">
        <f>IF(E34=0,"",(E34-H34)/ABS(H34))</f>
        <v>0.80085741030892077</v>
      </c>
      <c r="K34" s="59">
        <f>'VZLA BFS'!K29/'VENEZUELA USD'!$AH$3</f>
        <v>0</v>
      </c>
      <c r="L34" s="28" t="str">
        <f>IF($K$20&lt;=0," ",K34/$K$20)</f>
        <v xml:space="preserve"> </v>
      </c>
      <c r="M34" s="59">
        <f>'VZLA BFS'!M34/'VENEZUELA USD'!$AH$3</f>
        <v>18831.064516129034</v>
      </c>
      <c r="N34" s="28">
        <f>+M34/$M$20</f>
        <v>0.54819535447455192</v>
      </c>
      <c r="O34" s="28" t="str">
        <f>IF(K34=0,"",(M34-K34)/ABS(K34)+1)</f>
        <v/>
      </c>
      <c r="P34" s="55">
        <f>+'VZLA BFS'!P34/'VENEZUELA USD'!$AH$4</f>
        <v>8472.8038047883729</v>
      </c>
      <c r="Q34" s="28">
        <f>IF($P$20&lt;=0," ",P34/$P$20)</f>
        <v>0.76478614556388624</v>
      </c>
      <c r="R34" s="28">
        <f>IF(M34=0,"",(M34-P34)/ABS(P34))</f>
        <v>1.2225304574486582</v>
      </c>
      <c r="S34" s="61"/>
      <c r="AL34" s="2" t="s">
        <v>126</v>
      </c>
      <c r="AT34" s="2" t="s">
        <v>127</v>
      </c>
    </row>
    <row r="35" spans="2:51" ht="15" x14ac:dyDescent="0.25">
      <c r="E35" s="59">
        <f>'VZLA BFS'!E35/'VENEZUELA USD'!$AH$3</f>
        <v>0</v>
      </c>
      <c r="H35" s="55">
        <f>+'VZLA BFS'!H35/'VENEZUELA USD'!$AH$4</f>
        <v>0</v>
      </c>
      <c r="M35" s="59">
        <f>'VZLA BFS'!M35/'VENEZUELA USD'!$AH$3</f>
        <v>0</v>
      </c>
      <c r="P35" s="55">
        <f>+'VZLA BFS'!P35/'VENEZUELA USD'!$AH$4</f>
        <v>0</v>
      </c>
      <c r="S35" s="61"/>
      <c r="AL35" s="93" t="s">
        <v>128</v>
      </c>
      <c r="AM35" s="94">
        <v>1788641</v>
      </c>
      <c r="AN35" s="95"/>
      <c r="AO35" s="95"/>
      <c r="AP35" s="95"/>
      <c r="AQ35" s="95"/>
      <c r="AT35" s="93" t="s">
        <v>128</v>
      </c>
      <c r="AU35" s="94">
        <v>4.71</v>
      </c>
      <c r="AV35" s="95"/>
      <c r="AW35" s="95"/>
      <c r="AX35" s="95"/>
      <c r="AY35" s="95"/>
    </row>
    <row r="36" spans="2:51" ht="15" x14ac:dyDescent="0.25">
      <c r="B36" s="3" t="s">
        <v>40</v>
      </c>
      <c r="C36" s="59">
        <f>'VZLA BFS'!C30/'VENEZUELA USD'!$AH$3</f>
        <v>0</v>
      </c>
      <c r="D36" s="28" t="str">
        <f>IF(DD39&lt;=0," ",C36/$C$20)</f>
        <v xml:space="preserve"> </v>
      </c>
      <c r="E36" s="59">
        <f>'VZLA BFS'!E36/'VENEZUELA USD'!$AH$3</f>
        <v>2881.1039426523303</v>
      </c>
      <c r="F36" s="28">
        <f>+E36/$E$20</f>
        <v>0.48669575087470601</v>
      </c>
      <c r="G36" s="28" t="str">
        <f>IF(C36=0,"",(E36-C36)/ABS(C36)+1)</f>
        <v/>
      </c>
      <c r="H36" s="55">
        <f>+'VZLA BFS'!H36/'VENEZUELA USD'!$AH$4</f>
        <v>604.33146382784935</v>
      </c>
      <c r="I36" s="28">
        <f>IF($H$20&lt;=0," ",H36/$H$20)</f>
        <v>0.26371027049413853</v>
      </c>
      <c r="J36" s="28">
        <f>IF(E36=0,"",(E36-H36)/ABS(H36))</f>
        <v>3.767423367969875</v>
      </c>
      <c r="K36" s="59">
        <f>'VZLA BFS'!K30/'VENEZUELA USD'!$AH$3</f>
        <v>0</v>
      </c>
      <c r="L36" s="28" t="str">
        <f>IF($K$20&lt;=0," ",K36/$K$20)</f>
        <v xml:space="preserve"> </v>
      </c>
      <c r="M36" s="59">
        <f>'VZLA BFS'!M36/'VENEZUELA USD'!$AH$3</f>
        <v>8994.6105137395407</v>
      </c>
      <c r="N36" s="28">
        <f>+M36/$M$20</f>
        <v>0.26184412966758652</v>
      </c>
      <c r="O36" s="28" t="str">
        <f>IF(K36=0,"",(M36-K36)/ABS(K36)+1)</f>
        <v/>
      </c>
      <c r="P36" s="55">
        <f>+'VZLA BFS'!P36/'VENEZUELA USD'!$AH$4</f>
        <v>2605.8537440369537</v>
      </c>
      <c r="Q36" s="28">
        <f>IF($P$20&lt;=0," ",P36/$P$20)</f>
        <v>0.23521385443611381</v>
      </c>
      <c r="R36" s="28">
        <f>IF(M36=0,"",(M36-P36)/ABS(P36))</f>
        <v>2.4516942995446898</v>
      </c>
      <c r="AL36" s="93" t="s">
        <v>129</v>
      </c>
      <c r="AM36" s="94">
        <v>1899023</v>
      </c>
      <c r="AN36" s="95"/>
      <c r="AO36" s="95"/>
      <c r="AP36" s="95"/>
      <c r="AQ36" s="95"/>
      <c r="AT36" s="93" t="s">
        <v>129</v>
      </c>
      <c r="AU36" s="94">
        <v>4.6100000000000003</v>
      </c>
      <c r="AV36" s="95"/>
      <c r="AW36" s="95"/>
      <c r="AX36" s="95"/>
      <c r="AY36" s="95"/>
    </row>
    <row r="37" spans="2:51" ht="13.5" customHeight="1" x14ac:dyDescent="0.25">
      <c r="E37" s="59">
        <f>'VZLA BFS'!E37/'VENEZUELA USD'!$AH$3</f>
        <v>0</v>
      </c>
      <c r="H37" s="55">
        <f>+'VZLA BFS'!H37/'VENEZUELA USD'!$AH$4</f>
        <v>0</v>
      </c>
      <c r="M37" s="59">
        <f>'VZLA BFS'!M37/'VENEZUELA USD'!$AH$3</f>
        <v>0</v>
      </c>
      <c r="P37" s="55">
        <f>+'VZLA BFS'!P37/'VENEZUELA USD'!$AH$4</f>
        <v>0</v>
      </c>
      <c r="AL37" s="93" t="s">
        <v>130</v>
      </c>
      <c r="AM37" s="94">
        <v>2115582</v>
      </c>
      <c r="AN37" s="95"/>
      <c r="AO37" s="95"/>
      <c r="AP37" s="95"/>
      <c r="AQ37" s="95"/>
      <c r="AT37" s="93" t="s">
        <v>130</v>
      </c>
      <c r="AU37" s="94">
        <v>4.4800000000000004</v>
      </c>
      <c r="AV37" s="95"/>
      <c r="AW37" s="95"/>
      <c r="AX37" s="95"/>
      <c r="AY37" s="95"/>
    </row>
    <row r="38" spans="2:51" ht="15" x14ac:dyDescent="0.25">
      <c r="B38" s="3" t="s">
        <v>41</v>
      </c>
      <c r="C38" s="59">
        <f>'VZLA BFS'!C31/'VENEZUELA USD'!$AH$3</f>
        <v>0</v>
      </c>
      <c r="D38" s="28" t="str">
        <f>IF(DD40&lt;=0," ",C38/$C$20)</f>
        <v xml:space="preserve"> </v>
      </c>
      <c r="E38" s="59">
        <f>'VZLA BFS'!E38/'VENEZUELA USD'!$AH$3</f>
        <v>0</v>
      </c>
      <c r="F38" s="28">
        <f>+E38/$E$20</f>
        <v>0</v>
      </c>
      <c r="G38" s="28" t="str">
        <f>IF(C38=0,"",(E38-C38)/ABS(C38)+1)</f>
        <v/>
      </c>
      <c r="H38" s="55">
        <f>+'VZLA BFS'!H38/'VENEZUELA USD'!$AH$4</f>
        <v>0</v>
      </c>
      <c r="I38" s="28">
        <f>IF($H$20&lt;=0," ",H38/$H$20)</f>
        <v>0</v>
      </c>
      <c r="J38" s="28" t="str">
        <f>IF(E38=0,"",(E38-H38)/ABS(H38))</f>
        <v/>
      </c>
      <c r="K38" s="59">
        <f>'VZLA BFS'!K31/'VENEZUELA USD'!$AH$3</f>
        <v>0</v>
      </c>
      <c r="L38" s="28" t="str">
        <f>IF($K$20&lt;=0," ",K38/$K$20)</f>
        <v xml:space="preserve"> </v>
      </c>
      <c r="M38" s="59">
        <f>'VZLA BFS'!M38/'VENEZUELA USD'!$AH$3</f>
        <v>0</v>
      </c>
      <c r="N38" s="28">
        <f>+M38/$M$20</f>
        <v>0</v>
      </c>
      <c r="O38" s="28" t="str">
        <f>IF(K38=0,"",(M38-K38)/ABS(K38)+1)</f>
        <v/>
      </c>
      <c r="P38" s="55">
        <f>+'VZLA BFS'!P38/'VENEZUELA USD'!$AH$4</f>
        <v>0</v>
      </c>
      <c r="Q38" s="28">
        <f>IF($P$20&lt;=0," ",P38/$P$20)</f>
        <v>0</v>
      </c>
      <c r="R38" s="28" t="str">
        <f>IF(M38=0,"",(M38-P38)/ABS(P38))</f>
        <v/>
      </c>
      <c r="AL38" s="93" t="s">
        <v>131</v>
      </c>
      <c r="AM38" s="94">
        <v>2900823</v>
      </c>
      <c r="AN38" s="95"/>
      <c r="AO38" s="95"/>
      <c r="AP38" s="95"/>
      <c r="AQ38" s="95"/>
      <c r="AT38" s="93" t="s">
        <v>131</v>
      </c>
      <c r="AU38" s="94">
        <v>4.57</v>
      </c>
      <c r="AV38" s="95"/>
      <c r="AW38" s="95"/>
      <c r="AX38" s="95"/>
      <c r="AY38" s="95"/>
    </row>
    <row r="39" spans="2:51" ht="15" x14ac:dyDescent="0.25">
      <c r="B39" s="3" t="s">
        <v>42</v>
      </c>
      <c r="C39" s="59">
        <f>'VZLA BFS'!C32/'VENEZUELA USD'!$AH$3</f>
        <v>0</v>
      </c>
      <c r="D39" s="28" t="str">
        <f>IF(DD41&lt;=0," ",C39/$C$20)</f>
        <v xml:space="preserve"> </v>
      </c>
      <c r="E39" s="59">
        <f>'VZLA BFS'!E39/'VENEZUELA USD'!$AH$3</f>
        <v>-36.200716845878141</v>
      </c>
      <c r="F39" s="28">
        <f>+E39/$E$20</f>
        <v>-6.1152722769479669E-3</v>
      </c>
      <c r="G39" s="28" t="str">
        <f>IF(C39=0,"",(E39-C39)/ABS(C39)+1)</f>
        <v/>
      </c>
      <c r="H39" s="55">
        <f>+'VZLA BFS'!H39/'VENEZUELA USD'!$AH$4</f>
        <v>28.880165848735121</v>
      </c>
      <c r="I39" s="28">
        <f>IF($H$20&lt;=0," ",H39/$H$20)</f>
        <v>1.260234954447949E-2</v>
      </c>
      <c r="J39" s="28">
        <f>IF(E39=0,"",(E39-H39)/ABS(H39))</f>
        <v>-2.2534802270695287</v>
      </c>
      <c r="K39" s="59">
        <f>'VZLA BFS'!K32/'VENEZUELA USD'!$AH$3</f>
        <v>0</v>
      </c>
      <c r="L39" s="28" t="str">
        <f>IF($K$20&lt;=0," ",K39/$K$20)</f>
        <v xml:space="preserve"> </v>
      </c>
      <c r="M39" s="59">
        <f>'VZLA BFS'!M39/'VENEZUELA USD'!$AH$3</f>
        <v>366.30824372759861</v>
      </c>
      <c r="N39" s="28">
        <f>+M39/$M$20</f>
        <v>1.0663681670529383E-2</v>
      </c>
      <c r="O39" s="28" t="str">
        <f>IF(K39=0,"",(M39-K39)/ABS(K39)+1)</f>
        <v/>
      </c>
      <c r="P39" s="55">
        <f>+'VZLA BFS'!P39/'VENEZUELA USD'!$AH$4</f>
        <v>149.3883763018475</v>
      </c>
      <c r="Q39" s="28">
        <f>IF($P$20&lt;=0," ",P39/$P$20)</f>
        <v>1.3484339202964822E-2</v>
      </c>
      <c r="R39" s="28">
        <f>IF(M39=0,"",(M39-P39)/ABS(P39))</f>
        <v>1.452053183759441</v>
      </c>
      <c r="AL39" s="93" t="s">
        <v>132</v>
      </c>
      <c r="AM39" s="94">
        <v>3143738</v>
      </c>
      <c r="AN39" s="95"/>
      <c r="AO39" s="95"/>
      <c r="AP39" s="95"/>
      <c r="AQ39" s="95"/>
      <c r="AT39" s="93" t="s">
        <v>132</v>
      </c>
      <c r="AU39" s="94">
        <v>5.14</v>
      </c>
      <c r="AV39" s="95"/>
      <c r="AW39" s="95"/>
      <c r="AX39" s="95"/>
      <c r="AY39" s="95"/>
    </row>
    <row r="40" spans="2:51" ht="15" x14ac:dyDescent="0.25">
      <c r="E40" s="59">
        <f>'VZLA BFS'!E40/'VENEZUELA USD'!$AH$3</f>
        <v>0</v>
      </c>
      <c r="H40" s="55">
        <f>+'VZLA BFS'!H40/'VENEZUELA USD'!$AH$4</f>
        <v>0</v>
      </c>
      <c r="M40" s="59">
        <f>'VZLA BFS'!M40/'VENEZUELA USD'!$AH$3</f>
        <v>0</v>
      </c>
      <c r="P40" s="55">
        <f>+'VZLA BFS'!P40/'VENEZUELA USD'!$AH$4</f>
        <v>0</v>
      </c>
      <c r="AL40" s="93" t="s">
        <v>133</v>
      </c>
      <c r="AM40" s="94">
        <v>3267940</v>
      </c>
      <c r="AN40" s="95"/>
      <c r="AO40" s="95"/>
      <c r="AP40" s="95"/>
      <c r="AQ40" s="95"/>
      <c r="AT40" s="93" t="s">
        <v>133</v>
      </c>
      <c r="AU40" s="94">
        <v>5.78</v>
      </c>
      <c r="AV40" s="95"/>
      <c r="AW40" s="95"/>
      <c r="AX40" s="95"/>
      <c r="AY40" s="95"/>
    </row>
    <row r="41" spans="2:51" ht="15" x14ac:dyDescent="0.25">
      <c r="B41" s="3" t="s">
        <v>43</v>
      </c>
      <c r="C41" s="59">
        <f>'VZLA BFS'!C33/'VENEZUELA USD'!$AH$3</f>
        <v>0</v>
      </c>
      <c r="D41" s="28" t="str">
        <f>IF(DD42&lt;=0," ",C41/$C$20)</f>
        <v xml:space="preserve"> </v>
      </c>
      <c r="E41" s="59">
        <f>'VZLA BFS'!E41/'VENEZUELA USD'!$AH$3</f>
        <v>2917.3046594982088</v>
      </c>
      <c r="F41" s="28">
        <f>+E41/$E$20</f>
        <v>0.49281102315165404</v>
      </c>
      <c r="G41" s="28" t="str">
        <f>IF(C41=0,"",(E41-C41)/ABS(C41)+1)</f>
        <v/>
      </c>
      <c r="H41" s="55">
        <f>+'VZLA BFS'!H41/'VENEZUELA USD'!$AH$4</f>
        <v>575.4512979791142</v>
      </c>
      <c r="I41" s="28">
        <f>IF($H$20&lt;=0," ",H41/$H$20)</f>
        <v>0.251107920949659</v>
      </c>
      <c r="J41" s="28">
        <f>IF(E41=0,"",(E41-H41)/ABS(H41))</f>
        <v>4.0695943683562446</v>
      </c>
      <c r="K41" s="59">
        <f>'VZLA BFS'!K33/'VENEZUELA USD'!$AH$3</f>
        <v>0</v>
      </c>
      <c r="L41" s="28" t="str">
        <f>IF($K$20&lt;=0," ",K41/$K$20)</f>
        <v xml:space="preserve"> </v>
      </c>
      <c r="M41" s="59">
        <f>'VZLA BFS'!M41/'VENEZUELA USD'!$AH$3</f>
        <v>8628.3022700119436</v>
      </c>
      <c r="N41" s="28">
        <f>+M41/$M$20</f>
        <v>0.25118044799705719</v>
      </c>
      <c r="O41" s="28" t="str">
        <f>IF(K41=0,"",(M41-K41)/ABS(K41)+1)</f>
        <v/>
      </c>
      <c r="P41" s="55">
        <f>+'VZLA BFS'!P41/'VENEZUELA USD'!$AH$4</f>
        <v>2456.4653677351062</v>
      </c>
      <c r="Q41" s="28">
        <f>IF($P$20&lt;=0," ",P41/$P$20)</f>
        <v>0.22172951523314899</v>
      </c>
      <c r="R41" s="28">
        <f>IF(M41=0,"",(M41-P41)/ABS(P41))</f>
        <v>2.5124868371205058</v>
      </c>
      <c r="AL41" s="93" t="s">
        <v>134</v>
      </c>
      <c r="AM41" s="94">
        <v>4139112</v>
      </c>
      <c r="AN41" s="95"/>
      <c r="AO41" s="95"/>
      <c r="AP41" s="95"/>
      <c r="AQ41" s="95"/>
      <c r="AT41" s="93" t="s">
        <v>134</v>
      </c>
      <c r="AU41" s="94">
        <v>5.91</v>
      </c>
      <c r="AV41" s="95"/>
      <c r="AW41" s="95"/>
      <c r="AX41" s="95"/>
      <c r="AY41" s="95"/>
    </row>
    <row r="42" spans="2:51" ht="15" x14ac:dyDescent="0.25">
      <c r="B42" s="3" t="s">
        <v>29</v>
      </c>
      <c r="C42" s="59">
        <f>'VZLA BFS'!C34/'VENEZUELA USD'!$AH$3</f>
        <v>0</v>
      </c>
      <c r="D42" s="28" t="str">
        <f>IF(DD43&lt;=0," ",C42/$C$20)</f>
        <v xml:space="preserve"> </v>
      </c>
      <c r="E42" s="59">
        <f>'VZLA BFS'!E42/'VENEZUELA USD'!$AH$3</f>
        <v>0</v>
      </c>
      <c r="F42" s="28">
        <f>+E42/$E$20</f>
        <v>0</v>
      </c>
      <c r="G42" s="28" t="str">
        <f>IF(C42=0,"",(E42-C42)/ABS(C42)+1)</f>
        <v/>
      </c>
      <c r="H42" s="55">
        <f>+'VZLA BFS'!H42/'VENEZUELA USD'!$AH$4</f>
        <v>0</v>
      </c>
      <c r="I42" s="28">
        <f>IF($H$20&lt;=0," ",H42/$H$20)</f>
        <v>0</v>
      </c>
      <c r="J42" s="28" t="str">
        <f>IF(E42=0,"",(E42-H42)/ABS(H42))</f>
        <v/>
      </c>
      <c r="K42" s="59">
        <f>'VZLA BFS'!K34/'VENEZUELA USD'!$AH$3</f>
        <v>0</v>
      </c>
      <c r="L42" s="28" t="str">
        <f>IF($K$20&lt;=0," ",K42/$K$20)</f>
        <v xml:space="preserve"> </v>
      </c>
      <c r="M42" s="59">
        <f>'VZLA BFS'!M42/'VENEZUELA USD'!$AH$3</f>
        <v>0</v>
      </c>
      <c r="N42" s="28">
        <f>+M42/$M$20</f>
        <v>0</v>
      </c>
      <c r="O42" s="28" t="str">
        <f>IF(K42=0,"",(M42-K42)/ABS(K42)+1)</f>
        <v/>
      </c>
      <c r="P42" s="55">
        <f>+'VZLA BFS'!P42/'VENEZUELA USD'!$AH$4</f>
        <v>4.3514361402364292</v>
      </c>
      <c r="Q42" s="28">
        <f>IF($P$20&lt;=0," ",P42/$P$20)</f>
        <v>3.9277648226411813E-4</v>
      </c>
      <c r="R42" s="28" t="str">
        <f>IF(M42=0,"",(M42-P42)/ABS(P42))</f>
        <v/>
      </c>
      <c r="AL42" s="93" t="s">
        <v>135</v>
      </c>
      <c r="AM42" s="94">
        <v>4148043</v>
      </c>
      <c r="AN42" s="95"/>
      <c r="AO42" s="95"/>
      <c r="AP42" s="95"/>
      <c r="AQ42" s="95"/>
      <c r="AT42" s="93" t="s">
        <v>135</v>
      </c>
      <c r="AU42" s="94">
        <v>8.39</v>
      </c>
      <c r="AV42" s="95"/>
      <c r="AW42" s="95"/>
      <c r="AX42" s="95"/>
      <c r="AY42" s="95"/>
    </row>
    <row r="43" spans="2:51" ht="15" x14ac:dyDescent="0.25">
      <c r="B43" s="3" t="s">
        <v>44</v>
      </c>
      <c r="C43" s="59">
        <f>'VZLA BFS'!C35/'VENEZUELA USD'!$AH$3</f>
        <v>0</v>
      </c>
      <c r="D43" s="28" t="str">
        <f>IF(DD44&lt;=0," ",C43/$C$20)</f>
        <v xml:space="preserve"> </v>
      </c>
      <c r="E43" s="59">
        <f>'VZLA BFS'!E43/'VENEZUELA USD'!$AH$3</f>
        <v>2917.3046594982088</v>
      </c>
      <c r="F43" s="28">
        <f>+E43/$E$20</f>
        <v>0.49281102315165404</v>
      </c>
      <c r="G43" s="28" t="str">
        <f>IF(C43=0,"",(E43-C43)/ABS(C43)+1)</f>
        <v/>
      </c>
      <c r="H43" s="55">
        <f>+'VZLA BFS'!H43/'VENEZUELA USD'!$AH$4</f>
        <v>575.4512979791142</v>
      </c>
      <c r="I43" s="28">
        <f>IF($H$20&lt;=0," ",H43/$H$20)</f>
        <v>0.251107920949659</v>
      </c>
      <c r="J43" s="28">
        <f>IF(E43=0,"",(E43-H43)/ABS(H43))</f>
        <v>4.0695943683562446</v>
      </c>
      <c r="K43" s="59">
        <f>'VZLA BFS'!K35/'VENEZUELA USD'!$AH$3</f>
        <v>0</v>
      </c>
      <c r="L43" s="28" t="str">
        <f>IF($K$20&lt;=0," ",K43/$K$20)</f>
        <v xml:space="preserve"> </v>
      </c>
      <c r="M43" s="59">
        <f>'VZLA BFS'!M43/'VENEZUELA USD'!$AH$3</f>
        <v>8628.3022700119436</v>
      </c>
      <c r="N43" s="28">
        <f>+M43/$M$20</f>
        <v>0.25118044799705719</v>
      </c>
      <c r="O43" s="28" t="str">
        <f>IF(K43=0,"",(M43-K43)/ABS(K43)+1)</f>
        <v/>
      </c>
      <c r="P43" s="55">
        <f>+'VZLA BFS'!P43/'VENEZUELA USD'!$AH$4</f>
        <v>2452.1139315948694</v>
      </c>
      <c r="Q43" s="28">
        <f>IF($P$20&lt;=0," ",P43/$P$20)</f>
        <v>0.22133673875088486</v>
      </c>
      <c r="R43" s="28">
        <f>IF(M43=0,"",(M43-P43)/ABS(P43))</f>
        <v>2.5187199741571735</v>
      </c>
      <c r="AL43" s="93" t="s">
        <v>136</v>
      </c>
      <c r="AM43" s="94">
        <v>4549688</v>
      </c>
      <c r="AN43" s="95"/>
      <c r="AO43" s="95"/>
      <c r="AP43" s="95"/>
      <c r="AQ43" s="95"/>
      <c r="AT43" s="93" t="s">
        <v>136</v>
      </c>
      <c r="AU43" s="94">
        <v>8.3699999999999992</v>
      </c>
      <c r="AV43" s="95"/>
      <c r="AW43" s="95"/>
      <c r="AX43" s="95"/>
      <c r="AY43" s="95"/>
    </row>
    <row r="44" spans="2:51" ht="15" x14ac:dyDescent="0.25">
      <c r="E44" s="59">
        <f>'VZLA BFS'!E44/'VENEZUELA USD'!$AH$3</f>
        <v>0</v>
      </c>
      <c r="H44" s="55">
        <f>+'VZLA BFS'!H44/'VENEZUELA USD'!$AH$4</f>
        <v>0</v>
      </c>
      <c r="M44" s="59">
        <f>'VZLA BFS'!M44/'VENEZUELA USD'!$AH$3</f>
        <v>0</v>
      </c>
      <c r="P44" s="55">
        <f>+'VZLA BFS'!P44/'VENEZUELA USD'!$AH$4</f>
        <v>0</v>
      </c>
      <c r="AL44" s="93" t="s">
        <v>137</v>
      </c>
      <c r="AM44" s="94">
        <v>4.5599999999999996</v>
      </c>
      <c r="AN44" s="95"/>
      <c r="AO44" s="95"/>
      <c r="AP44" s="95"/>
      <c r="AQ44" s="95"/>
      <c r="AT44" s="93" t="s">
        <v>137</v>
      </c>
      <c r="AU44" s="94"/>
      <c r="AV44" s="95"/>
      <c r="AW44" s="95"/>
      <c r="AX44" s="95"/>
      <c r="AY44" s="95"/>
    </row>
    <row r="45" spans="2:51" ht="23.25" x14ac:dyDescent="0.25">
      <c r="B45" s="3" t="s">
        <v>45</v>
      </c>
      <c r="C45" s="59">
        <f>'VZLA BFS'!C36/'VENEZUELA USD'!$AH$3</f>
        <v>0</v>
      </c>
      <c r="D45" s="28" t="str">
        <f>IF(DD45&lt;=0," ",C45/$C$20)</f>
        <v xml:space="preserve"> </v>
      </c>
      <c r="E45" s="59">
        <f>'VZLA BFS'!E45/'VENEZUELA USD'!$AH$3</f>
        <v>2917.3046594982088</v>
      </c>
      <c r="F45" s="28">
        <f>+E45/$E$20</f>
        <v>0.49281102315165404</v>
      </c>
      <c r="G45" s="28" t="str">
        <f>IF(C45=0,"",(E45-C45)/ABS(C45)+1)</f>
        <v/>
      </c>
      <c r="H45" s="55">
        <f>+'VZLA BFS'!H45/'VENEZUELA USD'!$AH$4</f>
        <v>575.4512979791142</v>
      </c>
      <c r="I45" s="28">
        <f>IF($H$20&lt;=0," ",H45/$H$20)</f>
        <v>0.251107920949659</v>
      </c>
      <c r="J45" s="28">
        <f>IF(E45=0,"",(E45-H45)/ABS(H45))</f>
        <v>4.0695943683562446</v>
      </c>
      <c r="K45" s="59">
        <f>'VZLA BFS'!K36/'VENEZUELA USD'!$AH$3</f>
        <v>0</v>
      </c>
      <c r="L45" s="28" t="str">
        <f>IF($K$20&lt;=0," ",K45/$K$20)</f>
        <v xml:space="preserve"> </v>
      </c>
      <c r="M45" s="59">
        <f>'VZLA BFS'!M45/'VENEZUELA USD'!$AH$3</f>
        <v>8628.3022700119436</v>
      </c>
      <c r="N45" s="28">
        <f>+M45/$M$20</f>
        <v>0.25118044799705719</v>
      </c>
      <c r="O45" s="28" t="str">
        <f>IF(K45=0,"",(M45-K45)/ABS(K45)+1)</f>
        <v/>
      </c>
      <c r="P45" s="55">
        <f>+'VZLA BFS'!P45/'VENEZUELA USD'!$AH$4</f>
        <v>2452.1139315948694</v>
      </c>
      <c r="Q45" s="28">
        <f>IF($P$20&lt;=0," ",P45/$P$20)</f>
        <v>0.22133673875088486</v>
      </c>
      <c r="R45" s="28">
        <f>IF(M45=0,"",(M45-P45)/ABS(P45))</f>
        <v>2.5187199741571735</v>
      </c>
      <c r="AL45" s="93" t="s">
        <v>138</v>
      </c>
      <c r="AM45" s="94">
        <v>4.99</v>
      </c>
      <c r="AN45" s="95"/>
      <c r="AO45" s="95"/>
      <c r="AP45" s="96" t="s">
        <v>139</v>
      </c>
      <c r="AQ45" s="95" t="s">
        <v>140</v>
      </c>
      <c r="AT45" s="93" t="s">
        <v>138</v>
      </c>
      <c r="AU45" s="94"/>
      <c r="AV45" s="95"/>
      <c r="AW45" s="95"/>
      <c r="AX45" s="96" t="s">
        <v>139</v>
      </c>
      <c r="AY45" s="95" t="s">
        <v>140</v>
      </c>
    </row>
    <row r="46" spans="2:51" ht="15" x14ac:dyDescent="0.25">
      <c r="B46" s="3" t="s">
        <v>20</v>
      </c>
      <c r="C46" s="59">
        <f>'VZLA BFS'!C37/'VENEZUELA USD'!$AH$3</f>
        <v>0</v>
      </c>
      <c r="D46" s="28" t="str">
        <f>IF(DD46&lt;=0," ",C46/$C$20)</f>
        <v xml:space="preserve"> </v>
      </c>
      <c r="E46" s="59">
        <f>'VZLA BFS'!E46/'VENEZUELA USD'!$AH$3</f>
        <v>1308.5782556750298</v>
      </c>
      <c r="F46" s="28">
        <f>+E46/$E$20</f>
        <v>0.22105397424077783</v>
      </c>
      <c r="G46" s="28" t="str">
        <f>IF(C46=0,"",(E46-C46)/ABS(C46)+1)</f>
        <v/>
      </c>
      <c r="H46" s="55">
        <f>+'VZLA BFS'!H46/'VENEZUELA USD'!$AH$4</f>
        <v>531.70584488430859</v>
      </c>
      <c r="I46" s="28">
        <f>IF($H$20&lt;=0," ",H46/$H$20)</f>
        <v>0.23201885152499302</v>
      </c>
      <c r="J46" s="28">
        <f>IF(E46=0,"",(E46-H46)/ABS(H46))</f>
        <v>1.4610943593440415</v>
      </c>
      <c r="K46" s="59">
        <f>'VZLA BFS'!K37/'VENEZUELA USD'!$AH$3</f>
        <v>0</v>
      </c>
      <c r="L46" s="28" t="str">
        <f>IF($K$20&lt;=0," ",K46/$K$20)</f>
        <v xml:space="preserve"> </v>
      </c>
      <c r="M46" s="59">
        <f>'VZLA BFS'!M46/'VENEZUELA USD'!$AH$3</f>
        <v>8227.2293906810046</v>
      </c>
      <c r="N46" s="28">
        <f>+M46/$M$20</f>
        <v>0.239504725200471</v>
      </c>
      <c r="O46" s="28" t="str">
        <f>IF(K46=0,"",(M46-K46)/ABS(K46)+1)</f>
        <v/>
      </c>
      <c r="P46" s="55">
        <f>+'VZLA BFS'!P46/'VENEZUELA USD'!$AH$4</f>
        <v>2629.1372008366288</v>
      </c>
      <c r="Q46" s="28">
        <f>IF($P$20&lt;=0," ",P46/$P$20)</f>
        <v>0.23731550408969879</v>
      </c>
      <c r="R46" s="28">
        <f>IF(M46=0,"",(M46-P46)/ABS(P46))</f>
        <v>2.1292506865229335</v>
      </c>
      <c r="AL46" s="93" t="s">
        <v>141</v>
      </c>
      <c r="AM46" s="94">
        <v>4.6900000000000004</v>
      </c>
      <c r="AN46" s="97">
        <f>1/AM46</f>
        <v>0.21321961620469082</v>
      </c>
      <c r="AO46" s="95" t="s">
        <v>142</v>
      </c>
      <c r="AP46" s="95">
        <v>11272</v>
      </c>
      <c r="AQ46" s="98">
        <f>+AP46*AN46</f>
        <v>2403.4115138592751</v>
      </c>
      <c r="AT46" s="93" t="s">
        <v>141</v>
      </c>
      <c r="AU46" s="94"/>
      <c r="AV46" s="97" t="e">
        <f>1/AU46</f>
        <v>#DIV/0!</v>
      </c>
      <c r="AW46" s="95" t="s">
        <v>142</v>
      </c>
      <c r="AX46" s="95">
        <v>11272</v>
      </c>
      <c r="AY46" s="98" t="e">
        <f>+AX46*AV46</f>
        <v>#DIV/0!</v>
      </c>
    </row>
    <row r="47" spans="2:51" ht="15" x14ac:dyDescent="0.25">
      <c r="E47" s="45"/>
      <c r="M47" s="45"/>
      <c r="P47" s="55" t="e">
        <f>+'VZLA BFS'!P47/'VENEZUELA USD'!$AH$4</f>
        <v>#VALUE!</v>
      </c>
      <c r="AL47" s="95" t="s">
        <v>143</v>
      </c>
      <c r="AM47" s="99">
        <f>AVERAGE(AM35:AM46)</f>
        <v>2329383.6866666665</v>
      </c>
      <c r="AN47" s="97">
        <f>1/AM47</f>
        <v>4.2929810392507461E-7</v>
      </c>
      <c r="AO47" s="95" t="s">
        <v>144</v>
      </c>
      <c r="AP47" s="100">
        <v>11272</v>
      </c>
      <c r="AQ47" s="101">
        <f>+AP47*AN47</f>
        <v>4.8390482274434411E-3</v>
      </c>
      <c r="AT47" s="95" t="s">
        <v>143</v>
      </c>
      <c r="AU47" s="99">
        <f>AVERAGE(AU35:AU46)</f>
        <v>5.7733333333333334</v>
      </c>
      <c r="AV47" s="97">
        <f>1/AU47</f>
        <v>0.17321016166281755</v>
      </c>
      <c r="AW47" s="95" t="s">
        <v>144</v>
      </c>
      <c r="AX47" s="100">
        <v>11272</v>
      </c>
      <c r="AY47" s="101">
        <f>+AX47*AV47</f>
        <v>1952.4249422632795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85328-8066-4253-952E-2895E739601B}">
  <sheetPr>
    <tabColor theme="2" tint="-0.249977111117893"/>
  </sheetPr>
  <dimension ref="A1:AH48"/>
  <sheetViews>
    <sheetView showGridLines="0" topLeftCell="S1" zoomScale="93" zoomScaleNormal="93" workbookViewId="0">
      <selection activeCell="AB22" sqref="AB22"/>
    </sheetView>
  </sheetViews>
  <sheetFormatPr baseColWidth="10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46" customFormat="1" ht="14.25" customHeight="1" x14ac:dyDescent="0.2"/>
    <row r="3" spans="1:34" ht="14.25" customHeight="1" x14ac:dyDescent="0.25">
      <c r="B3" s="13" t="s">
        <v>145</v>
      </c>
      <c r="T3" s="15" t="s">
        <v>145</v>
      </c>
    </row>
    <row r="4" spans="1:34" ht="14.25" customHeight="1" x14ac:dyDescent="0.2">
      <c r="A4" s="71">
        <f>+Paramet!A3</f>
        <v>202101</v>
      </c>
      <c r="B4" s="2" t="s">
        <v>5</v>
      </c>
      <c r="K4" s="102"/>
      <c r="L4" s="102"/>
      <c r="M4" s="102"/>
      <c r="N4" s="102"/>
      <c r="O4" s="102"/>
      <c r="P4" s="102"/>
      <c r="Q4" s="102"/>
      <c r="R4" s="102"/>
      <c r="S4" s="102"/>
      <c r="T4" s="3" t="s">
        <v>6</v>
      </c>
    </row>
    <row r="5" spans="1:34" ht="14.25" customHeight="1" x14ac:dyDescent="0.2">
      <c r="A5" s="71">
        <f>+Paramet!A4</f>
        <v>202109</v>
      </c>
      <c r="B5" s="3" t="s">
        <v>146</v>
      </c>
      <c r="K5" s="10"/>
      <c r="L5" s="10"/>
      <c r="M5" s="20"/>
      <c r="N5" s="20"/>
      <c r="O5" s="7"/>
      <c r="P5" s="10"/>
      <c r="Q5" s="10"/>
      <c r="R5" s="7"/>
      <c r="S5" s="7"/>
      <c r="T5" s="3" t="s">
        <v>146</v>
      </c>
    </row>
    <row r="6" spans="1:34" ht="14.25" customHeight="1" thickBot="1" x14ac:dyDescent="0.25">
      <c r="A6" s="71">
        <f>+Paramet!B3</f>
        <v>202201</v>
      </c>
      <c r="B6" s="17" t="str">
        <f>+'COLOMB$ '!B6</f>
        <v>SEPTIEMBRE de 2022</v>
      </c>
      <c r="K6" s="18" t="s">
        <v>8</v>
      </c>
      <c r="L6" s="18"/>
      <c r="M6" s="18"/>
      <c r="N6" s="18"/>
      <c r="O6" s="18"/>
      <c r="P6" s="18"/>
      <c r="Q6" s="18"/>
      <c r="R6" s="18"/>
      <c r="S6" s="12"/>
      <c r="T6" s="17" t="str">
        <f>+B6</f>
        <v>SEPTIEMBRE de 2022</v>
      </c>
      <c r="X6" s="18" t="s">
        <v>8</v>
      </c>
      <c r="Y6" s="18"/>
      <c r="Z6" s="18"/>
      <c r="AA6" s="18"/>
      <c r="AB6" s="18"/>
      <c r="AC6" s="18"/>
    </row>
    <row r="7" spans="1:34" ht="14.25" customHeight="1" x14ac:dyDescent="0.2">
      <c r="A7" s="71">
        <f>+Paramet!B4</f>
        <v>202209</v>
      </c>
      <c r="B7" s="53"/>
      <c r="C7" s="53" t="str">
        <f>+'COLOMB$ '!D7:D7</f>
        <v>Ppto 2022</v>
      </c>
      <c r="D7" s="53"/>
      <c r="E7" s="53" t="str">
        <f>+'COLOMB$ '!F7:F7</f>
        <v>Real 2022</v>
      </c>
      <c r="F7" s="53"/>
      <c r="G7" s="53" t="s">
        <v>9</v>
      </c>
      <c r="H7" s="53" t="str">
        <f>+'COLOMB$ '!I7:I7</f>
        <v>Real 2021</v>
      </c>
      <c r="I7" s="53"/>
      <c r="J7" s="53" t="s">
        <v>10</v>
      </c>
      <c r="K7" s="53" t="str">
        <f>+C7</f>
        <v>Ppto 2022</v>
      </c>
      <c r="L7" s="53"/>
      <c r="M7" s="53" t="str">
        <f>+E7</f>
        <v>Real 2022</v>
      </c>
      <c r="N7" s="53"/>
      <c r="O7" s="53" t="s">
        <v>9</v>
      </c>
      <c r="P7" s="53" t="str">
        <f>+H7</f>
        <v>Real 2021</v>
      </c>
      <c r="Q7" s="53"/>
      <c r="R7" s="53" t="s">
        <v>10</v>
      </c>
      <c r="T7" s="46"/>
      <c r="U7" s="46" t="str">
        <f>+C7</f>
        <v>Ppto 2022</v>
      </c>
      <c r="V7" s="46" t="str">
        <f>+M7</f>
        <v>Real 2022</v>
      </c>
      <c r="W7" s="46" t="str">
        <f>+H7</f>
        <v>Real 2021</v>
      </c>
      <c r="X7" s="103" t="str">
        <f>+K7</f>
        <v>Ppto 2022</v>
      </c>
      <c r="Y7" s="46" t="str">
        <f>+V7</f>
        <v>Real 2022</v>
      </c>
      <c r="Z7" s="46" t="s">
        <v>11</v>
      </c>
      <c r="AA7" s="46" t="s">
        <v>9</v>
      </c>
      <c r="AB7" s="46" t="str">
        <f>+W7</f>
        <v>Real 2021</v>
      </c>
      <c r="AC7" s="46" t="s">
        <v>10</v>
      </c>
    </row>
    <row r="8" spans="1:34" ht="14.25" customHeight="1" thickBot="1" x14ac:dyDescent="0.25">
      <c r="B8" s="22" t="s">
        <v>12</v>
      </c>
      <c r="C8" s="104" t="s">
        <v>13</v>
      </c>
      <c r="D8" s="104" t="s">
        <v>14</v>
      </c>
      <c r="E8" s="104" t="s">
        <v>13</v>
      </c>
      <c r="F8" s="104" t="s">
        <v>14</v>
      </c>
      <c r="G8" s="104" t="s">
        <v>15</v>
      </c>
      <c r="H8" s="104" t="s">
        <v>13</v>
      </c>
      <c r="I8" s="104" t="s">
        <v>14</v>
      </c>
      <c r="J8" s="104" t="s">
        <v>15</v>
      </c>
      <c r="K8" s="104" t="s">
        <v>13</v>
      </c>
      <c r="L8" s="104" t="s">
        <v>14</v>
      </c>
      <c r="M8" s="104" t="s">
        <v>13</v>
      </c>
      <c r="N8" s="104" t="s">
        <v>14</v>
      </c>
      <c r="O8" s="104" t="s">
        <v>15</v>
      </c>
      <c r="P8" s="104" t="s">
        <v>13</v>
      </c>
      <c r="Q8" s="104" t="s">
        <v>14</v>
      </c>
      <c r="R8" s="104" t="s">
        <v>15</v>
      </c>
      <c r="T8" s="24"/>
      <c r="U8" s="25"/>
      <c r="V8" s="25"/>
      <c r="W8" s="25"/>
      <c r="X8" s="25"/>
      <c r="Y8" s="25"/>
      <c r="Z8" s="25"/>
      <c r="AA8" s="25" t="s">
        <v>15</v>
      </c>
      <c r="AB8" s="25"/>
      <c r="AC8" s="25" t="s">
        <v>15</v>
      </c>
    </row>
    <row r="9" spans="1:34" ht="14.25" customHeight="1" x14ac:dyDescent="0.2">
      <c r="T9" s="3"/>
    </row>
    <row r="10" spans="1:34" ht="14.25" customHeight="1" x14ac:dyDescent="0.2">
      <c r="B10" s="3" t="s">
        <v>55</v>
      </c>
      <c r="C10" s="59">
        <f>+E10</f>
        <v>0</v>
      </c>
      <c r="D10" s="28" t="str">
        <f>IF($C$20&lt;=0," ",C10/$C$20)</f>
        <v xml:space="preserve"> </v>
      </c>
      <c r="E10" s="59">
        <v>0</v>
      </c>
      <c r="F10" s="28" t="str">
        <f>IF($E$20&lt;=0," ",E10/$E$20)</f>
        <v xml:space="preserve"> </v>
      </c>
      <c r="G10" s="28" t="str">
        <f>IF(C10=0,"",(E10-C10)/ABS(C10)+1)</f>
        <v/>
      </c>
      <c r="H10" s="59">
        <v>2100</v>
      </c>
      <c r="I10" s="28" t="str">
        <f>IF(E10=0,"",(G10-E10)/ABS(E10)+1)</f>
        <v/>
      </c>
      <c r="J10" s="28" t="str">
        <f>IF($H$20&lt;=0," ",I10/$H$20)</f>
        <v xml:space="preserve"> </v>
      </c>
      <c r="K10" s="59">
        <f t="shared" ref="K10:K15" si="0">+M10</f>
        <v>0</v>
      </c>
      <c r="L10" s="28" t="str">
        <f>IF($K$20&lt;=0," ",K10/$K$20)</f>
        <v xml:space="preserve"> </v>
      </c>
      <c r="M10" s="59">
        <v>0</v>
      </c>
      <c r="N10" s="28" t="str">
        <f>IF($M$20&lt;=0," ",M10/$M$20)</f>
        <v xml:space="preserve"> </v>
      </c>
      <c r="O10" s="28" t="str">
        <f t="shared" ref="O10:O15" si="1">IF(K10=0,"",(M10-K10)/ABS(K10)+1)</f>
        <v/>
      </c>
      <c r="P10" s="59">
        <v>18900</v>
      </c>
      <c r="Q10" s="28">
        <f t="shared" ref="Q10:Q15" si="2">+P10/$P$20</f>
        <v>1</v>
      </c>
      <c r="R10" s="28">
        <f>IF(P10=0,"",(M10-P10)/ABS(P10))</f>
        <v>-1</v>
      </c>
      <c r="T10" s="3" t="s">
        <v>16</v>
      </c>
      <c r="U10" s="59">
        <f>+V10</f>
        <v>0</v>
      </c>
      <c r="V10" s="59">
        <v>0</v>
      </c>
      <c r="W10" s="59">
        <v>8811.7900000000009</v>
      </c>
      <c r="X10" s="59">
        <f>+Y10</f>
        <v>6929</v>
      </c>
      <c r="Y10" s="59">
        <v>6929</v>
      </c>
      <c r="Z10" s="55">
        <f>+Y10-X10</f>
        <v>0</v>
      </c>
      <c r="AA10" s="61">
        <f>IF(X10=0,"",(Y10-X10)/ABS(X10)+1)</f>
        <v>1</v>
      </c>
      <c r="AB10" s="59">
        <v>9874.7900000000009</v>
      </c>
      <c r="AC10" s="61">
        <f>IF(W10=0,"",(Y10-AB10)/ABS(AB10))</f>
        <v>-0.29831419199800713</v>
      </c>
      <c r="AE10" s="59"/>
      <c r="AF10" s="59"/>
    </row>
    <row r="11" spans="1:34" ht="14.25" customHeight="1" x14ac:dyDescent="0.2">
      <c r="B11" s="3" t="s">
        <v>57</v>
      </c>
      <c r="C11" s="59">
        <v>0</v>
      </c>
      <c r="D11" s="28" t="str">
        <f t="shared" ref="D11:D20" si="3">IF($C$20&lt;=0," ",C11/$C$20)</f>
        <v xml:space="preserve"> </v>
      </c>
      <c r="E11" s="59">
        <v>0</v>
      </c>
      <c r="F11" s="28" t="str">
        <f t="shared" ref="F11:F20" si="4">IF($E$20&lt;=0," ",E11/$E$20)</f>
        <v xml:space="preserve"> </v>
      </c>
      <c r="G11" s="28" t="str">
        <f t="shared" ref="G11:G46" si="5">IF(C11=0,"",(E11-C11)/ABS(C11)+1)</f>
        <v/>
      </c>
      <c r="H11" s="59">
        <v>0</v>
      </c>
      <c r="I11" s="28" t="str">
        <f t="shared" ref="I11:I46" si="6">IF(E11=0,"",(G11-E11)/ABS(E11)+1)</f>
        <v/>
      </c>
      <c r="J11" s="28" t="str">
        <f>IF(H11=0,"",(E11-H11)/ABS(H11))</f>
        <v/>
      </c>
      <c r="K11" s="59">
        <f t="shared" si="0"/>
        <v>0</v>
      </c>
      <c r="L11" s="28" t="str">
        <f t="shared" ref="L11:L20" si="7">IF($K$20&lt;=0," ",K11/$K$20)</f>
        <v xml:space="preserve"> </v>
      </c>
      <c r="M11" s="59">
        <v>0</v>
      </c>
      <c r="N11" s="28" t="str">
        <f t="shared" ref="N11:N24" si="8">IF($M$20&lt;=0," ",M11/$M$20)</f>
        <v xml:space="preserve"> </v>
      </c>
      <c r="O11" s="28" t="str">
        <f t="shared" si="1"/>
        <v/>
      </c>
      <c r="P11" s="59">
        <v>0</v>
      </c>
      <c r="Q11" s="28">
        <f t="shared" si="2"/>
        <v>0</v>
      </c>
      <c r="R11" s="28" t="str">
        <f t="shared" ref="R11:R46" si="9">IF(P11=0,"",(M11-P11)/ABS(P11))</f>
        <v/>
      </c>
      <c r="T11" s="3" t="s">
        <v>17</v>
      </c>
      <c r="U11" s="59">
        <f>+V11</f>
        <v>0</v>
      </c>
      <c r="V11" s="59">
        <v>0</v>
      </c>
      <c r="W11" s="59">
        <v>0</v>
      </c>
      <c r="X11" s="59">
        <f>+Y11</f>
        <v>0</v>
      </c>
      <c r="Y11" s="59">
        <v>0</v>
      </c>
      <c r="Z11" s="55">
        <f>+Y11-X11</f>
        <v>0</v>
      </c>
      <c r="AA11" s="61" t="str">
        <f>IF(X11=0,"",(Y11-X11)/ABS(X11)+1)</f>
        <v/>
      </c>
      <c r="AB11" s="59">
        <v>47375</v>
      </c>
      <c r="AC11" s="61">
        <f>IF(AB11=0,"",(Y11-AB11)/ABS(AB11))</f>
        <v>-1</v>
      </c>
      <c r="AD11" s="60"/>
      <c r="AE11" s="60"/>
      <c r="AF11" s="60"/>
      <c r="AH11" s="47"/>
    </row>
    <row r="12" spans="1:34" ht="14.25" customHeight="1" x14ac:dyDescent="0.2">
      <c r="B12" s="3" t="s">
        <v>59</v>
      </c>
      <c r="C12" s="59">
        <v>0</v>
      </c>
      <c r="D12" s="28" t="str">
        <f t="shared" si="3"/>
        <v xml:space="preserve"> </v>
      </c>
      <c r="E12" s="59">
        <v>0</v>
      </c>
      <c r="F12" s="28" t="str">
        <f t="shared" si="4"/>
        <v xml:space="preserve"> </v>
      </c>
      <c r="G12" s="28" t="str">
        <f t="shared" si="5"/>
        <v/>
      </c>
      <c r="H12" s="59">
        <v>0</v>
      </c>
      <c r="I12" s="28" t="str">
        <f t="shared" si="6"/>
        <v/>
      </c>
      <c r="J12" s="28" t="str">
        <f>IF(H12=0,"",(E12-H12)/ABS(H12))</f>
        <v/>
      </c>
      <c r="K12" s="59">
        <f t="shared" si="0"/>
        <v>0</v>
      </c>
      <c r="L12" s="28" t="str">
        <f t="shared" si="7"/>
        <v xml:space="preserve"> </v>
      </c>
      <c r="M12" s="59">
        <v>0</v>
      </c>
      <c r="N12" s="28" t="str">
        <f t="shared" si="8"/>
        <v xml:space="preserve"> </v>
      </c>
      <c r="O12" s="28" t="str">
        <f t="shared" si="1"/>
        <v/>
      </c>
      <c r="P12" s="59">
        <v>0</v>
      </c>
      <c r="Q12" s="28">
        <f t="shared" si="2"/>
        <v>0</v>
      </c>
      <c r="R12" s="28" t="str">
        <f t="shared" si="9"/>
        <v/>
      </c>
      <c r="AE12" s="60"/>
      <c r="AF12" s="60"/>
    </row>
    <row r="13" spans="1:34" ht="14.25" customHeight="1" x14ac:dyDescent="0.2">
      <c r="B13" s="3" t="s">
        <v>61</v>
      </c>
      <c r="C13" s="59">
        <v>0</v>
      </c>
      <c r="D13" s="28" t="str">
        <f t="shared" si="3"/>
        <v xml:space="preserve"> </v>
      </c>
      <c r="E13" s="59">
        <v>0</v>
      </c>
      <c r="F13" s="28" t="str">
        <f t="shared" si="4"/>
        <v xml:space="preserve"> </v>
      </c>
      <c r="G13" s="28" t="str">
        <f t="shared" si="5"/>
        <v/>
      </c>
      <c r="H13" s="59">
        <v>0</v>
      </c>
      <c r="I13" s="28" t="str">
        <f t="shared" si="6"/>
        <v/>
      </c>
      <c r="J13" s="28" t="str">
        <f>IF(H13=0,"",(E13-H13)/ABS(H13))</f>
        <v/>
      </c>
      <c r="K13" s="59">
        <f t="shared" si="0"/>
        <v>0</v>
      </c>
      <c r="L13" s="28" t="str">
        <f t="shared" si="7"/>
        <v xml:space="preserve"> </v>
      </c>
      <c r="M13" s="59">
        <v>0</v>
      </c>
      <c r="N13" s="28" t="str">
        <f t="shared" si="8"/>
        <v xml:space="preserve"> </v>
      </c>
      <c r="O13" s="28" t="str">
        <f t="shared" si="1"/>
        <v/>
      </c>
      <c r="P13" s="59"/>
      <c r="Q13" s="28">
        <f t="shared" si="2"/>
        <v>0</v>
      </c>
      <c r="R13" s="28" t="str">
        <f t="shared" si="9"/>
        <v/>
      </c>
      <c r="T13" s="3" t="s">
        <v>18</v>
      </c>
      <c r="U13" s="59">
        <v>0</v>
      </c>
      <c r="V13" s="59">
        <v>0</v>
      </c>
      <c r="W13" s="59">
        <v>0</v>
      </c>
      <c r="X13" s="59"/>
      <c r="Y13" s="59"/>
      <c r="Z13" s="55">
        <f>+X13-Y13</f>
        <v>0</v>
      </c>
      <c r="AA13" s="61" t="str">
        <f>IF(X13=0,"",(Y13-X13)/ABS(X13)+1)</f>
        <v/>
      </c>
      <c r="AB13" s="59"/>
      <c r="AC13" s="61" t="str">
        <f>IF(AB13=0,"",(Y13-AB13)/ABS(AB13))</f>
        <v/>
      </c>
      <c r="AE13" s="60"/>
      <c r="AF13" s="60"/>
    </row>
    <row r="14" spans="1:34" ht="14.25" customHeight="1" x14ac:dyDescent="0.2">
      <c r="B14" s="3" t="s">
        <v>62</v>
      </c>
      <c r="C14" s="59">
        <v>0</v>
      </c>
      <c r="D14" s="28" t="str">
        <f t="shared" si="3"/>
        <v xml:space="preserve"> </v>
      </c>
      <c r="E14" s="59">
        <v>0</v>
      </c>
      <c r="F14" s="28" t="str">
        <f t="shared" si="4"/>
        <v xml:space="preserve"> </v>
      </c>
      <c r="G14" s="28" t="str">
        <f t="shared" si="5"/>
        <v/>
      </c>
      <c r="H14" s="59">
        <v>0</v>
      </c>
      <c r="I14" s="28" t="str">
        <f t="shared" si="6"/>
        <v/>
      </c>
      <c r="J14" s="28" t="str">
        <f>IF(H14=0,"",(E14-H14)/ABS(H14))</f>
        <v/>
      </c>
      <c r="K14" s="59">
        <f t="shared" si="0"/>
        <v>0</v>
      </c>
      <c r="L14" s="28" t="str">
        <f t="shared" si="7"/>
        <v xml:space="preserve"> </v>
      </c>
      <c r="M14" s="59">
        <v>0</v>
      </c>
      <c r="N14" s="28" t="str">
        <f t="shared" si="8"/>
        <v xml:space="preserve"> </v>
      </c>
      <c r="O14" s="28" t="str">
        <f t="shared" si="1"/>
        <v/>
      </c>
      <c r="P14" s="59">
        <v>0</v>
      </c>
      <c r="Q14" s="28">
        <f t="shared" si="2"/>
        <v>0</v>
      </c>
      <c r="R14" s="28" t="str">
        <f t="shared" si="9"/>
        <v/>
      </c>
      <c r="T14" s="3" t="s">
        <v>19</v>
      </c>
      <c r="U14" s="59">
        <v>0</v>
      </c>
      <c r="V14" s="59">
        <v>0</v>
      </c>
      <c r="W14" s="59">
        <v>0</v>
      </c>
      <c r="X14" s="59"/>
      <c r="Y14" s="59"/>
      <c r="Z14" s="55">
        <f>+X14-Y14</f>
        <v>0</v>
      </c>
      <c r="AA14" s="61" t="str">
        <f>IF(X14=0,"",(Y14-X14)/ABS(X14)+1)</f>
        <v/>
      </c>
      <c r="AB14" s="59"/>
      <c r="AC14" s="61" t="str">
        <f>IF(AB14=0,"",(Y14-AB14)/ABS(AB14))</f>
        <v/>
      </c>
      <c r="AE14" s="60"/>
      <c r="AF14" s="60"/>
    </row>
    <row r="15" spans="1:34" ht="14.25" customHeight="1" x14ac:dyDescent="0.2">
      <c r="B15" s="3" t="s">
        <v>64</v>
      </c>
      <c r="C15" s="59">
        <v>0</v>
      </c>
      <c r="D15" s="28" t="str">
        <f t="shared" si="3"/>
        <v xml:space="preserve"> </v>
      </c>
      <c r="E15" s="59">
        <v>0</v>
      </c>
      <c r="F15" s="28" t="str">
        <f t="shared" si="4"/>
        <v xml:space="preserve"> </v>
      </c>
      <c r="G15" s="28" t="str">
        <f t="shared" si="5"/>
        <v/>
      </c>
      <c r="H15" s="59">
        <v>0</v>
      </c>
      <c r="I15" s="28" t="str">
        <f t="shared" si="6"/>
        <v/>
      </c>
      <c r="J15" s="28" t="str">
        <f>IF(H15=0,"",(E15-H15)/ABS(H15))</f>
        <v/>
      </c>
      <c r="K15" s="59">
        <f t="shared" si="0"/>
        <v>0</v>
      </c>
      <c r="L15" s="28" t="str">
        <f t="shared" si="7"/>
        <v xml:space="preserve"> </v>
      </c>
      <c r="M15" s="59">
        <v>0</v>
      </c>
      <c r="N15" s="28" t="str">
        <f t="shared" si="8"/>
        <v xml:space="preserve"> </v>
      </c>
      <c r="O15" s="28" t="str">
        <f t="shared" si="1"/>
        <v/>
      </c>
      <c r="P15" s="59">
        <v>0</v>
      </c>
      <c r="Q15" s="28">
        <f t="shared" si="2"/>
        <v>0</v>
      </c>
      <c r="R15" s="28" t="str">
        <f t="shared" si="9"/>
        <v/>
      </c>
      <c r="T15" s="3" t="s">
        <v>20</v>
      </c>
      <c r="U15" s="59"/>
      <c r="V15" s="59">
        <v>0</v>
      </c>
      <c r="W15" s="59">
        <v>0</v>
      </c>
      <c r="X15" s="59"/>
      <c r="Y15" s="59"/>
      <c r="Z15" s="55">
        <f>+X15-Y15</f>
        <v>0</v>
      </c>
      <c r="AA15" s="61" t="str">
        <f>IF(X15=0,"",(Y15-X15)/ABS(X15)+1)</f>
        <v/>
      </c>
      <c r="AB15" s="59"/>
      <c r="AC15" s="61" t="str">
        <f>IF(AB15=0,"",(Y15-AB15)/ABS(AB15))</f>
        <v/>
      </c>
      <c r="AE15" s="60"/>
      <c r="AF15" s="60"/>
    </row>
    <row r="16" spans="1:34" ht="14.25" customHeight="1" x14ac:dyDescent="0.2">
      <c r="B16" s="3" t="s">
        <v>65</v>
      </c>
      <c r="C16" s="59"/>
      <c r="D16" s="28" t="str">
        <f t="shared" si="3"/>
        <v xml:space="preserve"> </v>
      </c>
      <c r="E16" s="59"/>
      <c r="F16" s="28" t="str">
        <f t="shared" si="4"/>
        <v xml:space="preserve"> </v>
      </c>
      <c r="G16" s="28" t="str">
        <f t="shared" si="5"/>
        <v/>
      </c>
      <c r="H16" s="59"/>
      <c r="I16" s="28" t="str">
        <f t="shared" si="6"/>
        <v/>
      </c>
      <c r="J16" s="28"/>
      <c r="K16" s="59"/>
      <c r="L16" s="28" t="str">
        <f t="shared" si="7"/>
        <v xml:space="preserve"> </v>
      </c>
      <c r="M16" s="59"/>
      <c r="N16" s="28" t="str">
        <f t="shared" si="8"/>
        <v xml:space="preserve"> </v>
      </c>
      <c r="O16" s="28"/>
      <c r="P16" s="59"/>
      <c r="Q16" s="28"/>
      <c r="R16" s="28" t="str">
        <f t="shared" si="9"/>
        <v/>
      </c>
      <c r="T16" s="3" t="s">
        <v>21</v>
      </c>
      <c r="U16" s="59">
        <f>+V16</f>
        <v>0</v>
      </c>
      <c r="V16" s="59">
        <v>0</v>
      </c>
      <c r="W16" s="59">
        <v>1934</v>
      </c>
      <c r="X16" s="59">
        <f>+Y16</f>
        <v>3845</v>
      </c>
      <c r="Y16" s="59">
        <v>3845</v>
      </c>
      <c r="Z16" s="55">
        <f>+X16-Y16</f>
        <v>0</v>
      </c>
      <c r="AA16" s="61">
        <f>IF(X16=0,"",(Y16-X16)/ABS(X16)+1)</f>
        <v>1</v>
      </c>
      <c r="AB16" s="59">
        <v>4372</v>
      </c>
      <c r="AC16" s="61">
        <f>IF(AB16=0,"",(Y16-AB16)/ABS(AB16))</f>
        <v>-0.12053979871912168</v>
      </c>
      <c r="AE16" s="60"/>
      <c r="AF16" s="60"/>
    </row>
    <row r="17" spans="1:32" ht="14.25" customHeight="1" x14ac:dyDescent="0.2">
      <c r="B17" s="3" t="s">
        <v>66</v>
      </c>
      <c r="C17" s="59"/>
      <c r="D17" s="28" t="str">
        <f t="shared" si="3"/>
        <v xml:space="preserve"> </v>
      </c>
      <c r="E17" s="59"/>
      <c r="F17" s="28" t="str">
        <f t="shared" si="4"/>
        <v xml:space="preserve"> </v>
      </c>
      <c r="G17" s="28" t="str">
        <f t="shared" si="5"/>
        <v/>
      </c>
      <c r="H17" s="59"/>
      <c r="I17" s="28" t="str">
        <f t="shared" si="6"/>
        <v/>
      </c>
      <c r="J17" s="28"/>
      <c r="K17" s="59"/>
      <c r="L17" s="28" t="str">
        <f t="shared" si="7"/>
        <v xml:space="preserve"> </v>
      </c>
      <c r="M17" s="59"/>
      <c r="N17" s="28" t="str">
        <f t="shared" si="8"/>
        <v xml:space="preserve"> </v>
      </c>
      <c r="O17" s="28"/>
      <c r="P17" s="59"/>
      <c r="Q17" s="28"/>
      <c r="R17" s="28" t="str">
        <f t="shared" si="9"/>
        <v/>
      </c>
      <c r="T17" s="3" t="s">
        <v>22</v>
      </c>
      <c r="U17" s="59">
        <f>SUM(U16)</f>
        <v>0</v>
      </c>
      <c r="V17" s="59">
        <f>+V16</f>
        <v>0</v>
      </c>
      <c r="W17" s="59">
        <v>1934</v>
      </c>
      <c r="X17" s="59">
        <f>SUM(X16)</f>
        <v>3845</v>
      </c>
      <c r="Y17" s="59">
        <f>+Y16</f>
        <v>3845</v>
      </c>
      <c r="Z17" s="55">
        <f>+Y17-X17</f>
        <v>0</v>
      </c>
      <c r="AA17" s="61">
        <f>IF(X17=0,"",(Y17-X17)/ABS(X17)+1)</f>
        <v>1</v>
      </c>
      <c r="AB17" s="59">
        <v>4372</v>
      </c>
      <c r="AC17" s="61">
        <f>IF(AB17=0,"",(Y17-AB17)/ABS(AB17))</f>
        <v>-0.12053979871912168</v>
      </c>
    </row>
    <row r="18" spans="1:32" ht="14.25" customHeight="1" x14ac:dyDescent="0.2">
      <c r="B18" s="3" t="s">
        <v>68</v>
      </c>
      <c r="C18" s="59"/>
      <c r="D18" s="28" t="str">
        <f t="shared" si="3"/>
        <v xml:space="preserve"> </v>
      </c>
      <c r="E18" s="59"/>
      <c r="F18" s="28" t="str">
        <f t="shared" si="4"/>
        <v xml:space="preserve"> </v>
      </c>
      <c r="G18" s="28" t="str">
        <f t="shared" si="5"/>
        <v/>
      </c>
      <c r="H18" s="59"/>
      <c r="I18" s="28" t="str">
        <f t="shared" si="6"/>
        <v/>
      </c>
      <c r="J18" s="28"/>
      <c r="K18" s="59"/>
      <c r="L18" s="28" t="str">
        <f t="shared" si="7"/>
        <v xml:space="preserve"> </v>
      </c>
      <c r="M18" s="59"/>
      <c r="N18" s="28" t="str">
        <f t="shared" si="8"/>
        <v xml:space="preserve"> </v>
      </c>
      <c r="O18" s="28"/>
      <c r="P18" s="59"/>
      <c r="Q18" s="28"/>
      <c r="R18" s="28" t="str">
        <f t="shared" si="9"/>
        <v/>
      </c>
      <c r="AD18" s="60"/>
      <c r="AE18" s="60"/>
      <c r="AF18" s="60"/>
    </row>
    <row r="19" spans="1:32" ht="14.25" customHeight="1" x14ac:dyDescent="0.2">
      <c r="B19" s="3" t="s">
        <v>70</v>
      </c>
      <c r="C19" s="59">
        <f>+E19</f>
        <v>0</v>
      </c>
      <c r="D19" s="28" t="str">
        <f t="shared" si="3"/>
        <v xml:space="preserve"> </v>
      </c>
      <c r="E19" s="59">
        <v>0</v>
      </c>
      <c r="F19" s="28" t="str">
        <f t="shared" si="4"/>
        <v xml:space="preserve"> </v>
      </c>
      <c r="G19" s="28" t="str">
        <f t="shared" si="5"/>
        <v/>
      </c>
      <c r="H19" s="59">
        <v>2100</v>
      </c>
      <c r="I19" s="28" t="str">
        <f t="shared" si="6"/>
        <v/>
      </c>
      <c r="J19" s="28"/>
      <c r="K19" s="59">
        <f>+M19</f>
        <v>0</v>
      </c>
      <c r="L19" s="28" t="str">
        <f t="shared" si="7"/>
        <v xml:space="preserve"> </v>
      </c>
      <c r="M19" s="59">
        <v>0</v>
      </c>
      <c r="N19" s="28" t="str">
        <f t="shared" si="8"/>
        <v xml:space="preserve"> </v>
      </c>
      <c r="O19" s="28"/>
      <c r="P19" s="59">
        <v>18900</v>
      </c>
      <c r="Q19" s="59">
        <f>+P19/$P$20</f>
        <v>1</v>
      </c>
      <c r="R19" s="28">
        <f t="shared" si="9"/>
        <v>-1</v>
      </c>
      <c r="T19" s="3" t="s">
        <v>23</v>
      </c>
      <c r="U19" s="59">
        <f>+U11-U16</f>
        <v>0</v>
      </c>
      <c r="V19" s="59">
        <f>+V11-V16</f>
        <v>0</v>
      </c>
      <c r="W19" s="59">
        <v>-1934</v>
      </c>
      <c r="X19" s="59">
        <f>+X11-X16</f>
        <v>-3845</v>
      </c>
      <c r="Y19" s="59">
        <f>+Y11-Y16</f>
        <v>-3845</v>
      </c>
      <c r="Z19" s="55">
        <f>+Y19-X19</f>
        <v>0</v>
      </c>
      <c r="AA19" s="61">
        <f>IF(X19=0,"",(Y19-X19)/ABS(X19)+1)</f>
        <v>1</v>
      </c>
      <c r="AB19" s="59">
        <v>43003</v>
      </c>
      <c r="AC19" s="61">
        <f>IF(AB19=0,"",(Y19-AB19)/ABS(AB19))</f>
        <v>-1.0894123665790758</v>
      </c>
      <c r="AD19" s="60"/>
      <c r="AE19" s="60"/>
      <c r="AF19" s="60"/>
    </row>
    <row r="20" spans="1:32" ht="14.25" customHeight="1" x14ac:dyDescent="0.2">
      <c r="B20" s="17" t="s">
        <v>24</v>
      </c>
      <c r="C20" s="63">
        <f>SUM(C10:C16)</f>
        <v>0</v>
      </c>
      <c r="D20" s="36" t="str">
        <f t="shared" si="3"/>
        <v xml:space="preserve"> </v>
      </c>
      <c r="E20" s="63">
        <f>SUM(E10:E16)</f>
        <v>0</v>
      </c>
      <c r="F20" s="36" t="str">
        <f t="shared" si="4"/>
        <v xml:space="preserve"> </v>
      </c>
      <c r="G20" s="28" t="str">
        <f t="shared" si="5"/>
        <v/>
      </c>
      <c r="H20" s="63">
        <v>0</v>
      </c>
      <c r="I20" s="28" t="str">
        <f t="shared" si="6"/>
        <v/>
      </c>
      <c r="J20" s="36" t="str">
        <f>IF(H20=0,"",(E20-H20)/ABS(H20))</f>
        <v/>
      </c>
      <c r="K20" s="63">
        <f>SUM(K10:K16)</f>
        <v>0</v>
      </c>
      <c r="L20" s="36" t="str">
        <f t="shared" si="7"/>
        <v xml:space="preserve"> </v>
      </c>
      <c r="M20" s="63">
        <f>SUM(M10:M16)</f>
        <v>0</v>
      </c>
      <c r="N20" s="28" t="str">
        <f t="shared" si="8"/>
        <v xml:space="preserve"> </v>
      </c>
      <c r="O20" s="36" t="str">
        <f>IF(K20=0,"",(M20-K20)/ABS(K20)+1)</f>
        <v/>
      </c>
      <c r="P20" s="63">
        <f>+P10</f>
        <v>18900</v>
      </c>
      <c r="Q20" s="36">
        <f>+P20/$P$20</f>
        <v>1</v>
      </c>
      <c r="R20" s="36">
        <f t="shared" si="9"/>
        <v>-1</v>
      </c>
      <c r="T20" s="3"/>
      <c r="U20" s="59"/>
      <c r="V20" s="59"/>
      <c r="W20" s="59"/>
      <c r="X20" s="59"/>
      <c r="Y20" s="59"/>
      <c r="Z20" s="55"/>
      <c r="AA20" s="61"/>
      <c r="AB20" s="59"/>
      <c r="AC20" s="61"/>
      <c r="AD20" s="60"/>
      <c r="AE20" s="60"/>
      <c r="AF20" s="60"/>
    </row>
    <row r="21" spans="1:32" ht="14.25" customHeight="1" x14ac:dyDescent="0.2">
      <c r="G21" s="28" t="str">
        <f t="shared" si="5"/>
        <v/>
      </c>
      <c r="I21" s="28" t="str">
        <f t="shared" si="6"/>
        <v/>
      </c>
      <c r="N21" s="28" t="str">
        <f t="shared" si="8"/>
        <v xml:space="preserve"> </v>
      </c>
      <c r="R21" s="28" t="str">
        <f t="shared" si="9"/>
        <v/>
      </c>
      <c r="T21" s="3" t="s">
        <v>25</v>
      </c>
      <c r="U21" s="59">
        <f>+U10+U19</f>
        <v>0</v>
      </c>
      <c r="V21" s="59">
        <f>+V10+V19</f>
        <v>0</v>
      </c>
      <c r="W21" s="59">
        <v>6877.7900000000009</v>
      </c>
      <c r="X21" s="59">
        <f>+X10+X19</f>
        <v>3084</v>
      </c>
      <c r="Y21" s="59">
        <f>+Y10+Y19</f>
        <v>3084</v>
      </c>
      <c r="Z21" s="55">
        <f>+Y21-X21</f>
        <v>0</v>
      </c>
      <c r="AA21" s="61">
        <f>IF(X21=0,"",(Y21-X21)/ABS(X21)+1)</f>
        <v>1</v>
      </c>
      <c r="AB21" s="59">
        <v>52877.79</v>
      </c>
      <c r="AC21" s="61">
        <f>IF(AB21=0,"",(Y21-AB21)/ABS(AB21))</f>
        <v>-0.94167683634281996</v>
      </c>
      <c r="AD21" s="60"/>
      <c r="AE21" s="60"/>
      <c r="AF21" s="60"/>
    </row>
    <row r="22" spans="1:32" ht="14.25" customHeight="1" x14ac:dyDescent="0.2">
      <c r="B22" s="3" t="s">
        <v>26</v>
      </c>
      <c r="C22" s="59">
        <v>0</v>
      </c>
      <c r="D22" s="28" t="str">
        <f>IF($C$20&lt;=0," ",C22/$C$20)</f>
        <v xml:space="preserve"> </v>
      </c>
      <c r="E22" s="59">
        <v>0</v>
      </c>
      <c r="F22" s="28" t="str">
        <f>IF($E$20&lt;=0," ",E22/$E$20)</f>
        <v xml:space="preserve"> </v>
      </c>
      <c r="G22" s="28" t="str">
        <f t="shared" si="5"/>
        <v/>
      </c>
      <c r="H22" s="59">
        <v>0</v>
      </c>
      <c r="I22" s="28" t="str">
        <f t="shared" si="6"/>
        <v/>
      </c>
      <c r="J22" s="28" t="str">
        <f>IF(H22=0,"",(E22-H22)/ABS(H22))</f>
        <v/>
      </c>
      <c r="K22" s="59">
        <v>0</v>
      </c>
      <c r="L22" s="28" t="str">
        <f>IF($K$20&lt;=0," ",K22/$K$20)</f>
        <v xml:space="preserve"> </v>
      </c>
      <c r="M22" s="59">
        <f>+M17</f>
        <v>0</v>
      </c>
      <c r="N22" s="28" t="str">
        <f t="shared" si="8"/>
        <v xml:space="preserve"> </v>
      </c>
      <c r="O22" s="28" t="str">
        <f>IF(K22=0,"",(M22-K22)/ABS(K22)+1)</f>
        <v/>
      </c>
      <c r="P22" s="59">
        <v>0</v>
      </c>
      <c r="Q22" s="28">
        <f>+P22/$P$20</f>
        <v>0</v>
      </c>
      <c r="R22" s="28" t="str">
        <f t="shared" si="9"/>
        <v/>
      </c>
      <c r="AD22" s="60"/>
      <c r="AE22" s="60"/>
      <c r="AF22" s="60"/>
    </row>
    <row r="23" spans="1:32" ht="14.25" customHeight="1" x14ac:dyDescent="0.2">
      <c r="G23" s="28" t="str">
        <f t="shared" si="5"/>
        <v/>
      </c>
      <c r="I23" s="28" t="str">
        <f t="shared" si="6"/>
        <v/>
      </c>
      <c r="N23" s="28" t="str">
        <f t="shared" si="8"/>
        <v xml:space="preserve"> </v>
      </c>
      <c r="R23" s="28" t="str">
        <f t="shared" si="9"/>
        <v/>
      </c>
      <c r="T23" s="3" t="s">
        <v>27</v>
      </c>
      <c r="U23" s="59"/>
      <c r="V23" s="59"/>
      <c r="W23" s="59"/>
      <c r="X23" s="59">
        <f>+AD21+U23</f>
        <v>0</v>
      </c>
      <c r="Y23" s="59">
        <f>+V23+AF21</f>
        <v>0</v>
      </c>
      <c r="Z23" s="55">
        <f>+Y23-X23</f>
        <v>0</v>
      </c>
      <c r="AA23" s="61" t="str">
        <f>IF(X23=0,"",(Y23-X23)/ABS(X23)+1)</f>
        <v/>
      </c>
      <c r="AB23" s="59">
        <v>0</v>
      </c>
      <c r="AC23" s="61" t="str">
        <f>IF(AB23=0,"",(Y23-AB23)/ABS(AB23))</f>
        <v/>
      </c>
      <c r="AD23" s="60"/>
      <c r="AE23" s="60"/>
      <c r="AF23" s="60"/>
    </row>
    <row r="24" spans="1:32" ht="14.25" customHeight="1" x14ac:dyDescent="0.2">
      <c r="B24" s="3" t="s">
        <v>28</v>
      </c>
      <c r="C24" s="59">
        <f>+C19</f>
        <v>0</v>
      </c>
      <c r="D24" s="28" t="str">
        <f>IF($C$20&lt;=0," ",C24/$C$20)</f>
        <v xml:space="preserve"> </v>
      </c>
      <c r="E24" s="59">
        <f>+E19</f>
        <v>0</v>
      </c>
      <c r="F24" s="28" t="str">
        <f>IF($E$20&lt;=0," ",E24/$E$20)</f>
        <v xml:space="preserve"> </v>
      </c>
      <c r="G24" s="28" t="str">
        <f t="shared" si="5"/>
        <v/>
      </c>
      <c r="H24" s="59">
        <f>+H19</f>
        <v>2100</v>
      </c>
      <c r="I24" s="28" t="str">
        <f t="shared" si="6"/>
        <v/>
      </c>
      <c r="J24" s="28">
        <f>IF(H24=0,"",(E24-H24)/ABS(H24))</f>
        <v>-1</v>
      </c>
      <c r="K24" s="59">
        <f>+K19</f>
        <v>0</v>
      </c>
      <c r="L24" s="28" t="str">
        <f>IF($K$20&lt;=0," ",K24/$K$20)</f>
        <v xml:space="preserve"> </v>
      </c>
      <c r="M24" s="59">
        <f>+M19</f>
        <v>0</v>
      </c>
      <c r="N24" s="28" t="str">
        <f t="shared" si="8"/>
        <v xml:space="preserve"> </v>
      </c>
      <c r="O24" s="28" t="str">
        <f>IF(K24=0,"",(M24-K24)/ABS(K24)+1)</f>
        <v/>
      </c>
      <c r="P24" s="59">
        <f>+P19</f>
        <v>18900</v>
      </c>
      <c r="Q24" s="28">
        <f>+P24/$P$20</f>
        <v>1</v>
      </c>
      <c r="R24" s="28">
        <f t="shared" si="9"/>
        <v>-1</v>
      </c>
      <c r="AD24" s="60"/>
      <c r="AE24" s="60"/>
      <c r="AF24" s="60"/>
    </row>
    <row r="25" spans="1:32" ht="14.25" customHeight="1" x14ac:dyDescent="0.2">
      <c r="G25" s="28" t="str">
        <f t="shared" si="5"/>
        <v/>
      </c>
      <c r="I25" s="28" t="str">
        <f t="shared" si="6"/>
        <v/>
      </c>
      <c r="R25" s="28" t="str">
        <f t="shared" si="9"/>
        <v/>
      </c>
      <c r="T25" s="3" t="s">
        <v>29</v>
      </c>
      <c r="U25" s="59"/>
      <c r="V25" s="59"/>
      <c r="W25" s="59"/>
      <c r="X25" s="59">
        <f>+AD22+U25</f>
        <v>0</v>
      </c>
      <c r="Y25" s="59">
        <f>+V25+AF22</f>
        <v>0</v>
      </c>
      <c r="Z25" s="55">
        <f>+Y25-X25</f>
        <v>0</v>
      </c>
      <c r="AA25" s="61" t="str">
        <f>IF(X25=0,"",(Y25-X25)/ABS(X25)+1)</f>
        <v/>
      </c>
      <c r="AB25" s="59">
        <v>0</v>
      </c>
      <c r="AC25" s="61" t="str">
        <f>IF(AB25=0,"",(Y25-AB25)/ABS(AB25))</f>
        <v/>
      </c>
      <c r="AD25" s="60"/>
      <c r="AE25" s="60"/>
      <c r="AF25" s="60"/>
    </row>
    <row r="26" spans="1:32" ht="14.25" customHeight="1" x14ac:dyDescent="0.2">
      <c r="B26" s="3" t="s">
        <v>30</v>
      </c>
      <c r="C26" s="59">
        <f>+E26</f>
        <v>0</v>
      </c>
      <c r="D26" s="28" t="str">
        <f>IF($C$20&lt;=0," ",C26/$C$20)</f>
        <v xml:space="preserve"> </v>
      </c>
      <c r="E26" s="59">
        <v>0</v>
      </c>
      <c r="F26" s="28" t="str">
        <f>IF($E$20&lt;=0," ",E26/$E$20)</f>
        <v xml:space="preserve"> </v>
      </c>
      <c r="G26" s="28" t="str">
        <f t="shared" si="5"/>
        <v/>
      </c>
      <c r="H26" s="59">
        <v>0</v>
      </c>
      <c r="I26" s="28" t="str">
        <f t="shared" si="6"/>
        <v/>
      </c>
      <c r="J26" s="28" t="str">
        <f>IF(H26=0,"",(E26-H26)/ABS(H26))</f>
        <v/>
      </c>
      <c r="K26" s="59">
        <f>+K20</f>
        <v>0</v>
      </c>
      <c r="L26" s="28" t="str">
        <f>IF($K$20&lt;=0," ",K26/$K$20)</f>
        <v xml:space="preserve"> </v>
      </c>
      <c r="M26" s="59"/>
      <c r="N26" s="28" t="str">
        <f>IF($M$20&lt;=0," ",M26/$M$20)</f>
        <v xml:space="preserve"> </v>
      </c>
      <c r="O26" s="28" t="str">
        <f>IF(K26=0,"",(M26-K26)/ABS(K26)+1)</f>
        <v/>
      </c>
      <c r="P26" s="59">
        <v>0</v>
      </c>
      <c r="Q26" s="28">
        <f>+P26/$P$20</f>
        <v>0</v>
      </c>
      <c r="R26" s="28" t="str">
        <f t="shared" si="9"/>
        <v/>
      </c>
    </row>
    <row r="27" spans="1:32" ht="14.25" customHeight="1" x14ac:dyDescent="0.2">
      <c r="A27" s="87"/>
      <c r="B27" s="3" t="s">
        <v>31</v>
      </c>
      <c r="C27" s="59">
        <f>+E27</f>
        <v>0</v>
      </c>
      <c r="D27" s="28" t="str">
        <f>IF($C$20&lt;=0," ",C27/$C$20)</f>
        <v xml:space="preserve"> </v>
      </c>
      <c r="E27" s="59">
        <v>0</v>
      </c>
      <c r="F27" s="28" t="str">
        <f>IF($E$20&lt;=0," ",E27/$E$20)</f>
        <v xml:space="preserve"> </v>
      </c>
      <c r="G27" s="28" t="str">
        <f t="shared" si="5"/>
        <v/>
      </c>
      <c r="H27" s="59">
        <v>0</v>
      </c>
      <c r="I27" s="28" t="str">
        <f t="shared" si="6"/>
        <v/>
      </c>
      <c r="J27" s="28" t="str">
        <f>IF(H27=0,"",(E27-H27)/ABS(H27))</f>
        <v/>
      </c>
      <c r="K27" s="59">
        <f>+K22</f>
        <v>0</v>
      </c>
      <c r="L27" s="28" t="str">
        <f>IF($K$20&lt;=0," ",K27/$K$20)</f>
        <v xml:space="preserve"> </v>
      </c>
      <c r="M27" s="59"/>
      <c r="N27" s="28" t="str">
        <f>IF($M$20&lt;=0," ",M27/$M$20)</f>
        <v xml:space="preserve"> </v>
      </c>
      <c r="O27" s="28" t="str">
        <f>IF(K27=0,"",(M27-K27)/ABS(K27)+1)</f>
        <v/>
      </c>
      <c r="P27" s="59">
        <v>0</v>
      </c>
      <c r="Q27" s="28">
        <f>+P27/$P$20</f>
        <v>0</v>
      </c>
      <c r="R27" s="28" t="str">
        <f t="shared" si="9"/>
        <v/>
      </c>
      <c r="T27" s="3" t="s">
        <v>32</v>
      </c>
      <c r="U27" s="59"/>
      <c r="V27" s="59"/>
      <c r="W27" s="59"/>
      <c r="X27" s="59">
        <f>+AD23+U27</f>
        <v>0</v>
      </c>
      <c r="Y27" s="59">
        <f>+AE23+V27</f>
        <v>0</v>
      </c>
      <c r="Z27" s="55">
        <f>+Y27-X27</f>
        <v>0</v>
      </c>
      <c r="AA27" s="61" t="str">
        <f>IF(X27=0,"",(Y27-X27)/ABS(X27)+1)</f>
        <v/>
      </c>
      <c r="AB27" s="59">
        <v>0</v>
      </c>
      <c r="AC27" s="61" t="str">
        <f>IF(AB27=0,"",(Y27-AB27)/ABS(AB27))</f>
        <v/>
      </c>
    </row>
    <row r="28" spans="1:32" ht="14.25" customHeight="1" x14ac:dyDescent="0.2">
      <c r="A28" s="87"/>
      <c r="B28" s="3" t="s">
        <v>33</v>
      </c>
      <c r="C28" s="59">
        <f>SUM(C26:C27)</f>
        <v>0</v>
      </c>
      <c r="D28" s="28" t="str">
        <f>IF($C$20&lt;=0," ",C28/$C$20)</f>
        <v xml:space="preserve"> </v>
      </c>
      <c r="E28" s="59">
        <f>SUM(E26:E27)</f>
        <v>0</v>
      </c>
      <c r="F28" s="28" t="str">
        <f>IF($E$20&lt;=0," ",E28/$E$20)</f>
        <v xml:space="preserve"> </v>
      </c>
      <c r="G28" s="28" t="str">
        <f t="shared" si="5"/>
        <v/>
      </c>
      <c r="H28" s="59">
        <f>SUM(H26:H27)</f>
        <v>0</v>
      </c>
      <c r="I28" s="28" t="str">
        <f t="shared" si="6"/>
        <v/>
      </c>
      <c r="J28" s="28" t="str">
        <f>IF(H28=0,"",(E28-H28)/ABS(H28))</f>
        <v/>
      </c>
      <c r="K28" s="59">
        <f>+K24</f>
        <v>0</v>
      </c>
      <c r="L28" s="28" t="str">
        <f>IF($K$20&lt;=0," ",K28/$K$20)</f>
        <v xml:space="preserve"> </v>
      </c>
      <c r="M28" s="59"/>
      <c r="N28" s="28" t="str">
        <f>IF($M$20&lt;=0," ",M28/$M$20)</f>
        <v xml:space="preserve"> </v>
      </c>
      <c r="O28" s="28" t="str">
        <f>IF(K28=0,"",(M28-K28)/ABS(K28)+1)</f>
        <v/>
      </c>
      <c r="P28" s="59">
        <f>+P27+P26</f>
        <v>0</v>
      </c>
      <c r="Q28" s="28">
        <f>+P28/$P$20</f>
        <v>0</v>
      </c>
      <c r="R28" s="28" t="str">
        <f t="shared" si="9"/>
        <v/>
      </c>
      <c r="T28" s="3" t="s">
        <v>147</v>
      </c>
      <c r="U28" s="59">
        <f>+V28</f>
        <v>0</v>
      </c>
      <c r="V28" s="59">
        <v>0</v>
      </c>
      <c r="W28" s="59">
        <v>0</v>
      </c>
      <c r="X28" s="59">
        <f>+Y28</f>
        <v>0</v>
      </c>
      <c r="Y28" s="59">
        <v>0</v>
      </c>
      <c r="Z28" s="55">
        <f>+Y28-X28</f>
        <v>0</v>
      </c>
      <c r="AA28" s="61" t="str">
        <f>IF(X28=0,"",(Y28-X28)/ABS(X28)+1)</f>
        <v/>
      </c>
      <c r="AB28" s="59">
        <v>46000</v>
      </c>
      <c r="AC28" s="61">
        <f>IF(AB28=0,"",(Y28-AB28)/ABS(AB28))</f>
        <v>-1</v>
      </c>
      <c r="AD28" s="47"/>
    </row>
    <row r="29" spans="1:32" ht="14.25" customHeight="1" x14ac:dyDescent="0.2">
      <c r="A29" s="87"/>
      <c r="G29" s="28" t="str">
        <f t="shared" si="5"/>
        <v/>
      </c>
      <c r="I29" s="28" t="str">
        <f t="shared" si="6"/>
        <v/>
      </c>
      <c r="R29" s="28" t="str">
        <f t="shared" si="9"/>
        <v/>
      </c>
    </row>
    <row r="30" spans="1:32" ht="14.25" customHeight="1" x14ac:dyDescent="0.2">
      <c r="A30" s="87"/>
      <c r="B30" s="3" t="s">
        <v>35</v>
      </c>
      <c r="C30" s="59">
        <f>+E30</f>
        <v>0</v>
      </c>
      <c r="D30" s="28" t="str">
        <f>IF($C$20&lt;=0," ",C30/$C$20)</f>
        <v xml:space="preserve"> </v>
      </c>
      <c r="E30" s="59"/>
      <c r="F30" s="28" t="str">
        <f>IF($E$20&lt;=0," ",E30/$E$20)</f>
        <v xml:space="preserve"> </v>
      </c>
      <c r="G30" s="28" t="str">
        <f t="shared" si="5"/>
        <v/>
      </c>
      <c r="H30" s="59"/>
      <c r="I30" s="28" t="str">
        <f t="shared" si="6"/>
        <v/>
      </c>
      <c r="J30" s="28" t="str">
        <f>IF(H30=0,"",(E30-H30)/ABS(H30))</f>
        <v/>
      </c>
      <c r="K30" s="59">
        <f>+K26</f>
        <v>0</v>
      </c>
      <c r="L30" s="28" t="str">
        <f>IF($K$20&lt;=0," ",K30/$K$20)</f>
        <v xml:space="preserve"> </v>
      </c>
      <c r="M30" s="59"/>
      <c r="N30" s="28" t="str">
        <f>IF($M$20&lt;=0," ",M30/$M$20)</f>
        <v xml:space="preserve"> </v>
      </c>
      <c r="O30" s="28" t="str">
        <f>IF(K30=0,"",(M30-K30)/ABS(K30)+1)</f>
        <v/>
      </c>
      <c r="P30" s="59"/>
      <c r="Q30" s="28">
        <f>+P30/$P$20</f>
        <v>0</v>
      </c>
      <c r="R30" s="28" t="str">
        <f t="shared" si="9"/>
        <v/>
      </c>
      <c r="T30" s="17" t="s">
        <v>36</v>
      </c>
      <c r="U30" s="63">
        <f>U21-U23-U25-U27-U28</f>
        <v>0</v>
      </c>
      <c r="V30" s="63">
        <f>V21-V23-V25-V27-V28</f>
        <v>0</v>
      </c>
      <c r="W30" s="63">
        <v>6877.7900000000009</v>
      </c>
      <c r="X30" s="63">
        <f>X21-X23-X25-X27-X28</f>
        <v>3084</v>
      </c>
      <c r="Y30" s="63">
        <f>Y21-Y23-Y25-Y27-Y28</f>
        <v>3084</v>
      </c>
      <c r="Z30" s="65">
        <f>V30-U30</f>
        <v>0</v>
      </c>
      <c r="AA30" s="66" t="str">
        <f>IF(U30=0,"",(V30-U30)/ABS(U30)+1)</f>
        <v/>
      </c>
      <c r="AB30" s="63">
        <v>6877.7900000000009</v>
      </c>
      <c r="AC30" s="66">
        <f>IF(W30=0,"",(V30-W30)/ABS(W30))</f>
        <v>-1</v>
      </c>
    </row>
    <row r="31" spans="1:32" ht="14.25" customHeight="1" x14ac:dyDescent="0.2">
      <c r="A31" s="87"/>
      <c r="B31" s="3" t="s">
        <v>148</v>
      </c>
      <c r="C31" s="59">
        <f>+E31</f>
        <v>0</v>
      </c>
      <c r="D31" s="28" t="str">
        <f>IF($C$20&lt;=0," ",C31/$C$20)</f>
        <v xml:space="preserve"> </v>
      </c>
      <c r="E31" s="59">
        <v>0</v>
      </c>
      <c r="F31" s="28" t="str">
        <f>IF($E$20&lt;=0," ",E31/$E$20)</f>
        <v xml:space="preserve"> </v>
      </c>
      <c r="G31" s="28" t="str">
        <f t="shared" si="5"/>
        <v/>
      </c>
      <c r="H31" s="59">
        <v>0</v>
      </c>
      <c r="I31" s="28" t="str">
        <f t="shared" si="6"/>
        <v/>
      </c>
      <c r="J31" s="28" t="str">
        <f>IF(H31=0,"",(E31-H31)/ABS(H31))</f>
        <v/>
      </c>
      <c r="K31" s="59">
        <f>+K27</f>
        <v>0</v>
      </c>
      <c r="L31" s="28" t="str">
        <f>IF($K$20&lt;=0," ",K31/$K$20)</f>
        <v xml:space="preserve"> </v>
      </c>
      <c r="M31" s="59">
        <v>3795</v>
      </c>
      <c r="N31" s="28" t="str">
        <f>IF($M$20&lt;=0," ",M31/$M$20)</f>
        <v xml:space="preserve"> </v>
      </c>
      <c r="O31" s="28" t="str">
        <f>IF(K31=0,"",(M31-K31)/ABS(K31)+1)</f>
        <v/>
      </c>
      <c r="P31" s="59">
        <v>0</v>
      </c>
      <c r="Q31" s="28">
        <f>+P31/$P$20</f>
        <v>0</v>
      </c>
      <c r="R31" s="28" t="str">
        <f t="shared" si="9"/>
        <v/>
      </c>
    </row>
    <row r="32" spans="1:32" ht="14.25" customHeight="1" x14ac:dyDescent="0.2">
      <c r="A32" s="87"/>
      <c r="B32" s="3" t="s">
        <v>38</v>
      </c>
      <c r="C32" s="59">
        <f>SUM(C30:C31)</f>
        <v>0</v>
      </c>
      <c r="D32" s="28" t="str">
        <f>IF($C$20&lt;=0," ",C32/$C$20)</f>
        <v xml:space="preserve"> </v>
      </c>
      <c r="E32" s="59">
        <f>SUM(E30:E31)</f>
        <v>0</v>
      </c>
      <c r="F32" s="28" t="str">
        <f>IF($E$20&lt;=0," ",E32/$E$20)</f>
        <v xml:space="preserve"> </v>
      </c>
      <c r="G32" s="28" t="str">
        <f t="shared" si="5"/>
        <v/>
      </c>
      <c r="H32" s="59">
        <f>SUM(H30:H31)</f>
        <v>0</v>
      </c>
      <c r="I32" s="28" t="str">
        <f t="shared" si="6"/>
        <v/>
      </c>
      <c r="J32" s="28" t="str">
        <f>IF(H32=0,"",(E32-H32)/ABS(H32))</f>
        <v/>
      </c>
      <c r="K32" s="59">
        <f>+K28</f>
        <v>0</v>
      </c>
      <c r="L32" s="28" t="str">
        <f>IF($K$20&lt;=0," ",K32/$K$20)</f>
        <v xml:space="preserve"> </v>
      </c>
      <c r="M32" s="59">
        <f>SUM(M30:M31)</f>
        <v>3795</v>
      </c>
      <c r="N32" s="28" t="str">
        <f>IF($M$20&lt;=0," ",M32/$M$20)</f>
        <v xml:space="preserve"> </v>
      </c>
      <c r="O32" s="28" t="str">
        <f>IF(K32=0,"",(M32-K32)/ABS(K32)+1)</f>
        <v/>
      </c>
      <c r="P32" s="59">
        <f>+P31</f>
        <v>0</v>
      </c>
      <c r="Q32" s="28">
        <f>+P32/$P$20</f>
        <v>0</v>
      </c>
      <c r="R32" s="28" t="str">
        <f t="shared" si="9"/>
        <v/>
      </c>
    </row>
    <row r="33" spans="1:20" ht="14.25" customHeight="1" x14ac:dyDescent="0.2">
      <c r="A33" s="87"/>
      <c r="G33" s="28" t="str">
        <f t="shared" si="5"/>
        <v/>
      </c>
      <c r="I33" s="28" t="str">
        <f t="shared" si="6"/>
        <v/>
      </c>
      <c r="R33" s="28" t="str">
        <f t="shared" si="9"/>
        <v/>
      </c>
    </row>
    <row r="34" spans="1:20" ht="14.25" customHeight="1" x14ac:dyDescent="0.2">
      <c r="A34" s="87"/>
      <c r="B34" s="3" t="s">
        <v>39</v>
      </c>
      <c r="C34" s="59">
        <f>C28+C32</f>
        <v>0</v>
      </c>
      <c r="D34" s="28" t="str">
        <f>IF($C$20&lt;=0," ",C34/$C$20)</f>
        <v xml:space="preserve"> </v>
      </c>
      <c r="E34" s="59">
        <f>E28+E32</f>
        <v>0</v>
      </c>
      <c r="F34" s="28" t="str">
        <f>IF($E$20&lt;=0," ",E34/$E$20)</f>
        <v xml:space="preserve"> </v>
      </c>
      <c r="G34" s="28" t="str">
        <f t="shared" si="5"/>
        <v/>
      </c>
      <c r="H34" s="59">
        <f>H28+H32</f>
        <v>0</v>
      </c>
      <c r="I34" s="28" t="str">
        <f t="shared" si="6"/>
        <v/>
      </c>
      <c r="J34" s="28" t="str">
        <f>IF(H34=0,"",(E34-H34)/ABS(H34))</f>
        <v/>
      </c>
      <c r="K34" s="59">
        <f>+K30</f>
        <v>0</v>
      </c>
      <c r="L34" s="28" t="str">
        <f>IF($K$20&lt;=0," ",K34/$K$20)</f>
        <v xml:space="preserve"> </v>
      </c>
      <c r="M34" s="59">
        <f>M28+M32</f>
        <v>3795</v>
      </c>
      <c r="N34" s="28" t="str">
        <f>IF($M$20&lt;=0," ",M34/$M$20)</f>
        <v xml:space="preserve"> </v>
      </c>
      <c r="O34" s="28" t="str">
        <f>IF(K34=0,"",(M34-K34)/ABS(K34)+1)</f>
        <v/>
      </c>
      <c r="P34" s="59">
        <f>+P32</f>
        <v>0</v>
      </c>
      <c r="Q34" s="28">
        <f>+P34/$P$20</f>
        <v>0</v>
      </c>
      <c r="R34" s="28" t="str">
        <f t="shared" si="9"/>
        <v/>
      </c>
    </row>
    <row r="35" spans="1:20" ht="14.25" customHeight="1" x14ac:dyDescent="0.2">
      <c r="G35" s="28" t="str">
        <f t="shared" si="5"/>
        <v/>
      </c>
      <c r="I35" s="28" t="str">
        <f t="shared" si="6"/>
        <v/>
      </c>
      <c r="R35" s="28" t="str">
        <f t="shared" si="9"/>
        <v/>
      </c>
    </row>
    <row r="36" spans="1:20" ht="14.25" customHeight="1" x14ac:dyDescent="0.2">
      <c r="B36" s="17" t="s">
        <v>40</v>
      </c>
      <c r="C36" s="63">
        <f>+C24-C34</f>
        <v>0</v>
      </c>
      <c r="D36" s="36" t="str">
        <f>IF($C$20&lt;=0," ",C36/$C$20)</f>
        <v xml:space="preserve"> </v>
      </c>
      <c r="E36" s="63">
        <f>+E24-E34</f>
        <v>0</v>
      </c>
      <c r="F36" s="36" t="str">
        <f>IF($E$20&lt;=0," ",E36/$E$20)</f>
        <v xml:space="preserve"> </v>
      </c>
      <c r="G36" s="28" t="str">
        <f t="shared" si="5"/>
        <v/>
      </c>
      <c r="H36" s="63">
        <f>+H24-H34</f>
        <v>2100</v>
      </c>
      <c r="I36" s="28" t="str">
        <f t="shared" si="6"/>
        <v/>
      </c>
      <c r="J36" s="36">
        <f>IF(H36=0,"",(E36-H36)/ABS(H36))</f>
        <v>-1</v>
      </c>
      <c r="K36" s="63">
        <f>+K31</f>
        <v>0</v>
      </c>
      <c r="L36" s="36" t="str">
        <f>IF($K$20&lt;=0," ",K36/$K$20)</f>
        <v xml:space="preserve"> </v>
      </c>
      <c r="M36" s="63">
        <f>+M24-M34</f>
        <v>-3795</v>
      </c>
      <c r="N36" s="36" t="str">
        <f>IF($M$20&lt;=0," ",M36/$M$20)</f>
        <v xml:space="preserve"> </v>
      </c>
      <c r="O36" s="36" t="str">
        <f>IF(K36=0,"",(M36-K36)/ABS(K36)+1)</f>
        <v/>
      </c>
      <c r="P36" s="63">
        <f>+P24-P34</f>
        <v>18900</v>
      </c>
      <c r="Q36" s="36">
        <f>+P36/$P$20</f>
        <v>1</v>
      </c>
      <c r="R36" s="36">
        <f t="shared" si="9"/>
        <v>-1.2007936507936507</v>
      </c>
    </row>
    <row r="37" spans="1:20" ht="14.25" customHeight="1" x14ac:dyDescent="0.2">
      <c r="G37" s="28" t="str">
        <f t="shared" si="5"/>
        <v/>
      </c>
      <c r="I37" s="28" t="str">
        <f t="shared" si="6"/>
        <v/>
      </c>
      <c r="R37" s="28" t="str">
        <f t="shared" si="9"/>
        <v/>
      </c>
      <c r="T37" s="47"/>
    </row>
    <row r="38" spans="1:20" ht="14.25" customHeight="1" x14ac:dyDescent="0.2">
      <c r="B38" s="3" t="s">
        <v>41</v>
      </c>
      <c r="C38" s="59">
        <f>+E38</f>
        <v>0</v>
      </c>
      <c r="D38" s="28" t="str">
        <f>IF($C$20&lt;=0," ",C38/$C$20)</f>
        <v xml:space="preserve"> </v>
      </c>
      <c r="E38" s="59">
        <v>0</v>
      </c>
      <c r="F38" s="28" t="str">
        <f>IF($E$20&lt;=0," ",E38/$E$20)</f>
        <v xml:space="preserve"> </v>
      </c>
      <c r="G38" s="28" t="str">
        <f t="shared" si="5"/>
        <v/>
      </c>
      <c r="H38" s="59">
        <v>0</v>
      </c>
      <c r="I38" s="28" t="str">
        <f t="shared" si="6"/>
        <v/>
      </c>
      <c r="J38" s="28" t="str">
        <f>IF(H38=0,"",(E38-H38)/ABS(H38))</f>
        <v/>
      </c>
      <c r="K38" s="59">
        <f>+K32</f>
        <v>0</v>
      </c>
      <c r="L38" s="28" t="str">
        <f>IF($K$20&lt;=0," ",K38/$K$20)</f>
        <v xml:space="preserve"> </v>
      </c>
      <c r="M38" s="59">
        <v>0</v>
      </c>
      <c r="N38" s="28" t="str">
        <f>IF($M$20&lt;=0," ",M38/$M$20)</f>
        <v xml:space="preserve"> </v>
      </c>
      <c r="O38" s="28" t="str">
        <f>IF(K38=0,"",(M38-K38)/ABS(K38)+1)</f>
        <v/>
      </c>
      <c r="P38" s="59">
        <v>0</v>
      </c>
      <c r="Q38" s="28">
        <f>+P38/$P$20</f>
        <v>0</v>
      </c>
      <c r="R38" s="28" t="str">
        <f t="shared" si="9"/>
        <v/>
      </c>
    </row>
    <row r="39" spans="1:20" ht="14.25" customHeight="1" x14ac:dyDescent="0.2">
      <c r="B39" s="3" t="s">
        <v>42</v>
      </c>
      <c r="C39" s="59">
        <f>+E39</f>
        <v>0</v>
      </c>
      <c r="D39" s="28" t="str">
        <f>IF($C$20&lt;=0," ",C39/$C$20)</f>
        <v xml:space="preserve"> </v>
      </c>
      <c r="E39" s="59">
        <v>0</v>
      </c>
      <c r="F39" s="28" t="str">
        <f>IF($E$20&lt;=0," ",E39/$E$20)</f>
        <v xml:space="preserve"> </v>
      </c>
      <c r="G39" s="28" t="str">
        <f t="shared" si="5"/>
        <v/>
      </c>
      <c r="H39" s="59">
        <v>168</v>
      </c>
      <c r="I39" s="28" t="str">
        <f t="shared" si="6"/>
        <v/>
      </c>
      <c r="J39" s="28">
        <f>IF(H39=0,"",(E39-H39)/ABS(H39))</f>
        <v>-1</v>
      </c>
      <c r="K39" s="59">
        <f>+K34</f>
        <v>0</v>
      </c>
      <c r="L39" s="28" t="str">
        <f>IF($K$20&lt;=0," ",K39/$K$20)</f>
        <v xml:space="preserve"> </v>
      </c>
      <c r="M39" s="59">
        <v>50</v>
      </c>
      <c r="N39" s="28" t="str">
        <f>IF($M$20&lt;=0," ",M39/$M$20)</f>
        <v xml:space="preserve"> </v>
      </c>
      <c r="O39" s="28" t="str">
        <f>IF(K39=0,"",(M39-K39)/ABS(K39)+1)</f>
        <v/>
      </c>
      <c r="P39" s="59">
        <v>3421.21</v>
      </c>
      <c r="Q39" s="28">
        <f>+P39/$P$20</f>
        <v>0.18101640211640213</v>
      </c>
      <c r="R39" s="28">
        <f t="shared" si="9"/>
        <v>-0.985385287661383</v>
      </c>
    </row>
    <row r="40" spans="1:20" ht="14.25" customHeight="1" x14ac:dyDescent="0.2">
      <c r="G40" s="28" t="str">
        <f t="shared" si="5"/>
        <v/>
      </c>
      <c r="I40" s="28" t="str">
        <f t="shared" si="6"/>
        <v/>
      </c>
      <c r="R40" s="28" t="str">
        <f t="shared" si="9"/>
        <v/>
      </c>
    </row>
    <row r="41" spans="1:20" ht="14.25" customHeight="1" x14ac:dyDescent="0.2">
      <c r="B41" s="3" t="s">
        <v>43</v>
      </c>
      <c r="C41" s="59">
        <f>C36+C38-C39</f>
        <v>0</v>
      </c>
      <c r="D41" s="28" t="str">
        <f>IF($C$20&lt;=0," ",C41/$C$20)</f>
        <v xml:space="preserve"> </v>
      </c>
      <c r="E41" s="59">
        <f>+E36-E39+E38</f>
        <v>0</v>
      </c>
      <c r="F41" s="28" t="str">
        <f>IF($E$20&lt;=0," ",E41/$E$20)</f>
        <v xml:space="preserve"> </v>
      </c>
      <c r="G41" s="28" t="str">
        <f t="shared" si="5"/>
        <v/>
      </c>
      <c r="H41" s="59">
        <f>+H36-H39+H38</f>
        <v>1932</v>
      </c>
      <c r="I41" s="28" t="str">
        <f t="shared" si="6"/>
        <v/>
      </c>
      <c r="J41" s="28">
        <f>IF(H41=0,"",(E41-H41)/ABS(H41))</f>
        <v>-1</v>
      </c>
      <c r="K41" s="59">
        <f>+K36</f>
        <v>0</v>
      </c>
      <c r="L41" s="28" t="str">
        <f>IF($K$20&lt;=0," ",K41/$K$20)</f>
        <v xml:space="preserve"> </v>
      </c>
      <c r="M41" s="59">
        <f>+M36-M39+M38</f>
        <v>-3845</v>
      </c>
      <c r="N41" s="28" t="str">
        <f>IF($M$20&lt;=0," ",M41/$M$20)</f>
        <v xml:space="preserve"> </v>
      </c>
      <c r="O41" s="28" t="str">
        <f>IF(K41=0,"",(M41-K41)/ABS(K41)+1)</f>
        <v/>
      </c>
      <c r="P41" s="59">
        <f>P36+P38-P39</f>
        <v>15478.79</v>
      </c>
      <c r="Q41" s="28">
        <f>+P41/$P$20</f>
        <v>0.81898359788359798</v>
      </c>
      <c r="R41" s="28">
        <f t="shared" si="9"/>
        <v>-1.2484044295452035</v>
      </c>
    </row>
    <row r="42" spans="1:20" ht="14.25" customHeight="1" x14ac:dyDescent="0.2">
      <c r="B42" s="3" t="s">
        <v>29</v>
      </c>
      <c r="C42" s="59"/>
      <c r="D42" s="28" t="str">
        <f>IF($C$20&lt;=0," ",C42/$C$20)</f>
        <v xml:space="preserve"> </v>
      </c>
      <c r="E42" s="59"/>
      <c r="F42" s="28" t="str">
        <f>IF($E$20&lt;=0," ",E42/$E$20)</f>
        <v xml:space="preserve"> </v>
      </c>
      <c r="G42" s="28" t="str">
        <f t="shared" si="5"/>
        <v/>
      </c>
      <c r="H42" s="59"/>
      <c r="I42" s="28" t="str">
        <f t="shared" si="6"/>
        <v/>
      </c>
      <c r="J42" s="28" t="str">
        <f>IF(H42=0,"",(E42-H42)/ABS(H42))</f>
        <v/>
      </c>
      <c r="K42" s="59">
        <f>+K38</f>
        <v>0</v>
      </c>
      <c r="L42" s="28" t="str">
        <f>IF($K$20&lt;=0," ",K42/$K$20)</f>
        <v xml:space="preserve"> </v>
      </c>
      <c r="M42" s="59"/>
      <c r="N42" s="28" t="str">
        <f>IF($M$20&lt;=0," ",M42/$M$20)</f>
        <v xml:space="preserve"> </v>
      </c>
      <c r="O42" s="28" t="str">
        <f>IF(K42=0,"",(M42-K42)/ABS(K42)+1)</f>
        <v/>
      </c>
      <c r="P42" s="59">
        <f>+H42</f>
        <v>0</v>
      </c>
      <c r="Q42" s="28">
        <f>+P42/$P$20</f>
        <v>0</v>
      </c>
      <c r="R42" s="28" t="str">
        <f t="shared" si="9"/>
        <v/>
      </c>
    </row>
    <row r="43" spans="1:20" ht="14.25" customHeight="1" x14ac:dyDescent="0.2">
      <c r="B43" s="17" t="s">
        <v>44</v>
      </c>
      <c r="C43" s="63">
        <f>+C41-C42</f>
        <v>0</v>
      </c>
      <c r="D43" s="36" t="str">
        <f>IF($C$20&lt;=0," ",C43/$C$20)</f>
        <v xml:space="preserve"> </v>
      </c>
      <c r="E43" s="63">
        <f>E41-E42</f>
        <v>0</v>
      </c>
      <c r="F43" s="36" t="str">
        <f>IF($E$20&lt;=0," ",E43/$E$20)</f>
        <v xml:space="preserve"> </v>
      </c>
      <c r="G43" s="28" t="str">
        <f t="shared" si="5"/>
        <v/>
      </c>
      <c r="H43" s="63">
        <f>H41-H42</f>
        <v>1932</v>
      </c>
      <c r="I43" s="28" t="str">
        <f t="shared" si="6"/>
        <v/>
      </c>
      <c r="J43" s="36">
        <f>IF(H43=0,"",(E43-H43)/ABS(H43))</f>
        <v>-1</v>
      </c>
      <c r="K43" s="63">
        <f>+K39</f>
        <v>0</v>
      </c>
      <c r="L43" s="36" t="str">
        <f>IF($K$20&lt;=0," ",K43/$K$20)</f>
        <v xml:space="preserve"> </v>
      </c>
      <c r="M43" s="63">
        <f>M41-M42</f>
        <v>-3845</v>
      </c>
      <c r="N43" s="36" t="str">
        <f>IF($M$20&lt;=0," ",M43/$M$20)</f>
        <v xml:space="preserve"> </v>
      </c>
      <c r="O43" s="36" t="str">
        <f>IF(K43=0,"",(M43-K43)/ABS(K43)+1)</f>
        <v/>
      </c>
      <c r="P43" s="63">
        <f>P41-P42</f>
        <v>15478.79</v>
      </c>
      <c r="Q43" s="36">
        <f>+P43/$P$20</f>
        <v>0.81898359788359798</v>
      </c>
      <c r="R43" s="36">
        <f t="shared" si="9"/>
        <v>-1.2484044295452035</v>
      </c>
    </row>
    <row r="44" spans="1:20" ht="14.25" customHeight="1" x14ac:dyDescent="0.2">
      <c r="G44" s="28" t="str">
        <f t="shared" si="5"/>
        <v/>
      </c>
      <c r="I44" s="28" t="str">
        <f t="shared" si="6"/>
        <v/>
      </c>
      <c r="R44" s="28" t="str">
        <f t="shared" si="9"/>
        <v/>
      </c>
    </row>
    <row r="45" spans="1:20" ht="14.25" customHeight="1" x14ac:dyDescent="0.2">
      <c r="B45" s="3" t="s">
        <v>45</v>
      </c>
      <c r="C45" s="59">
        <f>+C36</f>
        <v>0</v>
      </c>
      <c r="D45" s="28" t="str">
        <f>IF($C$20&lt;=0," ",C45/$C$20)</f>
        <v xml:space="preserve"> </v>
      </c>
      <c r="E45" s="59">
        <f>+E36</f>
        <v>0</v>
      </c>
      <c r="F45" s="28" t="str">
        <f>IF($E$20&lt;=0," ",E45/$E$20)</f>
        <v xml:space="preserve"> </v>
      </c>
      <c r="G45" s="28" t="str">
        <f t="shared" si="5"/>
        <v/>
      </c>
      <c r="H45" s="59">
        <f>+H36</f>
        <v>2100</v>
      </c>
      <c r="I45" s="28" t="str">
        <f t="shared" si="6"/>
        <v/>
      </c>
      <c r="J45" s="28">
        <f>IF(H45=0,"",(E45-H45)/ABS(H45))</f>
        <v>-1</v>
      </c>
      <c r="K45" s="59">
        <f>+K41</f>
        <v>0</v>
      </c>
      <c r="L45" s="28" t="str">
        <f>IF($K$20&lt;=0," ",K45/$K$20)</f>
        <v xml:space="preserve"> </v>
      </c>
      <c r="M45" s="59">
        <f>+M36</f>
        <v>-3795</v>
      </c>
      <c r="N45" s="28" t="str">
        <f>IF($M$20&lt;=0," ",M45/$M$20)</f>
        <v xml:space="preserve"> </v>
      </c>
      <c r="O45" s="28" t="str">
        <f>IF(K45=0,"",(M45-K45)/ABS(K45)+1)</f>
        <v/>
      </c>
      <c r="P45" s="59">
        <f>+P36</f>
        <v>18900</v>
      </c>
      <c r="Q45" s="28">
        <f>+P45/$P$20</f>
        <v>1</v>
      </c>
      <c r="R45" s="28">
        <f t="shared" si="9"/>
        <v>-1.2007936507936507</v>
      </c>
    </row>
    <row r="46" spans="1:20" ht="14.25" customHeight="1" x14ac:dyDescent="0.2">
      <c r="B46" s="3" t="s">
        <v>20</v>
      </c>
      <c r="C46" s="59">
        <v>0</v>
      </c>
      <c r="D46" s="28" t="str">
        <f>IF($C$20&lt;=0," ",C46/$C$20)</f>
        <v xml:space="preserve"> </v>
      </c>
      <c r="E46" s="59">
        <v>0</v>
      </c>
      <c r="F46" s="28" t="str">
        <f>IF($E$20&lt;=0," ",E46/$E$20)</f>
        <v xml:space="preserve"> </v>
      </c>
      <c r="G46" s="28" t="str">
        <f t="shared" si="5"/>
        <v/>
      </c>
      <c r="H46" s="59">
        <v>0</v>
      </c>
      <c r="I46" s="28" t="str">
        <f t="shared" si="6"/>
        <v/>
      </c>
      <c r="J46" s="28" t="str">
        <f>IF(H46=0,"",(E46-H46)/ABS(H46))</f>
        <v/>
      </c>
      <c r="K46" s="59">
        <f>+K42</f>
        <v>0</v>
      </c>
      <c r="L46" s="28" t="str">
        <f>IF($K$20&lt;=0," ",K46/$K$20)</f>
        <v xml:space="preserve"> </v>
      </c>
      <c r="M46" s="59">
        <v>0</v>
      </c>
      <c r="N46" s="28" t="str">
        <f>IF($M$20&lt;=0," ",M46/$M$20)</f>
        <v xml:space="preserve"> </v>
      </c>
      <c r="O46" s="28" t="str">
        <f>IF(K46=0,"",(M46-K46)/ABS(K46)+1)</f>
        <v/>
      </c>
      <c r="P46" s="59">
        <v>0</v>
      </c>
      <c r="Q46" s="28">
        <f>+P46/$P$20</f>
        <v>0</v>
      </c>
      <c r="R46" s="28" t="str">
        <f t="shared" si="9"/>
        <v/>
      </c>
    </row>
    <row r="47" spans="1:20" ht="14.25" customHeight="1" x14ac:dyDescent="0.2">
      <c r="C47" s="60"/>
      <c r="D47" s="60"/>
      <c r="E47" s="60"/>
      <c r="F47" s="60"/>
      <c r="G47" s="60"/>
      <c r="H47" s="60"/>
      <c r="I47" s="60"/>
      <c r="J47" s="60"/>
      <c r="K47" s="60"/>
      <c r="L47" s="60"/>
      <c r="N47" s="60"/>
      <c r="O47" s="60"/>
    </row>
    <row r="48" spans="1:20" ht="14.25" customHeight="1" x14ac:dyDescent="0.2">
      <c r="M48" s="6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Gutierrez Rodriguez</dc:creator>
  <cp:lastModifiedBy>Robert Gutierrez</cp:lastModifiedBy>
  <dcterms:created xsi:type="dcterms:W3CDTF">2022-10-24T14:28:01Z</dcterms:created>
  <dcterms:modified xsi:type="dcterms:W3CDTF">2022-10-24T14:37:10Z</dcterms:modified>
</cp:coreProperties>
</file>