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sicar-my.sharepoint.com/personal/robert_gutierrez_musicar_onmicrosoft_com/Documents/Musicar/Documents/Informes de Junta/2022/Consolidados/"/>
    </mc:Choice>
  </mc:AlternateContent>
  <xr:revisionPtr revIDLastSave="2" documentId="8_{4D1581D5-7675-4E02-B444-68A710C63CA2}" xr6:coauthVersionLast="47" xr6:coauthVersionMax="47" xr10:uidLastSave="{9407686C-9829-40FD-976B-89C86D137BFB}"/>
  <bookViews>
    <workbookView xWindow="-28920" yWindow="-120" windowWidth="29040" windowHeight="15840" activeTab="1" xr2:uid="{38235B78-256A-4CC7-A882-0F2A62E747A7}"/>
  </bookViews>
  <sheets>
    <sheet name="Paramet" sheetId="2" r:id="rId1"/>
    <sheet name="COL. CONS.$" sheetId="3" r:id="rId2"/>
    <sheet name="COLOMB$ " sheetId="4" r:id="rId3"/>
    <sheet name="PROY SAT$" sheetId="5" r:id="rId4"/>
    <sheet name="COLOMBIA USD" sheetId="6" r:id="rId5"/>
    <sheet name="EL SALVADOR USD" sheetId="7" r:id="rId6"/>
    <sheet name="VZLA BFS" sheetId="8" r:id="rId7"/>
    <sheet name="VENEZUELA USD" sheetId="9" r:id="rId8"/>
    <sheet name="PANAMA USD" sheetId="10" r:id="rId9"/>
    <sheet name="CONS USD" sheetId="11" r:id="rId10"/>
    <sheet name="ctas" sheetId="12" r:id="rId11"/>
  </sheets>
  <externalReferences>
    <externalReference r:id="rId12"/>
  </externalReferences>
  <definedNames>
    <definedName name="__BIA_0237574" localSheetId="10" hidden="1">[1]!Consulta(11,"Presupuesto por Cuenta","Zoom","Cuenta","IN",ctas!$A$187:$A$222,"Periodo","=",201605)</definedName>
    <definedName name="__BIA_4422336" localSheetId="10" hidden="1">"-"</definedName>
    <definedName name="__BIA_4423615" localSheetId="10" hidden="1">"-"</definedName>
    <definedName name="__BIA_8159523" localSheetId="10" hidden="1">[1]!Consulta(4,"Presupuesto por flujo de efectivo","Zoom","Periodo","=",201909,"Cpto Flujo de Efectivo","IN",ctas!$A$544:$A$552)</definedName>
    <definedName name="b2w">'COLOMB$ '!$H$2</definedName>
  </definedNames>
  <calcPr calcId="191029"/>
  <pivotCaches>
    <pivotCache cacheId="1" r:id="rId13"/>
    <pivotCache cacheId="0" r:id="rId14"/>
    <pivotCache cacheId="2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9" i="12" l="1"/>
  <c r="AK25" i="11"/>
  <c r="AK17" i="11"/>
  <c r="AE17" i="11"/>
  <c r="V7" i="11"/>
  <c r="P7" i="11"/>
  <c r="N7" i="11"/>
  <c r="L7" i="11"/>
  <c r="AB6" i="11"/>
  <c r="Y6" i="11"/>
  <c r="X6" i="11"/>
  <c r="AA6" i="11" s="1"/>
  <c r="W6" i="11"/>
  <c r="Z6" i="11" s="1"/>
  <c r="Z5" i="11"/>
  <c r="W5" i="11"/>
  <c r="V3" i="11"/>
  <c r="R46" i="10"/>
  <c r="J46" i="10"/>
  <c r="I46" i="10"/>
  <c r="G46" i="10"/>
  <c r="R44" i="10"/>
  <c r="I44" i="10"/>
  <c r="G44" i="10"/>
  <c r="R42" i="10"/>
  <c r="P42" i="10"/>
  <c r="J42" i="10"/>
  <c r="I42" i="10"/>
  <c r="G42" i="10"/>
  <c r="R40" i="10"/>
  <c r="I40" i="10"/>
  <c r="G40" i="10"/>
  <c r="I38" i="10"/>
  <c r="C38" i="10"/>
  <c r="G38" i="10" s="1"/>
  <c r="R37" i="10"/>
  <c r="I37" i="10"/>
  <c r="G37" i="10"/>
  <c r="R35" i="10"/>
  <c r="I35" i="10"/>
  <c r="G35" i="10"/>
  <c r="R33" i="10"/>
  <c r="I33" i="10"/>
  <c r="G33" i="10"/>
  <c r="R30" i="10"/>
  <c r="J30" i="10"/>
  <c r="I30" i="10"/>
  <c r="C30" i="10"/>
  <c r="R29" i="10"/>
  <c r="I29" i="10"/>
  <c r="G29" i="10"/>
  <c r="P28" i="10"/>
  <c r="R28" i="10" s="1"/>
  <c r="H28" i="10"/>
  <c r="J28" i="10" s="1"/>
  <c r="E28" i="10"/>
  <c r="I28" i="10" s="1"/>
  <c r="AC27" i="10"/>
  <c r="AA27" i="10"/>
  <c r="Y27" i="10"/>
  <c r="X27" i="10"/>
  <c r="R27" i="10"/>
  <c r="O27" i="10"/>
  <c r="K27" i="10"/>
  <c r="K31" i="10" s="1"/>
  <c r="J27" i="10"/>
  <c r="I27" i="10"/>
  <c r="G27" i="10"/>
  <c r="C27" i="10"/>
  <c r="R26" i="10"/>
  <c r="J26" i="10"/>
  <c r="I26" i="10"/>
  <c r="C26" i="10"/>
  <c r="C28" i="10" s="1"/>
  <c r="AC25" i="10"/>
  <c r="Y25" i="10"/>
  <c r="X25" i="10"/>
  <c r="R25" i="10"/>
  <c r="I25" i="10"/>
  <c r="G25" i="10"/>
  <c r="AC23" i="10"/>
  <c r="Y23" i="10"/>
  <c r="X23" i="10"/>
  <c r="Z23" i="10" s="1"/>
  <c r="R23" i="10"/>
  <c r="I23" i="10"/>
  <c r="G23" i="10"/>
  <c r="R22" i="10"/>
  <c r="O22" i="10"/>
  <c r="M22" i="10"/>
  <c r="J22" i="10"/>
  <c r="I22" i="10"/>
  <c r="G22" i="10"/>
  <c r="R21" i="10"/>
  <c r="I21" i="10"/>
  <c r="G21" i="10"/>
  <c r="J20" i="10"/>
  <c r="R18" i="10"/>
  <c r="I18" i="10"/>
  <c r="G18" i="10"/>
  <c r="R17" i="10"/>
  <c r="I17" i="10"/>
  <c r="G17" i="10"/>
  <c r="R16" i="10"/>
  <c r="I16" i="10"/>
  <c r="G16" i="10"/>
  <c r="AC15" i="10"/>
  <c r="AA15" i="10"/>
  <c r="Z15" i="10"/>
  <c r="R15" i="10"/>
  <c r="K15" i="10"/>
  <c r="O15" i="10" s="1"/>
  <c r="J15" i="10"/>
  <c r="I15" i="10"/>
  <c r="G15" i="10"/>
  <c r="AC14" i="10"/>
  <c r="AA14" i="10"/>
  <c r="Z14" i="10"/>
  <c r="R14" i="10"/>
  <c r="K14" i="10"/>
  <c r="O14" i="10" s="1"/>
  <c r="J14" i="10"/>
  <c r="I14" i="10"/>
  <c r="G14" i="10"/>
  <c r="AC13" i="10"/>
  <c r="AA13" i="10"/>
  <c r="Z13" i="10"/>
  <c r="R13" i="10"/>
  <c r="K13" i="10"/>
  <c r="O13" i="10" s="1"/>
  <c r="J13" i="10"/>
  <c r="I13" i="10"/>
  <c r="G13" i="10"/>
  <c r="R12" i="10"/>
  <c r="K12" i="10"/>
  <c r="O12" i="10" s="1"/>
  <c r="J12" i="10"/>
  <c r="I12" i="10"/>
  <c r="G12" i="10"/>
  <c r="R11" i="10"/>
  <c r="K11" i="10"/>
  <c r="O11" i="10" s="1"/>
  <c r="J11" i="10"/>
  <c r="I11" i="10"/>
  <c r="G11" i="10"/>
  <c r="J10" i="10"/>
  <c r="H7" i="10"/>
  <c r="P7" i="10" s="1"/>
  <c r="E7" i="10"/>
  <c r="M7" i="10" s="1"/>
  <c r="V7" i="10" s="1"/>
  <c r="Y7" i="10" s="1"/>
  <c r="C7" i="10"/>
  <c r="U7" i="10" s="1"/>
  <c r="A7" i="10"/>
  <c r="B6" i="10"/>
  <c r="T6" i="10" s="1"/>
  <c r="A6" i="10"/>
  <c r="A5" i="10"/>
  <c r="A4" i="10"/>
  <c r="AM47" i="9"/>
  <c r="AN47" i="9" s="1"/>
  <c r="AQ47" i="9" s="1"/>
  <c r="AN46" i="9"/>
  <c r="AQ46" i="9" s="1"/>
  <c r="M46" i="9"/>
  <c r="K46" i="9"/>
  <c r="O46" i="9" s="1"/>
  <c r="E46" i="9"/>
  <c r="D46" i="9"/>
  <c r="C46" i="9"/>
  <c r="G46" i="9" s="1"/>
  <c r="D45" i="9"/>
  <c r="M44" i="9"/>
  <c r="E44" i="9"/>
  <c r="K43" i="9"/>
  <c r="O43" i="9" s="1"/>
  <c r="D43" i="9"/>
  <c r="C43" i="9"/>
  <c r="G43" i="9" s="1"/>
  <c r="M42" i="9"/>
  <c r="R42" i="9" s="1"/>
  <c r="E42" i="9"/>
  <c r="J42" i="9" s="1"/>
  <c r="D42" i="9"/>
  <c r="O41" i="9"/>
  <c r="K41" i="9"/>
  <c r="D41" i="9"/>
  <c r="C41" i="9"/>
  <c r="G41" i="9" s="1"/>
  <c r="M40" i="9"/>
  <c r="E40" i="9"/>
  <c r="M39" i="9"/>
  <c r="E39" i="9"/>
  <c r="D39" i="9"/>
  <c r="M38" i="9"/>
  <c r="K38" i="9"/>
  <c r="O38" i="9" s="1"/>
  <c r="E38" i="9"/>
  <c r="D38" i="9"/>
  <c r="C38" i="9"/>
  <c r="G38" i="9" s="1"/>
  <c r="M37" i="9"/>
  <c r="E37" i="9"/>
  <c r="K36" i="9"/>
  <c r="O36" i="9" s="1"/>
  <c r="R58" i="7" s="1"/>
  <c r="D36" i="9"/>
  <c r="C36" i="9"/>
  <c r="G36" i="9" s="1"/>
  <c r="M35" i="9"/>
  <c r="E35" i="9"/>
  <c r="K34" i="9"/>
  <c r="O34" i="9" s="1"/>
  <c r="D34" i="9"/>
  <c r="C34" i="9"/>
  <c r="G34" i="9" s="1"/>
  <c r="M33" i="9"/>
  <c r="E33" i="9"/>
  <c r="D32" i="9"/>
  <c r="O31" i="9"/>
  <c r="M31" i="9"/>
  <c r="K31" i="9"/>
  <c r="G31" i="9"/>
  <c r="E31" i="9"/>
  <c r="D31" i="9"/>
  <c r="C31" i="9"/>
  <c r="M30" i="9"/>
  <c r="K30" i="9"/>
  <c r="O30" i="9" s="1"/>
  <c r="E30" i="9"/>
  <c r="D30" i="9"/>
  <c r="C30" i="9"/>
  <c r="G30" i="9" s="1"/>
  <c r="U29" i="9"/>
  <c r="M29" i="9"/>
  <c r="E29" i="9"/>
  <c r="AC28" i="9"/>
  <c r="AB28" i="9"/>
  <c r="AA28" i="9"/>
  <c r="U28" i="9"/>
  <c r="K28" i="9"/>
  <c r="O28" i="9" s="1"/>
  <c r="D28" i="9"/>
  <c r="C28" i="9"/>
  <c r="G28" i="9" s="1"/>
  <c r="AB27" i="9"/>
  <c r="AC27" i="9" s="1"/>
  <c r="U27" i="9"/>
  <c r="M27" i="9"/>
  <c r="E27" i="9"/>
  <c r="D27" i="9"/>
  <c r="U26" i="9"/>
  <c r="M26" i="9"/>
  <c r="K26" i="9"/>
  <c r="O26" i="9" s="1"/>
  <c r="E26" i="9"/>
  <c r="D26" i="9"/>
  <c r="C26" i="9"/>
  <c r="G26" i="9" s="1"/>
  <c r="AB25" i="9"/>
  <c r="AK24" i="11" s="1"/>
  <c r="W25" i="9"/>
  <c r="U25" i="9"/>
  <c r="M25" i="9"/>
  <c r="E25" i="9"/>
  <c r="U24" i="9"/>
  <c r="D24" i="9"/>
  <c r="C24" i="9"/>
  <c r="G24" i="9" s="1"/>
  <c r="AC23" i="9"/>
  <c r="AA23" i="9"/>
  <c r="Z23" i="9"/>
  <c r="U23" i="9"/>
  <c r="M23" i="9"/>
  <c r="E23" i="9"/>
  <c r="U22" i="9"/>
  <c r="M22" i="9"/>
  <c r="K22" i="9"/>
  <c r="O22" i="9" s="1"/>
  <c r="J22" i="9"/>
  <c r="E22" i="9"/>
  <c r="D22" i="9"/>
  <c r="C22" i="9"/>
  <c r="G22" i="9" s="1"/>
  <c r="R21" i="9"/>
  <c r="O21" i="9"/>
  <c r="M21" i="9"/>
  <c r="G21" i="9"/>
  <c r="E21" i="9"/>
  <c r="AC20" i="9"/>
  <c r="U20" i="9"/>
  <c r="D20" i="9"/>
  <c r="AB19" i="9"/>
  <c r="W19" i="9"/>
  <c r="O19" i="9"/>
  <c r="M19" i="9"/>
  <c r="R19" i="9" s="1"/>
  <c r="K19" i="9"/>
  <c r="E19" i="9"/>
  <c r="J19" i="9" s="1"/>
  <c r="D19" i="9"/>
  <c r="C19" i="9"/>
  <c r="G19" i="9" s="1"/>
  <c r="U18" i="9"/>
  <c r="M18" i="9"/>
  <c r="R18" i="9" s="1"/>
  <c r="K18" i="9"/>
  <c r="O18" i="9" s="1"/>
  <c r="G18" i="9"/>
  <c r="E18" i="9"/>
  <c r="J18" i="9" s="1"/>
  <c r="D18" i="9"/>
  <c r="C18" i="9"/>
  <c r="AB17" i="9"/>
  <c r="W17" i="9"/>
  <c r="M17" i="9"/>
  <c r="R17" i="9" s="1"/>
  <c r="K17" i="9"/>
  <c r="O17" i="9" s="1"/>
  <c r="G17" i="9"/>
  <c r="E17" i="9"/>
  <c r="J17" i="9" s="1"/>
  <c r="D17" i="9"/>
  <c r="C17" i="9"/>
  <c r="AB16" i="9"/>
  <c r="W16" i="9"/>
  <c r="V16" i="9"/>
  <c r="U16" i="9"/>
  <c r="M16" i="9"/>
  <c r="R16" i="9" s="1"/>
  <c r="K16" i="9"/>
  <c r="O16" i="9" s="1"/>
  <c r="G16" i="9"/>
  <c r="E16" i="9"/>
  <c r="J16" i="9" s="1"/>
  <c r="D16" i="9"/>
  <c r="C16" i="9"/>
  <c r="AB15" i="9"/>
  <c r="W15" i="9"/>
  <c r="V15" i="9"/>
  <c r="U15" i="9"/>
  <c r="M15" i="9"/>
  <c r="K15" i="9"/>
  <c r="O15" i="9" s="1"/>
  <c r="G15" i="9"/>
  <c r="E15" i="9"/>
  <c r="D15" i="9"/>
  <c r="C15" i="9"/>
  <c r="AB14" i="9"/>
  <c r="AC14" i="9" s="1"/>
  <c r="W14" i="9"/>
  <c r="V14" i="9"/>
  <c r="U14" i="9"/>
  <c r="R14" i="9"/>
  <c r="M14" i="9"/>
  <c r="K14" i="9"/>
  <c r="O14" i="9" s="1"/>
  <c r="G14" i="9"/>
  <c r="E14" i="9"/>
  <c r="J14" i="9" s="1"/>
  <c r="D14" i="9"/>
  <c r="C14" i="9"/>
  <c r="AB13" i="9"/>
  <c r="AC13" i="9" s="1"/>
  <c r="W13" i="9"/>
  <c r="V13" i="9"/>
  <c r="U13" i="9"/>
  <c r="M13" i="9"/>
  <c r="K13" i="9"/>
  <c r="O13" i="9" s="1"/>
  <c r="E13" i="9"/>
  <c r="D13" i="9"/>
  <c r="C13" i="9"/>
  <c r="G13" i="9" s="1"/>
  <c r="U12" i="9"/>
  <c r="M12" i="9"/>
  <c r="K12" i="9"/>
  <c r="O12" i="9" s="1"/>
  <c r="E12" i="9"/>
  <c r="D12" i="9"/>
  <c r="C12" i="9"/>
  <c r="G12" i="9" s="1"/>
  <c r="AB11" i="9"/>
  <c r="W11" i="9"/>
  <c r="V11" i="9"/>
  <c r="U11" i="9"/>
  <c r="M11" i="9"/>
  <c r="K11" i="9"/>
  <c r="O11" i="9" s="1"/>
  <c r="E11" i="9"/>
  <c r="D11" i="9"/>
  <c r="C11" i="9"/>
  <c r="G11" i="9" s="1"/>
  <c r="AC10" i="9"/>
  <c r="AB10" i="9"/>
  <c r="Y10" i="9"/>
  <c r="Z10" i="9" s="1"/>
  <c r="X10" i="9"/>
  <c r="AA10" i="9" s="1"/>
  <c r="W10" i="9"/>
  <c r="V10" i="9"/>
  <c r="U10" i="9"/>
  <c r="P10" i="9"/>
  <c r="M10" i="9"/>
  <c r="K10" i="9"/>
  <c r="O10" i="9" s="1"/>
  <c r="E10" i="9"/>
  <c r="D10" i="9"/>
  <c r="C10" i="9"/>
  <c r="G10" i="9" s="1"/>
  <c r="AH9" i="9"/>
  <c r="H7" i="9"/>
  <c r="P7" i="9" s="1"/>
  <c r="G7" i="9"/>
  <c r="O7" i="9" s="1"/>
  <c r="E7" i="9"/>
  <c r="M7" i="9" s="1"/>
  <c r="V7" i="9" s="1"/>
  <c r="Y7" i="9" s="1"/>
  <c r="AH4" i="9"/>
  <c r="P39" i="9" s="1"/>
  <c r="R46" i="8"/>
  <c r="O46" i="8"/>
  <c r="R42" i="8"/>
  <c r="O42" i="8"/>
  <c r="K42" i="8"/>
  <c r="J42" i="8"/>
  <c r="G42" i="8"/>
  <c r="R39" i="8"/>
  <c r="O39" i="8"/>
  <c r="J39" i="8"/>
  <c r="G39" i="8"/>
  <c r="R38" i="8"/>
  <c r="K38" i="8"/>
  <c r="O38" i="8" s="1"/>
  <c r="J38" i="8"/>
  <c r="G38" i="8"/>
  <c r="P34" i="8"/>
  <c r="P34" i="9" s="1"/>
  <c r="H34" i="8"/>
  <c r="H34" i="9" s="1"/>
  <c r="M32" i="8"/>
  <c r="R32" i="8" s="1"/>
  <c r="K32" i="8"/>
  <c r="K39" i="9" s="1"/>
  <c r="O39" i="9" s="1"/>
  <c r="E32" i="8"/>
  <c r="J32" i="8" s="1"/>
  <c r="C32" i="8"/>
  <c r="G32" i="8" s="1"/>
  <c r="R31" i="8"/>
  <c r="O31" i="8"/>
  <c r="J31" i="8"/>
  <c r="G31" i="8"/>
  <c r="R30" i="8"/>
  <c r="O30" i="8"/>
  <c r="J30" i="8"/>
  <c r="G30" i="8"/>
  <c r="AC28" i="8"/>
  <c r="AA28" i="8"/>
  <c r="Z28" i="8"/>
  <c r="Y28" i="8"/>
  <c r="Y28" i="9" s="1"/>
  <c r="Z28" i="9" s="1"/>
  <c r="M28" i="8"/>
  <c r="L28" i="8"/>
  <c r="K28" i="8"/>
  <c r="K34" i="8" s="1"/>
  <c r="O34" i="8" s="1"/>
  <c r="E28" i="8"/>
  <c r="E34" i="8" s="1"/>
  <c r="F34" i="8" s="1"/>
  <c r="C28" i="8"/>
  <c r="AC27" i="8"/>
  <c r="Y27" i="8"/>
  <c r="Z27" i="8" s="1"/>
  <c r="X27" i="8"/>
  <c r="AA27" i="8" s="1"/>
  <c r="R27" i="8"/>
  <c r="O27" i="8"/>
  <c r="J27" i="8"/>
  <c r="G27" i="8"/>
  <c r="R26" i="8"/>
  <c r="O26" i="8"/>
  <c r="J26" i="8"/>
  <c r="G26" i="8"/>
  <c r="F26" i="8"/>
  <c r="Y25" i="8"/>
  <c r="AC25" i="8" s="1"/>
  <c r="X25" i="8"/>
  <c r="AA25" i="8" s="1"/>
  <c r="AC23" i="8"/>
  <c r="AA23" i="8"/>
  <c r="Z23" i="8"/>
  <c r="R22" i="8"/>
  <c r="K22" i="8"/>
  <c r="O22" i="8" s="1"/>
  <c r="J22" i="8"/>
  <c r="G22" i="8"/>
  <c r="AB21" i="8"/>
  <c r="AB30" i="8" s="1"/>
  <c r="W21" i="8"/>
  <c r="W30" i="8" s="1"/>
  <c r="AC20" i="8"/>
  <c r="P20" i="8"/>
  <c r="Q26" i="8" s="1"/>
  <c r="M20" i="8"/>
  <c r="N27" i="8" s="1"/>
  <c r="L20" i="8"/>
  <c r="K20" i="8"/>
  <c r="L32" i="8" s="1"/>
  <c r="I20" i="8"/>
  <c r="H20" i="8"/>
  <c r="H24" i="8" s="1"/>
  <c r="H24" i="9" s="1"/>
  <c r="E20" i="8"/>
  <c r="F38" i="8" s="1"/>
  <c r="C20" i="8"/>
  <c r="D26" i="8" s="1"/>
  <c r="U19" i="8"/>
  <c r="U21" i="8" s="1"/>
  <c r="U30" i="8" s="1"/>
  <c r="U30" i="9" s="1"/>
  <c r="L19" i="8"/>
  <c r="B19" i="8"/>
  <c r="V17" i="8"/>
  <c r="V19" i="8" s="1"/>
  <c r="V21" i="8" s="1"/>
  <c r="V30" i="8" s="1"/>
  <c r="U17" i="8"/>
  <c r="U17" i="9" s="1"/>
  <c r="B17" i="8"/>
  <c r="AA16" i="8"/>
  <c r="Y16" i="8"/>
  <c r="AC16" i="8" s="1"/>
  <c r="X16" i="8"/>
  <c r="X16" i="9" s="1"/>
  <c r="AA16" i="9" s="1"/>
  <c r="B16" i="8"/>
  <c r="AA15" i="8"/>
  <c r="Y15" i="8"/>
  <c r="AC15" i="8" s="1"/>
  <c r="X15" i="8"/>
  <c r="X15" i="9" s="1"/>
  <c r="AA15" i="9" s="1"/>
  <c r="R15" i="8"/>
  <c r="N15" i="8"/>
  <c r="L15" i="8"/>
  <c r="J15" i="8"/>
  <c r="I15" i="8"/>
  <c r="G15" i="8"/>
  <c r="F15" i="8"/>
  <c r="B15" i="8"/>
  <c r="AC14" i="8"/>
  <c r="Y14" i="8"/>
  <c r="Y14" i="9" s="1"/>
  <c r="X14" i="8"/>
  <c r="AA14" i="8" s="1"/>
  <c r="R14" i="8"/>
  <c r="Q14" i="8"/>
  <c r="O14" i="8"/>
  <c r="N14" i="8"/>
  <c r="J14" i="8"/>
  <c r="I14" i="8"/>
  <c r="G14" i="8"/>
  <c r="F14" i="8"/>
  <c r="B14" i="8"/>
  <c r="AC13" i="8"/>
  <c r="Y13" i="8"/>
  <c r="Y13" i="9" s="1"/>
  <c r="X13" i="8"/>
  <c r="AA13" i="8" s="1"/>
  <c r="R13" i="8"/>
  <c r="Q13" i="8"/>
  <c r="O13" i="8"/>
  <c r="L13" i="8"/>
  <c r="J13" i="8"/>
  <c r="I13" i="8"/>
  <c r="G13" i="8"/>
  <c r="F13" i="8"/>
  <c r="B13" i="8"/>
  <c r="R12" i="8"/>
  <c r="Q12" i="8"/>
  <c r="O12" i="8"/>
  <c r="N12" i="8"/>
  <c r="L12" i="8"/>
  <c r="J12" i="8"/>
  <c r="I12" i="8"/>
  <c r="G12" i="8"/>
  <c r="F12" i="8"/>
  <c r="B12" i="8"/>
  <c r="AC11" i="8"/>
  <c r="AA11" i="8"/>
  <c r="Y11" i="8"/>
  <c r="Y11" i="9" s="1"/>
  <c r="X11" i="8"/>
  <c r="Z11" i="8" s="1"/>
  <c r="R11" i="8"/>
  <c r="Q11" i="8"/>
  <c r="O11" i="8"/>
  <c r="N11" i="8"/>
  <c r="L11" i="8"/>
  <c r="J11" i="8"/>
  <c r="G11" i="8"/>
  <c r="F11" i="8"/>
  <c r="D11" i="8"/>
  <c r="B11" i="8"/>
  <c r="AC10" i="8"/>
  <c r="AA10" i="8"/>
  <c r="Z10" i="8"/>
  <c r="R10" i="8"/>
  <c r="Q10" i="8"/>
  <c r="O10" i="8"/>
  <c r="N10" i="8"/>
  <c r="L10" i="8"/>
  <c r="J10" i="8"/>
  <c r="I10" i="8"/>
  <c r="G10" i="8"/>
  <c r="F10" i="8"/>
  <c r="D10" i="8"/>
  <c r="B10" i="8"/>
  <c r="W7" i="8"/>
  <c r="AB7" i="8" s="1"/>
  <c r="P7" i="8"/>
  <c r="M7" i="8"/>
  <c r="V7" i="8" s="1"/>
  <c r="Y7" i="8" s="1"/>
  <c r="C64" i="7"/>
  <c r="N58" i="7"/>
  <c r="C58" i="7"/>
  <c r="W39" i="7"/>
  <c r="V39" i="7"/>
  <c r="Z28" i="7"/>
  <c r="AD28" i="7" s="1"/>
  <c r="Y28" i="7"/>
  <c r="AB28" i="7" s="1"/>
  <c r="AD27" i="7"/>
  <c r="Z27" i="7"/>
  <c r="AA27" i="7" s="1"/>
  <c r="Y27" i="7"/>
  <c r="AB27" i="7" s="1"/>
  <c r="Z25" i="7"/>
  <c r="AD25" i="7" s="1"/>
  <c r="Y25" i="7"/>
  <c r="AD23" i="7"/>
  <c r="Z23" i="7"/>
  <c r="AA23" i="7" s="1"/>
  <c r="Y23" i="7"/>
  <c r="AB23" i="7" s="1"/>
  <c r="W19" i="7"/>
  <c r="W21" i="7" s="1"/>
  <c r="W30" i="7" s="1"/>
  <c r="W38" i="7" s="1"/>
  <c r="V19" i="7"/>
  <c r="V21" i="7" s="1"/>
  <c r="V30" i="7" s="1"/>
  <c r="B19" i="7"/>
  <c r="AC17" i="7"/>
  <c r="AC19" i="7" s="1"/>
  <c r="X17" i="7"/>
  <c r="X19" i="7" s="1"/>
  <c r="X21" i="7" s="1"/>
  <c r="X30" i="7" s="1"/>
  <c r="W17" i="7"/>
  <c r="V17" i="7"/>
  <c r="R17" i="7"/>
  <c r="O17" i="7"/>
  <c r="K17" i="7"/>
  <c r="J17" i="7"/>
  <c r="G17" i="7"/>
  <c r="B17" i="7"/>
  <c r="Z16" i="7"/>
  <c r="AD16" i="7" s="1"/>
  <c r="Y16" i="7"/>
  <c r="AB16" i="7" s="1"/>
  <c r="R16" i="7"/>
  <c r="K16" i="7"/>
  <c r="B16" i="7"/>
  <c r="Z15" i="7"/>
  <c r="AD15" i="7" s="1"/>
  <c r="Y15" i="7"/>
  <c r="AB15" i="7" s="1"/>
  <c r="B15" i="7"/>
  <c r="AD14" i="7"/>
  <c r="Z14" i="7"/>
  <c r="Y14" i="7"/>
  <c r="AB14" i="7" s="1"/>
  <c r="R14" i="7"/>
  <c r="B14" i="7"/>
  <c r="Z13" i="7"/>
  <c r="Y13" i="7"/>
  <c r="Y17" i="7" s="1"/>
  <c r="B13" i="7"/>
  <c r="B12" i="7"/>
  <c r="Z11" i="7"/>
  <c r="AD11" i="7" s="1"/>
  <c r="Y11" i="7"/>
  <c r="B11" i="7"/>
  <c r="AD10" i="7"/>
  <c r="AB10" i="7"/>
  <c r="AA10" i="7"/>
  <c r="B10" i="7"/>
  <c r="V7" i="7"/>
  <c r="Y7" i="7" s="1"/>
  <c r="H7" i="7"/>
  <c r="P7" i="7" s="1"/>
  <c r="E7" i="7"/>
  <c r="M7" i="7" s="1"/>
  <c r="W7" i="7" s="1"/>
  <c r="Z7" i="7" s="1"/>
  <c r="C7" i="7"/>
  <c r="K7" i="7" s="1"/>
  <c r="U3" i="7"/>
  <c r="AE20" i="6"/>
  <c r="B19" i="6"/>
  <c r="B17" i="6"/>
  <c r="B16" i="6"/>
  <c r="B15" i="6"/>
  <c r="B14" i="6"/>
  <c r="B13" i="6"/>
  <c r="B12" i="6"/>
  <c r="B11" i="6"/>
  <c r="AD10" i="6"/>
  <c r="Z10" i="6"/>
  <c r="Y10" i="6"/>
  <c r="X10" i="6"/>
  <c r="B10" i="6"/>
  <c r="M7" i="6"/>
  <c r="X7" i="6" s="1"/>
  <c r="AA7" i="6" s="1"/>
  <c r="H7" i="6"/>
  <c r="Y7" i="6" s="1"/>
  <c r="AD7" i="6" s="1"/>
  <c r="E7" i="6"/>
  <c r="C7" i="6"/>
  <c r="W7" i="6" s="1"/>
  <c r="Z7" i="6" s="1"/>
  <c r="B6" i="6"/>
  <c r="V6" i="6" s="1"/>
  <c r="AI5" i="6"/>
  <c r="AJ5" i="6" s="1"/>
  <c r="V4" i="6"/>
  <c r="V3" i="6"/>
  <c r="R46" i="5"/>
  <c r="J46" i="5"/>
  <c r="R44" i="5"/>
  <c r="J44" i="5"/>
  <c r="R42" i="5"/>
  <c r="M42" i="5"/>
  <c r="J42" i="5"/>
  <c r="R40" i="5"/>
  <c r="J40" i="5"/>
  <c r="O39" i="5"/>
  <c r="G39" i="5"/>
  <c r="O38" i="5"/>
  <c r="G38" i="5"/>
  <c r="R37" i="5"/>
  <c r="J37" i="5"/>
  <c r="R35" i="5"/>
  <c r="J35" i="5"/>
  <c r="K32" i="5"/>
  <c r="C32" i="5"/>
  <c r="O31" i="5"/>
  <c r="G31" i="5"/>
  <c r="O30" i="5"/>
  <c r="G30" i="5"/>
  <c r="R29" i="5"/>
  <c r="J29" i="5"/>
  <c r="R25" i="5"/>
  <c r="J25" i="5"/>
  <c r="R23" i="5"/>
  <c r="J23" i="5"/>
  <c r="R21" i="5"/>
  <c r="J21" i="5"/>
  <c r="R19" i="5"/>
  <c r="J19" i="5"/>
  <c r="B19" i="5"/>
  <c r="R18" i="5"/>
  <c r="J18" i="5"/>
  <c r="B18" i="5"/>
  <c r="R17" i="5"/>
  <c r="O17" i="5"/>
  <c r="J17" i="5"/>
  <c r="G17" i="5"/>
  <c r="B17" i="5"/>
  <c r="R16" i="5"/>
  <c r="O16" i="5"/>
  <c r="J16" i="5"/>
  <c r="G16" i="5"/>
  <c r="B16" i="5"/>
  <c r="R15" i="5"/>
  <c r="O15" i="5"/>
  <c r="J15" i="5"/>
  <c r="G15" i="5"/>
  <c r="B15" i="5"/>
  <c r="P14" i="5"/>
  <c r="R14" i="5" s="1"/>
  <c r="O14" i="5"/>
  <c r="J14" i="5"/>
  <c r="G14" i="5"/>
  <c r="B14" i="5"/>
  <c r="B13" i="5"/>
  <c r="P12" i="5"/>
  <c r="R12" i="5" s="1"/>
  <c r="O12" i="5"/>
  <c r="J12" i="5"/>
  <c r="G12" i="5"/>
  <c r="B12" i="5"/>
  <c r="R11" i="5"/>
  <c r="O11" i="5"/>
  <c r="J11" i="5"/>
  <c r="G11" i="5"/>
  <c r="B11" i="5"/>
  <c r="R10" i="5"/>
  <c r="O10" i="5"/>
  <c r="J10" i="5"/>
  <c r="B10" i="5"/>
  <c r="A8" i="5"/>
  <c r="H7" i="5"/>
  <c r="P7" i="5" s="1"/>
  <c r="E7" i="5"/>
  <c r="M7" i="5" s="1"/>
  <c r="C7" i="5"/>
  <c r="K7" i="5" s="1"/>
  <c r="A7" i="5"/>
  <c r="B6" i="5"/>
  <c r="A6" i="5"/>
  <c r="A5" i="5"/>
  <c r="AC20" i="4"/>
  <c r="AC10" i="4"/>
  <c r="AA10" i="4"/>
  <c r="Z10" i="4"/>
  <c r="W7" i="4"/>
  <c r="AB7" i="4" s="1"/>
  <c r="U7" i="4"/>
  <c r="X7" i="4" s="1"/>
  <c r="P7" i="4"/>
  <c r="N7" i="4"/>
  <c r="V7" i="4" s="1"/>
  <c r="Y7" i="4" s="1"/>
  <c r="L7" i="4"/>
  <c r="T6" i="4"/>
  <c r="Y3" i="4"/>
  <c r="T3" i="4"/>
  <c r="AC20" i="3"/>
  <c r="B19" i="3"/>
  <c r="B18" i="3"/>
  <c r="B18" i="7" s="1"/>
  <c r="B17" i="3"/>
  <c r="B16" i="3"/>
  <c r="B15" i="3"/>
  <c r="B14" i="3"/>
  <c r="B13" i="3"/>
  <c r="B12" i="3"/>
  <c r="B11" i="3"/>
  <c r="AB10" i="3"/>
  <c r="Y10" i="3"/>
  <c r="AA10" i="6" s="1"/>
  <c r="X10" i="3"/>
  <c r="W10" i="3"/>
  <c r="AC10" i="3" s="1"/>
  <c r="V10" i="3"/>
  <c r="U10" i="3"/>
  <c r="W10" i="6" s="1"/>
  <c r="B10" i="3"/>
  <c r="U7" i="3"/>
  <c r="X7" i="3" s="1"/>
  <c r="H7" i="3"/>
  <c r="W7" i="3" s="1"/>
  <c r="AB7" i="3" s="1"/>
  <c r="E7" i="3"/>
  <c r="M7" i="3" s="1"/>
  <c r="V7" i="3" s="1"/>
  <c r="Y7" i="3" s="1"/>
  <c r="C7" i="3"/>
  <c r="B6" i="3"/>
  <c r="T3" i="3"/>
  <c r="B9" i="2"/>
  <c r="B8" i="2"/>
  <c r="B5" i="2"/>
  <c r="H10" i="3" l="1"/>
  <c r="P10" i="3"/>
  <c r="E11" i="3"/>
  <c r="E11" i="6" s="1"/>
  <c r="E11" i="11" s="1"/>
  <c r="M11" i="3"/>
  <c r="M11" i="6" s="1"/>
  <c r="M11" i="11" s="1"/>
  <c r="W11" i="3"/>
  <c r="Y11" i="6"/>
  <c r="X13" i="6"/>
  <c r="V13" i="3"/>
  <c r="C14" i="3"/>
  <c r="K14" i="3"/>
  <c r="U14" i="3"/>
  <c r="W14" i="6"/>
  <c r="W11" i="11" s="1"/>
  <c r="AD15" i="6"/>
  <c r="AB15" i="3"/>
  <c r="AD16" i="6"/>
  <c r="AB16" i="3"/>
  <c r="H18" i="3"/>
  <c r="P18" i="3"/>
  <c r="H19" i="3"/>
  <c r="H22" i="3"/>
  <c r="P22" i="3"/>
  <c r="AA25" i="6"/>
  <c r="Y25" i="3"/>
  <c r="Z27" i="6"/>
  <c r="X27" i="3"/>
  <c r="Y28" i="6"/>
  <c r="W28" i="3"/>
  <c r="C31" i="3"/>
  <c r="K31" i="3"/>
  <c r="C38" i="3"/>
  <c r="K38" i="3"/>
  <c r="C39" i="3"/>
  <c r="K39" i="3"/>
  <c r="C42" i="3"/>
  <c r="K42" i="3"/>
  <c r="C46" i="3"/>
  <c r="K46" i="3"/>
  <c r="X11" i="3"/>
  <c r="AA11" i="3" s="1"/>
  <c r="Z11" i="6"/>
  <c r="E12" i="3"/>
  <c r="E12" i="6" s="1"/>
  <c r="M12" i="3"/>
  <c r="M12" i="6" s="1"/>
  <c r="E13" i="3"/>
  <c r="E13" i="6" s="1"/>
  <c r="E13" i="11" s="1"/>
  <c r="M13" i="3"/>
  <c r="M13" i="6" s="1"/>
  <c r="M13" i="11" s="1"/>
  <c r="Y13" i="6"/>
  <c r="W13" i="3"/>
  <c r="X14" i="6"/>
  <c r="V14" i="3"/>
  <c r="C15" i="3"/>
  <c r="K15" i="3"/>
  <c r="U15" i="3"/>
  <c r="W15" i="6"/>
  <c r="W12" i="11" s="1"/>
  <c r="K16" i="3"/>
  <c r="U16" i="3"/>
  <c r="W16" i="6"/>
  <c r="Y27" i="3"/>
  <c r="Z27" i="3" s="1"/>
  <c r="AA27" i="6"/>
  <c r="Z28" i="6"/>
  <c r="X28" i="3"/>
  <c r="E30" i="3"/>
  <c r="M30" i="3"/>
  <c r="Y11" i="3"/>
  <c r="AA11" i="6"/>
  <c r="Z13" i="6"/>
  <c r="X13" i="3"/>
  <c r="E14" i="3"/>
  <c r="E14" i="6" s="1"/>
  <c r="M14" i="3"/>
  <c r="M14" i="6" s="1"/>
  <c r="M14" i="11" s="1"/>
  <c r="Y14" i="6"/>
  <c r="W14" i="3"/>
  <c r="V15" i="3"/>
  <c r="X15" i="6"/>
  <c r="C16" i="3"/>
  <c r="V16" i="3"/>
  <c r="X16" i="6"/>
  <c r="C17" i="3"/>
  <c r="K17" i="3"/>
  <c r="K19" i="3"/>
  <c r="AD23" i="6"/>
  <c r="AB23" i="3"/>
  <c r="H26" i="3"/>
  <c r="P26" i="3"/>
  <c r="H27" i="3"/>
  <c r="P27" i="3"/>
  <c r="AA28" i="6"/>
  <c r="Y28" i="3"/>
  <c r="Z28" i="3" s="1"/>
  <c r="E31" i="3"/>
  <c r="E32" i="6" s="1"/>
  <c r="M31" i="3"/>
  <c r="M32" i="6" s="1"/>
  <c r="E38" i="3"/>
  <c r="E38" i="6" s="1"/>
  <c r="E38" i="11" s="1"/>
  <c r="M38" i="3"/>
  <c r="M38" i="6" s="1"/>
  <c r="M38" i="11" s="1"/>
  <c r="E39" i="3"/>
  <c r="E39" i="6" s="1"/>
  <c r="E39" i="11" s="1"/>
  <c r="M39" i="3"/>
  <c r="M39" i="6" s="1"/>
  <c r="M39" i="11" s="1"/>
  <c r="E42" i="3"/>
  <c r="E42" i="6" s="1"/>
  <c r="E42" i="11" s="1"/>
  <c r="M42" i="3"/>
  <c r="M42" i="6" s="1"/>
  <c r="M42" i="11" s="1"/>
  <c r="E46" i="3"/>
  <c r="E46" i="6" s="1"/>
  <c r="E46" i="11" s="1"/>
  <c r="M46" i="3"/>
  <c r="M46" i="6" s="1"/>
  <c r="M46" i="11" s="1"/>
  <c r="C10" i="3"/>
  <c r="K10" i="3"/>
  <c r="H11" i="3"/>
  <c r="P11" i="3"/>
  <c r="Y13" i="3"/>
  <c r="AA13" i="6"/>
  <c r="Z14" i="6"/>
  <c r="X14" i="3"/>
  <c r="E15" i="3"/>
  <c r="E15" i="6" s="1"/>
  <c r="E15" i="11" s="1"/>
  <c r="M15" i="3"/>
  <c r="M15" i="6" s="1"/>
  <c r="M15" i="11" s="1"/>
  <c r="Y15" i="6"/>
  <c r="W15" i="3"/>
  <c r="E16" i="3"/>
  <c r="E16" i="6" s="1"/>
  <c r="E16" i="11" s="1"/>
  <c r="M16" i="3"/>
  <c r="M16" i="6" s="1"/>
  <c r="W16" i="3"/>
  <c r="Y16" i="6"/>
  <c r="C18" i="3"/>
  <c r="K18" i="3"/>
  <c r="C19" i="3"/>
  <c r="C22" i="3"/>
  <c r="K22" i="3"/>
  <c r="U23" i="3"/>
  <c r="W23" i="6"/>
  <c r="W19" i="11" s="1"/>
  <c r="AD25" i="6"/>
  <c r="AB25" i="3"/>
  <c r="H12" i="3"/>
  <c r="P12" i="3"/>
  <c r="H13" i="3"/>
  <c r="P13" i="3"/>
  <c r="AA14" i="6"/>
  <c r="Y14" i="3"/>
  <c r="Z15" i="6"/>
  <c r="X15" i="3"/>
  <c r="X16" i="3"/>
  <c r="Z16" i="6"/>
  <c r="E17" i="3"/>
  <c r="E17" i="6" s="1"/>
  <c r="M17" i="3"/>
  <c r="M17" i="6" s="1"/>
  <c r="M19" i="3"/>
  <c r="V23" i="3"/>
  <c r="X23" i="6"/>
  <c r="W25" i="6"/>
  <c r="U25" i="3"/>
  <c r="AB27" i="3"/>
  <c r="AC27" i="3" s="1"/>
  <c r="AD27" i="6"/>
  <c r="H30" i="3"/>
  <c r="P30" i="3"/>
  <c r="E10" i="3"/>
  <c r="M10" i="3"/>
  <c r="AD11" i="6"/>
  <c r="AB11" i="3"/>
  <c r="H14" i="3"/>
  <c r="P14" i="3"/>
  <c r="AA15" i="6"/>
  <c r="Y15" i="3"/>
  <c r="AA16" i="6"/>
  <c r="Y16" i="3"/>
  <c r="E18" i="3"/>
  <c r="E18" i="6" s="1"/>
  <c r="E18" i="11" s="1"/>
  <c r="M18" i="3"/>
  <c r="M18" i="6" s="1"/>
  <c r="M18" i="11" s="1"/>
  <c r="E19" i="3"/>
  <c r="E22" i="3"/>
  <c r="E22" i="6" s="1"/>
  <c r="E22" i="11" s="1"/>
  <c r="M22" i="3"/>
  <c r="M22" i="6" s="1"/>
  <c r="M22" i="11" s="1"/>
  <c r="Y23" i="6"/>
  <c r="W23" i="3"/>
  <c r="V25" i="3"/>
  <c r="X25" i="6"/>
  <c r="C26" i="3"/>
  <c r="K26" i="3"/>
  <c r="C27" i="3"/>
  <c r="K27" i="3"/>
  <c r="W27" i="6"/>
  <c r="W21" i="11" s="1"/>
  <c r="U27" i="3"/>
  <c r="AD28" i="6"/>
  <c r="AB28" i="3"/>
  <c r="AC28" i="3" s="1"/>
  <c r="H31" i="3"/>
  <c r="P31" i="3"/>
  <c r="H38" i="3"/>
  <c r="P38" i="3"/>
  <c r="H39" i="3"/>
  <c r="P39" i="3"/>
  <c r="H42" i="3"/>
  <c r="P42" i="3"/>
  <c r="H46" i="3"/>
  <c r="P46" i="3"/>
  <c r="C11" i="3"/>
  <c r="K11" i="3"/>
  <c r="W11" i="6"/>
  <c r="U11" i="3"/>
  <c r="AD13" i="6"/>
  <c r="AB13" i="3"/>
  <c r="AC13" i="3" s="1"/>
  <c r="H15" i="3"/>
  <c r="P15" i="3"/>
  <c r="H16" i="3"/>
  <c r="P16" i="3"/>
  <c r="P16" i="6" s="1"/>
  <c r="P19" i="3"/>
  <c r="R19" i="3" s="1"/>
  <c r="Z23" i="6"/>
  <c r="X23" i="3"/>
  <c r="Y25" i="6"/>
  <c r="W25" i="3"/>
  <c r="X27" i="6"/>
  <c r="V27" i="3"/>
  <c r="W28" i="6"/>
  <c r="U28" i="3"/>
  <c r="V11" i="3"/>
  <c r="X11" i="6"/>
  <c r="C12" i="3"/>
  <c r="K12" i="3"/>
  <c r="C13" i="3"/>
  <c r="K13" i="3"/>
  <c r="W13" i="6"/>
  <c r="W10" i="11" s="1"/>
  <c r="U13" i="3"/>
  <c r="U17" i="3" s="1"/>
  <c r="U19" i="3" s="1"/>
  <c r="AD14" i="6"/>
  <c r="AB14" i="3"/>
  <c r="AC14" i="3" s="1"/>
  <c r="H17" i="3"/>
  <c r="P17" i="3"/>
  <c r="Y23" i="3"/>
  <c r="Z23" i="3" s="1"/>
  <c r="AA23" i="6"/>
  <c r="Z25" i="6"/>
  <c r="X25" i="3"/>
  <c r="E26" i="3"/>
  <c r="M26" i="3"/>
  <c r="E27" i="3"/>
  <c r="E27" i="6" s="1"/>
  <c r="M27" i="3"/>
  <c r="M27" i="6" s="1"/>
  <c r="M27" i="11" s="1"/>
  <c r="Y27" i="6"/>
  <c r="W27" i="3"/>
  <c r="X28" i="6"/>
  <c r="V28" i="3"/>
  <c r="C30" i="3"/>
  <c r="K30" i="3"/>
  <c r="M31" i="11"/>
  <c r="E31" i="11"/>
  <c r="K31" i="11"/>
  <c r="O31" i="11" s="1"/>
  <c r="C438" i="12"/>
  <c r="AC10" i="6"/>
  <c r="AB8" i="11"/>
  <c r="AK8" i="11"/>
  <c r="K7" i="3"/>
  <c r="C7" i="8"/>
  <c r="P7" i="3"/>
  <c r="AA8" i="11"/>
  <c r="AJ8" i="11"/>
  <c r="T6" i="3"/>
  <c r="B6" i="11"/>
  <c r="B6" i="8"/>
  <c r="B6" i="7"/>
  <c r="U6" i="7" s="1"/>
  <c r="AA10" i="3"/>
  <c r="K7" i="6"/>
  <c r="AH8" i="11"/>
  <c r="Y8" i="11"/>
  <c r="AE10" i="6"/>
  <c r="X8" i="11"/>
  <c r="AG8" i="11"/>
  <c r="B18" i="6"/>
  <c r="U21" i="3"/>
  <c r="J27" i="9"/>
  <c r="D20" i="8"/>
  <c r="M34" i="8"/>
  <c r="D32" i="8"/>
  <c r="I38" i="8"/>
  <c r="Q39" i="8"/>
  <c r="P12" i="9"/>
  <c r="R12" i="9" s="1"/>
  <c r="H14" i="9"/>
  <c r="C20" i="9"/>
  <c r="G20" i="9" s="1"/>
  <c r="P20" i="9"/>
  <c r="H27" i="9"/>
  <c r="Y27" i="9"/>
  <c r="M28" i="9"/>
  <c r="H29" i="9"/>
  <c r="H31" i="9"/>
  <c r="H31" i="11" s="1"/>
  <c r="P38" i="9"/>
  <c r="H44" i="9"/>
  <c r="P46" i="9"/>
  <c r="Z25" i="10"/>
  <c r="Z27" i="10"/>
  <c r="I11" i="8"/>
  <c r="L14" i="8"/>
  <c r="Q20" i="8"/>
  <c r="N22" i="8"/>
  <c r="W7" i="9"/>
  <c r="AB7" i="9" s="1"/>
  <c r="X11" i="9"/>
  <c r="AA11" i="9" s="1"/>
  <c r="H12" i="9"/>
  <c r="J12" i="9" s="1"/>
  <c r="J15" i="9"/>
  <c r="P18" i="9"/>
  <c r="Q18" i="9" s="1"/>
  <c r="P21" i="9"/>
  <c r="X25" i="9"/>
  <c r="AA25" i="9" s="1"/>
  <c r="P28" i="9"/>
  <c r="R30" i="9"/>
  <c r="H32" i="9"/>
  <c r="P33" i="9"/>
  <c r="P37" i="9"/>
  <c r="C39" i="9"/>
  <c r="G39" i="9" s="1"/>
  <c r="H40" i="9"/>
  <c r="H42" i="9"/>
  <c r="P45" i="9"/>
  <c r="AK26" i="11"/>
  <c r="AB11" i="7"/>
  <c r="Y17" i="8"/>
  <c r="Y17" i="9" s="1"/>
  <c r="AC17" i="9" s="1"/>
  <c r="R20" i="8"/>
  <c r="AI7" i="9"/>
  <c r="AI8" i="9" s="1"/>
  <c r="P15" i="9"/>
  <c r="Q15" i="9" s="1"/>
  <c r="P16" i="9"/>
  <c r="Q16" i="9" s="1"/>
  <c r="P17" i="9"/>
  <c r="Q17" i="9" s="1"/>
  <c r="E20" i="9"/>
  <c r="F12" i="9" s="1"/>
  <c r="H22" i="9"/>
  <c r="Y25" i="9"/>
  <c r="Z25" i="9" s="1"/>
  <c r="P29" i="9"/>
  <c r="P30" i="9"/>
  <c r="R31" i="9"/>
  <c r="K32" i="9"/>
  <c r="O32" i="9" s="1"/>
  <c r="H35" i="9"/>
  <c r="K42" i="9"/>
  <c r="O42" i="9" s="1"/>
  <c r="P44" i="9"/>
  <c r="P47" i="9"/>
  <c r="I31" i="8"/>
  <c r="Q10" i="9"/>
  <c r="P13" i="9"/>
  <c r="Q13" i="9" s="1"/>
  <c r="X14" i="9"/>
  <c r="AA14" i="9" s="1"/>
  <c r="P19" i="9"/>
  <c r="U21" i="9"/>
  <c r="AC25" i="9"/>
  <c r="P26" i="9"/>
  <c r="M32" i="9"/>
  <c r="R32" i="9" s="1"/>
  <c r="P40" i="9"/>
  <c r="AA14" i="7"/>
  <c r="AA25" i="7"/>
  <c r="D19" i="8"/>
  <c r="J20" i="8"/>
  <c r="C34" i="8"/>
  <c r="O32" i="8"/>
  <c r="D39" i="8"/>
  <c r="P11" i="9"/>
  <c r="Q11" i="9" s="1"/>
  <c r="AC11" i="9"/>
  <c r="H15" i="9"/>
  <c r="V17" i="9"/>
  <c r="U19" i="9"/>
  <c r="H20" i="9"/>
  <c r="W21" i="9"/>
  <c r="W30" i="9" s="1"/>
  <c r="H23" i="9"/>
  <c r="H25" i="9"/>
  <c r="P27" i="9"/>
  <c r="R27" i="9" s="1"/>
  <c r="P31" i="9"/>
  <c r="P31" i="11" s="1"/>
  <c r="E34" i="9"/>
  <c r="F34" i="9" s="1"/>
  <c r="P35" i="9"/>
  <c r="H39" i="9"/>
  <c r="F46" i="9"/>
  <c r="G26" i="10"/>
  <c r="E19" i="11"/>
  <c r="D12" i="8"/>
  <c r="N13" i="8"/>
  <c r="L42" i="8"/>
  <c r="H16" i="9"/>
  <c r="H17" i="9"/>
  <c r="H18" i="9"/>
  <c r="K20" i="9"/>
  <c r="H21" i="9"/>
  <c r="E28" i="9"/>
  <c r="F28" i="9" s="1"/>
  <c r="C32" i="9"/>
  <c r="G32" i="9" s="1"/>
  <c r="P32" i="9"/>
  <c r="H38" i="9"/>
  <c r="P42" i="9"/>
  <c r="H46" i="9"/>
  <c r="K7" i="10"/>
  <c r="X7" i="10" s="1"/>
  <c r="R34" i="8"/>
  <c r="F10" i="9"/>
  <c r="F11" i="9"/>
  <c r="F14" i="9"/>
  <c r="P14" i="9"/>
  <c r="Q14" i="9" s="1"/>
  <c r="M20" i="9"/>
  <c r="N22" i="9" s="1"/>
  <c r="AB21" i="9"/>
  <c r="AB30" i="9" s="1"/>
  <c r="P23" i="9"/>
  <c r="P25" i="9"/>
  <c r="F26" i="9"/>
  <c r="H28" i="9"/>
  <c r="J30" i="9"/>
  <c r="J31" i="9"/>
  <c r="N39" i="9"/>
  <c r="H45" i="9"/>
  <c r="Z17" i="7"/>
  <c r="AB17" i="7" s="1"/>
  <c r="N30" i="8"/>
  <c r="H10" i="9"/>
  <c r="I10" i="9" s="1"/>
  <c r="H11" i="9"/>
  <c r="I11" i="9" s="1"/>
  <c r="V19" i="9"/>
  <c r="H13" i="9"/>
  <c r="I13" i="9" s="1"/>
  <c r="X13" i="9"/>
  <c r="R15" i="9"/>
  <c r="Y15" i="9"/>
  <c r="AC15" i="9" s="1"/>
  <c r="Y16" i="9"/>
  <c r="AC16" i="9" s="1"/>
  <c r="H19" i="9"/>
  <c r="P22" i="9"/>
  <c r="R22" i="9" s="1"/>
  <c r="K24" i="9"/>
  <c r="O24" i="9" s="1"/>
  <c r="H26" i="9"/>
  <c r="F27" i="9"/>
  <c r="X27" i="9"/>
  <c r="AA27" i="9" s="1"/>
  <c r="H30" i="9"/>
  <c r="E32" i="9"/>
  <c r="J32" i="9" s="1"/>
  <c r="H33" i="9"/>
  <c r="H37" i="9"/>
  <c r="N46" i="9"/>
  <c r="M19" i="11"/>
  <c r="E20" i="10"/>
  <c r="C10" i="10"/>
  <c r="I10" i="10"/>
  <c r="K10" i="10"/>
  <c r="M20" i="10"/>
  <c r="K19" i="10"/>
  <c r="K24" i="10" s="1"/>
  <c r="M24" i="10"/>
  <c r="J31" i="10"/>
  <c r="H32" i="10"/>
  <c r="J32" i="10" s="1"/>
  <c r="R31" i="10"/>
  <c r="P32" i="10"/>
  <c r="J38" i="10"/>
  <c r="R38" i="10"/>
  <c r="J39" i="10"/>
  <c r="R39" i="10"/>
  <c r="AC10" i="10"/>
  <c r="X10" i="10"/>
  <c r="Z8" i="11" s="1"/>
  <c r="V19" i="10"/>
  <c r="U11" i="10"/>
  <c r="C19" i="10"/>
  <c r="C19" i="11" s="1"/>
  <c r="I19" i="10"/>
  <c r="E24" i="10"/>
  <c r="AC28" i="10"/>
  <c r="X28" i="10"/>
  <c r="AA28" i="10" s="1"/>
  <c r="P24" i="10"/>
  <c r="R19" i="10"/>
  <c r="R10" i="10"/>
  <c r="P20" i="10"/>
  <c r="Q19" i="10" s="1"/>
  <c r="AC11" i="10"/>
  <c r="X11" i="10"/>
  <c r="Z11" i="10" s="1"/>
  <c r="Y19" i="10"/>
  <c r="U16" i="10"/>
  <c r="U17" i="10" s="1"/>
  <c r="V17" i="10"/>
  <c r="H24" i="10"/>
  <c r="E32" i="10"/>
  <c r="C31" i="10"/>
  <c r="G31" i="10" s="1"/>
  <c r="I31" i="10"/>
  <c r="M32" i="10"/>
  <c r="M34" i="10" s="1"/>
  <c r="C39" i="10"/>
  <c r="G39" i="10" s="1"/>
  <c r="I39" i="10"/>
  <c r="X16" i="10"/>
  <c r="Y17" i="10"/>
  <c r="AC16" i="10"/>
  <c r="U10" i="10"/>
  <c r="W8" i="11" s="1"/>
  <c r="V21" i="10"/>
  <c r="V30" i="10" s="1"/>
  <c r="W40" i="7" s="1"/>
  <c r="U28" i="10"/>
  <c r="G28" i="10"/>
  <c r="C32" i="10"/>
  <c r="G32" i="10" s="1"/>
  <c r="O31" i="10"/>
  <c r="K36" i="10"/>
  <c r="N59" i="7" s="1"/>
  <c r="Q28" i="10"/>
  <c r="AA23" i="10"/>
  <c r="AA25" i="10"/>
  <c r="W7" i="10"/>
  <c r="AB7" i="10" s="1"/>
  <c r="G30" i="10"/>
  <c r="V21" i="9"/>
  <c r="V30" i="9" s="1"/>
  <c r="AA30" i="9" s="1"/>
  <c r="Z11" i="9"/>
  <c r="F13" i="9"/>
  <c r="N13" i="9"/>
  <c r="N24" i="9"/>
  <c r="I26" i="9"/>
  <c r="Q26" i="9"/>
  <c r="I28" i="9"/>
  <c r="Q28" i="9"/>
  <c r="F30" i="9"/>
  <c r="N30" i="9"/>
  <c r="I34" i="9"/>
  <c r="Q34" i="9"/>
  <c r="I38" i="9"/>
  <c r="Q38" i="9"/>
  <c r="I39" i="9"/>
  <c r="Q39" i="9"/>
  <c r="I45" i="9"/>
  <c r="Q45" i="9"/>
  <c r="I46" i="9"/>
  <c r="Q46" i="9"/>
  <c r="J10" i="9"/>
  <c r="R10" i="9"/>
  <c r="L18" i="9"/>
  <c r="L19" i="9"/>
  <c r="L20" i="9"/>
  <c r="Q21" i="9"/>
  <c r="J26" i="9"/>
  <c r="R26" i="9"/>
  <c r="I27" i="9"/>
  <c r="Q27" i="9"/>
  <c r="J28" i="9"/>
  <c r="R28" i="9"/>
  <c r="F31" i="9"/>
  <c r="N31" i="9"/>
  <c r="F32" i="9"/>
  <c r="N32" i="9"/>
  <c r="J34" i="9"/>
  <c r="J38" i="9"/>
  <c r="R38" i="9"/>
  <c r="J39" i="9"/>
  <c r="R39" i="9"/>
  <c r="F42" i="9"/>
  <c r="N42" i="9"/>
  <c r="J46" i="9"/>
  <c r="R46" i="9"/>
  <c r="F16" i="9"/>
  <c r="F17" i="9"/>
  <c r="F18" i="9"/>
  <c r="F19" i="9"/>
  <c r="F20" i="9"/>
  <c r="N20" i="9"/>
  <c r="I24" i="9"/>
  <c r="L28" i="9"/>
  <c r="I30" i="9"/>
  <c r="Q30" i="9"/>
  <c r="L34" i="9"/>
  <c r="L38" i="9"/>
  <c r="L39" i="9"/>
  <c r="L45" i="9"/>
  <c r="L46" i="9"/>
  <c r="Z15" i="9"/>
  <c r="Z16" i="9"/>
  <c r="L27" i="9"/>
  <c r="I31" i="9"/>
  <c r="Q31" i="9"/>
  <c r="I32" i="9"/>
  <c r="Q32" i="9"/>
  <c r="I42" i="9"/>
  <c r="Q42" i="9"/>
  <c r="L22" i="9"/>
  <c r="I16" i="9"/>
  <c r="I17" i="9"/>
  <c r="I18" i="9"/>
  <c r="I19" i="9"/>
  <c r="L24" i="9"/>
  <c r="L30" i="9"/>
  <c r="J20" i="9"/>
  <c r="R20" i="9"/>
  <c r="L31" i="9"/>
  <c r="L32" i="9"/>
  <c r="L36" i="9"/>
  <c r="L41" i="9"/>
  <c r="L42" i="9"/>
  <c r="I24" i="8"/>
  <c r="H36" i="8"/>
  <c r="H36" i="9" s="1"/>
  <c r="I36" i="9" s="1"/>
  <c r="J34" i="8"/>
  <c r="AA30" i="8"/>
  <c r="AC17" i="8"/>
  <c r="Z17" i="8"/>
  <c r="Y19" i="8"/>
  <c r="Z15" i="8"/>
  <c r="Z16" i="8"/>
  <c r="X17" i="8"/>
  <c r="D27" i="8"/>
  <c r="Q27" i="8"/>
  <c r="D28" i="8"/>
  <c r="N32" i="8"/>
  <c r="F39" i="8"/>
  <c r="N42" i="8"/>
  <c r="Q45" i="8"/>
  <c r="Z13" i="8"/>
  <c r="Z14" i="8"/>
  <c r="L22" i="8"/>
  <c r="C24" i="8"/>
  <c r="C27" i="9" s="1"/>
  <c r="G27" i="9" s="1"/>
  <c r="K24" i="8"/>
  <c r="K27" i="9" s="1"/>
  <c r="O27" i="9" s="1"/>
  <c r="I26" i="8"/>
  <c r="F27" i="8"/>
  <c r="N28" i="8"/>
  <c r="D30" i="8"/>
  <c r="Q30" i="8"/>
  <c r="L31" i="8"/>
  <c r="F32" i="8"/>
  <c r="D42" i="8"/>
  <c r="I45" i="8"/>
  <c r="K7" i="8"/>
  <c r="D24" i="8"/>
  <c r="L24" i="8"/>
  <c r="F28" i="8"/>
  <c r="O28" i="8"/>
  <c r="F30" i="8"/>
  <c r="N31" i="8"/>
  <c r="Q32" i="8"/>
  <c r="I34" i="8"/>
  <c r="Q34" i="8"/>
  <c r="L38" i="8"/>
  <c r="I39" i="8"/>
  <c r="D41" i="8"/>
  <c r="L41" i="8"/>
  <c r="F42" i="8"/>
  <c r="Q42" i="8"/>
  <c r="F46" i="8"/>
  <c r="D22" i="8"/>
  <c r="E24" i="8"/>
  <c r="E24" i="9" s="1"/>
  <c r="J24" i="9" s="1"/>
  <c r="M24" i="8"/>
  <c r="M24" i="9" s="1"/>
  <c r="Z25" i="8"/>
  <c r="L26" i="8"/>
  <c r="I27" i="8"/>
  <c r="G28" i="8"/>
  <c r="Q28" i="8"/>
  <c r="I32" i="8"/>
  <c r="N38" i="8"/>
  <c r="I46" i="8"/>
  <c r="Q15" i="8"/>
  <c r="D16" i="8"/>
  <c r="D17" i="8"/>
  <c r="X19" i="8"/>
  <c r="X19" i="9" s="1"/>
  <c r="AA19" i="9" s="1"/>
  <c r="F20" i="8"/>
  <c r="N20" i="8"/>
  <c r="F22" i="8"/>
  <c r="Q22" i="8"/>
  <c r="N26" i="8"/>
  <c r="I28" i="8"/>
  <c r="R28" i="8"/>
  <c r="I30" i="8"/>
  <c r="D31" i="8"/>
  <c r="Q31" i="8"/>
  <c r="D38" i="8"/>
  <c r="L39" i="8"/>
  <c r="I42" i="8"/>
  <c r="L45" i="8"/>
  <c r="N46" i="8"/>
  <c r="D13" i="8"/>
  <c r="D14" i="8"/>
  <c r="D15" i="8"/>
  <c r="L16" i="8"/>
  <c r="L17" i="8"/>
  <c r="D18" i="8"/>
  <c r="G20" i="8"/>
  <c r="O20" i="8"/>
  <c r="L27" i="8"/>
  <c r="J28" i="8"/>
  <c r="F31" i="8"/>
  <c r="D34" i="8"/>
  <c r="L34" i="8"/>
  <c r="D36" i="8"/>
  <c r="L36" i="8"/>
  <c r="Q38" i="8"/>
  <c r="N39" i="8"/>
  <c r="D43" i="8"/>
  <c r="L43" i="8"/>
  <c r="D45" i="8"/>
  <c r="L18" i="8"/>
  <c r="I22" i="8"/>
  <c r="P24" i="8"/>
  <c r="P24" i="9" s="1"/>
  <c r="Q24" i="9" s="1"/>
  <c r="L30" i="8"/>
  <c r="H28" i="7"/>
  <c r="J26" i="7"/>
  <c r="E20" i="7"/>
  <c r="F10" i="7"/>
  <c r="M20" i="7"/>
  <c r="N10" i="7" s="1"/>
  <c r="G12" i="7"/>
  <c r="O12" i="7"/>
  <c r="G22" i="7"/>
  <c r="O22" i="7"/>
  <c r="G39" i="7"/>
  <c r="O39" i="7"/>
  <c r="F42" i="7"/>
  <c r="J15" i="7"/>
  <c r="J27" i="7"/>
  <c r="N38" i="7"/>
  <c r="G13" i="7"/>
  <c r="O15" i="7"/>
  <c r="J30" i="7"/>
  <c r="H32" i="7"/>
  <c r="R30" i="7"/>
  <c r="P32" i="7"/>
  <c r="G46" i="7"/>
  <c r="O46" i="7"/>
  <c r="F38" i="7"/>
  <c r="G11" i="7"/>
  <c r="O11" i="7"/>
  <c r="F12" i="7"/>
  <c r="N12" i="7"/>
  <c r="F22" i="7"/>
  <c r="G26" i="7"/>
  <c r="C28" i="7"/>
  <c r="O26" i="7"/>
  <c r="K28" i="7"/>
  <c r="G27" i="7"/>
  <c r="O27" i="7"/>
  <c r="J31" i="7"/>
  <c r="R31" i="7"/>
  <c r="J38" i="7"/>
  <c r="R38" i="7"/>
  <c r="F39" i="7"/>
  <c r="J11" i="7"/>
  <c r="I11" i="7"/>
  <c r="P28" i="7"/>
  <c r="R26" i="7"/>
  <c r="J10" i="7"/>
  <c r="H20" i="7"/>
  <c r="I31" i="7" s="1"/>
  <c r="R10" i="7"/>
  <c r="P20" i="7"/>
  <c r="Q10" i="7" s="1"/>
  <c r="G15" i="7"/>
  <c r="J42" i="7"/>
  <c r="I42" i="7"/>
  <c r="R42" i="7"/>
  <c r="F46" i="7"/>
  <c r="O13" i="7"/>
  <c r="R27" i="7"/>
  <c r="F11" i="7"/>
  <c r="N11" i="7"/>
  <c r="R13" i="7"/>
  <c r="R15" i="7"/>
  <c r="F26" i="7"/>
  <c r="E28" i="7"/>
  <c r="N26" i="7"/>
  <c r="M28" i="7"/>
  <c r="F27" i="7"/>
  <c r="N27" i="7"/>
  <c r="C32" i="7"/>
  <c r="G30" i="7"/>
  <c r="K32" i="7"/>
  <c r="O30" i="7"/>
  <c r="R11" i="7"/>
  <c r="F31" i="7"/>
  <c r="J12" i="7"/>
  <c r="Q12" i="7"/>
  <c r="R12" i="7"/>
  <c r="J13" i="7"/>
  <c r="J22" i="7"/>
  <c r="Q22" i="7"/>
  <c r="R22" i="7"/>
  <c r="G31" i="7"/>
  <c r="L31" i="7"/>
  <c r="O31" i="7"/>
  <c r="G38" i="7"/>
  <c r="O38" i="7"/>
  <c r="J39" i="7"/>
  <c r="R39" i="7"/>
  <c r="C20" i="7"/>
  <c r="D22" i="7" s="1"/>
  <c r="G10" i="7"/>
  <c r="K20" i="7"/>
  <c r="L12" i="7" s="1"/>
  <c r="O10" i="7"/>
  <c r="F30" i="7"/>
  <c r="E32" i="7"/>
  <c r="F32" i="7" s="1"/>
  <c r="N30" i="7"/>
  <c r="M32" i="7"/>
  <c r="N32" i="7" s="1"/>
  <c r="G42" i="7"/>
  <c r="O42" i="7"/>
  <c r="L42" i="7"/>
  <c r="J46" i="7"/>
  <c r="I46" i="7"/>
  <c r="R46" i="7"/>
  <c r="Q46" i="7"/>
  <c r="W41" i="7"/>
  <c r="W42" i="7" s="1"/>
  <c r="V38" i="7"/>
  <c r="AB30" i="7"/>
  <c r="AA17" i="7"/>
  <c r="AC21" i="7"/>
  <c r="AA13" i="7"/>
  <c r="AA15" i="7"/>
  <c r="AA16" i="7"/>
  <c r="AB25" i="7"/>
  <c r="X7" i="7"/>
  <c r="AC7" i="7" s="1"/>
  <c r="AB13" i="7"/>
  <c r="AD17" i="7"/>
  <c r="Y19" i="7"/>
  <c r="AA28" i="7"/>
  <c r="AD13" i="7"/>
  <c r="Z19" i="7"/>
  <c r="AA11" i="7"/>
  <c r="P7" i="6"/>
  <c r="AB11" i="6"/>
  <c r="AC11" i="6"/>
  <c r="AB15" i="6"/>
  <c r="AI12" i="11" s="1"/>
  <c r="AB25" i="6"/>
  <c r="AB27" i="6"/>
  <c r="AI21" i="11" s="1"/>
  <c r="AB10" i="6"/>
  <c r="AB13" i="6"/>
  <c r="AI10" i="11" s="1"/>
  <c r="E20" i="5"/>
  <c r="C20" i="5"/>
  <c r="D10" i="5" s="1"/>
  <c r="G10" i="5"/>
  <c r="G26" i="5"/>
  <c r="C28" i="5"/>
  <c r="O26" i="5"/>
  <c r="K28" i="5"/>
  <c r="G27" i="5"/>
  <c r="O27" i="5"/>
  <c r="R31" i="5"/>
  <c r="J39" i="5"/>
  <c r="O46" i="5"/>
  <c r="R39" i="5"/>
  <c r="J13" i="5"/>
  <c r="H20" i="5"/>
  <c r="I38" i="5" s="1"/>
  <c r="R13" i="5"/>
  <c r="M32" i="5"/>
  <c r="O42" i="5"/>
  <c r="J22" i="5"/>
  <c r="I20" i="5"/>
  <c r="R22" i="5"/>
  <c r="E28" i="5"/>
  <c r="M28" i="5"/>
  <c r="J31" i="5"/>
  <c r="R38" i="5"/>
  <c r="G46" i="5"/>
  <c r="D46" i="5"/>
  <c r="H32" i="5"/>
  <c r="J30" i="5"/>
  <c r="E32" i="5"/>
  <c r="J38" i="5"/>
  <c r="G42" i="5"/>
  <c r="D13" i="5"/>
  <c r="G13" i="5"/>
  <c r="K20" i="5"/>
  <c r="L27" i="5" s="1"/>
  <c r="O13" i="5"/>
  <c r="R30" i="5"/>
  <c r="P32" i="5"/>
  <c r="M20" i="5"/>
  <c r="D18" i="5"/>
  <c r="G22" i="5"/>
  <c r="D22" i="5"/>
  <c r="O22" i="5"/>
  <c r="H28" i="5"/>
  <c r="J26" i="5"/>
  <c r="P28" i="5"/>
  <c r="R26" i="5"/>
  <c r="J27" i="5"/>
  <c r="R27" i="5"/>
  <c r="G32" i="5"/>
  <c r="O32" i="5"/>
  <c r="P20" i="5"/>
  <c r="Q38" i="5" s="1"/>
  <c r="H20" i="4"/>
  <c r="I26" i="4" s="1"/>
  <c r="J10" i="4"/>
  <c r="P20" i="4"/>
  <c r="Q10" i="4" s="1"/>
  <c r="R10" i="4"/>
  <c r="V17" i="4"/>
  <c r="G14" i="4"/>
  <c r="O14" i="4"/>
  <c r="L14" i="4"/>
  <c r="AC15" i="4"/>
  <c r="AC16" i="4"/>
  <c r="J18" i="4"/>
  <c r="R18" i="4"/>
  <c r="Q18" i="4"/>
  <c r="J19" i="4"/>
  <c r="I20" i="4"/>
  <c r="J22" i="4"/>
  <c r="R22" i="4"/>
  <c r="Q22" i="4"/>
  <c r="Z25" i="4"/>
  <c r="AA27" i="4"/>
  <c r="G31" i="4"/>
  <c r="O31" i="4"/>
  <c r="G38" i="4"/>
  <c r="O38" i="4"/>
  <c r="G39" i="4"/>
  <c r="O39" i="4"/>
  <c r="G42" i="4"/>
  <c r="D42" i="4"/>
  <c r="O42" i="4"/>
  <c r="G46" i="4"/>
  <c r="O46" i="4"/>
  <c r="AA11" i="4"/>
  <c r="X19" i="4"/>
  <c r="W17" i="4"/>
  <c r="G15" i="4"/>
  <c r="O15" i="4"/>
  <c r="L15" i="4"/>
  <c r="O16" i="4"/>
  <c r="Z27" i="4"/>
  <c r="AA28" i="4"/>
  <c r="E32" i="4"/>
  <c r="M32" i="4"/>
  <c r="N30" i="4"/>
  <c r="Z11" i="4"/>
  <c r="X17" i="4"/>
  <c r="Z17" i="6" s="1"/>
  <c r="AA13" i="4"/>
  <c r="Z13" i="4"/>
  <c r="G16" i="4"/>
  <c r="G17" i="4"/>
  <c r="D17" i="4"/>
  <c r="O17" i="4"/>
  <c r="L17" i="4"/>
  <c r="AC23" i="4"/>
  <c r="J26" i="4"/>
  <c r="H28" i="4"/>
  <c r="R26" i="4"/>
  <c r="P28" i="4"/>
  <c r="Q26" i="4"/>
  <c r="J27" i="4"/>
  <c r="R27" i="4"/>
  <c r="Q27" i="4"/>
  <c r="Z28" i="4"/>
  <c r="F42" i="4"/>
  <c r="N46" i="4"/>
  <c r="G10" i="4"/>
  <c r="C20" i="4"/>
  <c r="D14" i="4" s="1"/>
  <c r="O10" i="4"/>
  <c r="K20" i="4"/>
  <c r="L31" i="4" s="1"/>
  <c r="J11" i="4"/>
  <c r="I11" i="4"/>
  <c r="R11" i="4"/>
  <c r="Q11" i="4"/>
  <c r="Y17" i="4"/>
  <c r="AA14" i="4"/>
  <c r="Z14" i="4"/>
  <c r="G18" i="4"/>
  <c r="D18" i="4"/>
  <c r="O18" i="4"/>
  <c r="L18" i="4"/>
  <c r="G19" i="4"/>
  <c r="G22" i="4"/>
  <c r="D22" i="4"/>
  <c r="O22" i="4"/>
  <c r="L22" i="4"/>
  <c r="AC25" i="4"/>
  <c r="J12" i="4"/>
  <c r="R12" i="4"/>
  <c r="Q12" i="4"/>
  <c r="J13" i="4"/>
  <c r="R13" i="4"/>
  <c r="Q13" i="4"/>
  <c r="AA15" i="4"/>
  <c r="Z15" i="4"/>
  <c r="AA16" i="4"/>
  <c r="Z16" i="4"/>
  <c r="AC27" i="4"/>
  <c r="J30" i="4"/>
  <c r="H32" i="4"/>
  <c r="I30" i="4"/>
  <c r="R30" i="4"/>
  <c r="P32" i="4"/>
  <c r="Q30" i="4"/>
  <c r="E20" i="4"/>
  <c r="F12" i="4" s="1"/>
  <c r="M20" i="4"/>
  <c r="N11" i="4" s="1"/>
  <c r="AC11" i="4"/>
  <c r="J14" i="4"/>
  <c r="R14" i="4"/>
  <c r="Q14" i="4"/>
  <c r="F18" i="4"/>
  <c r="C28" i="4"/>
  <c r="D26" i="4"/>
  <c r="G26" i="4"/>
  <c r="K28" i="4"/>
  <c r="L26" i="4"/>
  <c r="O26" i="4"/>
  <c r="D27" i="4"/>
  <c r="G27" i="4"/>
  <c r="L27" i="4"/>
  <c r="O27" i="4"/>
  <c r="AC28" i="4"/>
  <c r="J31" i="4"/>
  <c r="R31" i="4"/>
  <c r="Q31" i="4"/>
  <c r="J38" i="4"/>
  <c r="R38" i="4"/>
  <c r="Q38" i="4"/>
  <c r="J39" i="4"/>
  <c r="R39" i="4"/>
  <c r="Q39" i="4"/>
  <c r="J42" i="4"/>
  <c r="R42" i="4"/>
  <c r="Q42" i="4"/>
  <c r="J46" i="4"/>
  <c r="R46" i="4"/>
  <c r="Q46" i="4"/>
  <c r="D11" i="4"/>
  <c r="G11" i="4"/>
  <c r="L11" i="4"/>
  <c r="O11" i="4"/>
  <c r="AC13" i="4"/>
  <c r="AB17" i="4"/>
  <c r="I15" i="4"/>
  <c r="J15" i="4"/>
  <c r="Q15" i="4"/>
  <c r="R15" i="4"/>
  <c r="I16" i="4"/>
  <c r="J16" i="4"/>
  <c r="Q16" i="4"/>
  <c r="R16" i="4"/>
  <c r="Q19" i="4"/>
  <c r="AA23" i="4"/>
  <c r="G12" i="4"/>
  <c r="D12" i="4"/>
  <c r="O12" i="4"/>
  <c r="L12" i="4"/>
  <c r="G13" i="4"/>
  <c r="D13" i="4"/>
  <c r="O13" i="4"/>
  <c r="L13" i="4"/>
  <c r="U17" i="4"/>
  <c r="W17" i="6" s="1"/>
  <c r="AC14" i="4"/>
  <c r="J17" i="4"/>
  <c r="R17" i="4"/>
  <c r="Q17" i="4"/>
  <c r="Z23" i="4"/>
  <c r="AA25" i="4"/>
  <c r="E28" i="4"/>
  <c r="F26" i="4"/>
  <c r="M28" i="4"/>
  <c r="N26" i="4"/>
  <c r="G30" i="4"/>
  <c r="C32" i="4"/>
  <c r="D30" i="4"/>
  <c r="O30" i="4"/>
  <c r="K32" i="4"/>
  <c r="L30" i="4"/>
  <c r="L17" i="3"/>
  <c r="N38" i="3"/>
  <c r="C32" i="3"/>
  <c r="C20" i="3"/>
  <c r="D12" i="3" s="1"/>
  <c r="K20" i="3"/>
  <c r="L13" i="3" s="1"/>
  <c r="AC11" i="3"/>
  <c r="Z13" i="3"/>
  <c r="R16" i="3"/>
  <c r="J22" i="3"/>
  <c r="AA25" i="3"/>
  <c r="N30" i="3"/>
  <c r="Z25" i="3"/>
  <c r="L11" i="3"/>
  <c r="AA13" i="3"/>
  <c r="E20" i="3"/>
  <c r="M20" i="3"/>
  <c r="N11" i="3" s="1"/>
  <c r="K32" i="3"/>
  <c r="G19" i="3"/>
  <c r="Z10" i="3"/>
  <c r="H32" i="3"/>
  <c r="P32" i="3"/>
  <c r="Z15" i="3"/>
  <c r="D26" i="3"/>
  <c r="L26" i="3"/>
  <c r="AD8" i="11" l="1"/>
  <c r="R31" i="11"/>
  <c r="J31" i="11"/>
  <c r="G19" i="11"/>
  <c r="F30" i="3"/>
  <c r="F11" i="3"/>
  <c r="F38" i="3"/>
  <c r="F18" i="3"/>
  <c r="F14" i="3"/>
  <c r="F19" i="3"/>
  <c r="F10" i="3"/>
  <c r="L42" i="3"/>
  <c r="N27" i="4"/>
  <c r="U19" i="4"/>
  <c r="U21" i="4" s="1"/>
  <c r="U30" i="4" s="1"/>
  <c r="N18" i="4"/>
  <c r="N19" i="4"/>
  <c r="D19" i="4"/>
  <c r="L10" i="4"/>
  <c r="N14" i="4"/>
  <c r="N13" i="4"/>
  <c r="I18" i="4"/>
  <c r="M34" i="5"/>
  <c r="D42" i="7"/>
  <c r="D11" i="7"/>
  <c r="R24" i="9"/>
  <c r="R11" i="9"/>
  <c r="F38" i="9"/>
  <c r="I20" i="9"/>
  <c r="I22" i="9"/>
  <c r="I12" i="9"/>
  <c r="F39" i="9"/>
  <c r="Q20" i="9"/>
  <c r="Q12" i="9"/>
  <c r="Q22" i="9"/>
  <c r="P17" i="6"/>
  <c r="R17" i="3"/>
  <c r="K12" i="6"/>
  <c r="O12" i="3"/>
  <c r="J15" i="3"/>
  <c r="H15" i="6"/>
  <c r="J46" i="3"/>
  <c r="H46" i="6"/>
  <c r="J31" i="3"/>
  <c r="H32" i="6"/>
  <c r="J32" i="6" s="1"/>
  <c r="C28" i="3"/>
  <c r="G26" i="3"/>
  <c r="C26" i="6"/>
  <c r="AA16" i="3"/>
  <c r="Z16" i="3"/>
  <c r="J12" i="3"/>
  <c r="H12" i="6"/>
  <c r="O18" i="3"/>
  <c r="K18" i="6"/>
  <c r="O10" i="3"/>
  <c r="K10" i="6"/>
  <c r="P28" i="3"/>
  <c r="P26" i="6"/>
  <c r="R26" i="3"/>
  <c r="X17" i="3"/>
  <c r="AB21" i="11"/>
  <c r="AC21" i="11" s="1"/>
  <c r="AK21" i="11"/>
  <c r="G15" i="3"/>
  <c r="C15" i="6"/>
  <c r="G12" i="6"/>
  <c r="E12" i="11"/>
  <c r="G39" i="3"/>
  <c r="C39" i="6"/>
  <c r="AC27" i="6"/>
  <c r="Z21" i="11"/>
  <c r="AC16" i="3"/>
  <c r="V17" i="3"/>
  <c r="V19" i="3" s="1"/>
  <c r="V21" i="3" s="1"/>
  <c r="V30" i="3" s="1"/>
  <c r="Q14" i="5"/>
  <c r="D30" i="7"/>
  <c r="D39" i="7"/>
  <c r="AA17" i="8"/>
  <c r="X17" i="9"/>
  <c r="G34" i="8"/>
  <c r="C42" i="9"/>
  <c r="G42" i="9" s="1"/>
  <c r="N11" i="9"/>
  <c r="AC8" i="11"/>
  <c r="E27" i="11"/>
  <c r="H17" i="6"/>
  <c r="J17" i="3"/>
  <c r="G12" i="3"/>
  <c r="C12" i="6"/>
  <c r="R42" i="3"/>
  <c r="P42" i="6"/>
  <c r="AE11" i="6"/>
  <c r="AA9" i="11"/>
  <c r="W20" i="11"/>
  <c r="AA15" i="3"/>
  <c r="G18" i="3"/>
  <c r="C18" i="6"/>
  <c r="G10" i="3"/>
  <c r="C10" i="6"/>
  <c r="H28" i="3"/>
  <c r="H26" i="6"/>
  <c r="J26" i="3"/>
  <c r="G16" i="3"/>
  <c r="C16" i="6"/>
  <c r="Z10" i="11"/>
  <c r="Z19" i="6"/>
  <c r="Z9" i="11"/>
  <c r="O38" i="3"/>
  <c r="K38" i="6"/>
  <c r="AC25" i="3"/>
  <c r="AE16" i="6"/>
  <c r="AA13" i="11"/>
  <c r="AE13" i="11" s="1"/>
  <c r="AH10" i="11"/>
  <c r="Y10" i="11"/>
  <c r="L39" i="3"/>
  <c r="L10" i="3"/>
  <c r="L15" i="3"/>
  <c r="L38" i="3"/>
  <c r="L27" i="3"/>
  <c r="Z17" i="4"/>
  <c r="AA17" i="6"/>
  <c r="AA19" i="6" s="1"/>
  <c r="L16" i="4"/>
  <c r="L32" i="5"/>
  <c r="AI9" i="11"/>
  <c r="D26" i="7"/>
  <c r="D13" i="7"/>
  <c r="Q31" i="10"/>
  <c r="N27" i="9"/>
  <c r="I14" i="9"/>
  <c r="J11" i="9"/>
  <c r="AE8" i="11"/>
  <c r="T6" i="8"/>
  <c r="B6" i="9"/>
  <c r="O30" i="3"/>
  <c r="K30" i="6"/>
  <c r="M26" i="6"/>
  <c r="M28" i="3"/>
  <c r="Y9" i="11"/>
  <c r="AH9" i="11"/>
  <c r="AA23" i="3"/>
  <c r="AE13" i="6"/>
  <c r="AA10" i="11"/>
  <c r="AE10" i="11" s="1"/>
  <c r="J42" i="3"/>
  <c r="H42" i="6"/>
  <c r="AA22" i="11"/>
  <c r="AE22" i="11" s="1"/>
  <c r="AE28" i="6"/>
  <c r="R10" i="3"/>
  <c r="M10" i="6"/>
  <c r="Y19" i="11"/>
  <c r="AH19" i="11"/>
  <c r="AC15" i="6"/>
  <c r="Z12" i="11"/>
  <c r="AE25" i="6"/>
  <c r="X13" i="11"/>
  <c r="AG13" i="11"/>
  <c r="AA14" i="3"/>
  <c r="Z14" i="3"/>
  <c r="AC23" i="3"/>
  <c r="Y12" i="11"/>
  <c r="AH12" i="11"/>
  <c r="AK9" i="11"/>
  <c r="AB9" i="11"/>
  <c r="W13" i="11"/>
  <c r="W14" i="11" s="1"/>
  <c r="W15" i="11" s="1"/>
  <c r="W18" i="11" s="1"/>
  <c r="W23" i="11" s="1"/>
  <c r="Y11" i="11"/>
  <c r="AH11" i="11"/>
  <c r="G38" i="3"/>
  <c r="C38" i="6"/>
  <c r="AK20" i="11"/>
  <c r="AB20" i="11"/>
  <c r="AC15" i="3"/>
  <c r="X9" i="11"/>
  <c r="AG9" i="11"/>
  <c r="N14" i="3"/>
  <c r="I27" i="4"/>
  <c r="AC17" i="6"/>
  <c r="Z14" i="11"/>
  <c r="D38" i="4"/>
  <c r="I10" i="4"/>
  <c r="D32" i="5"/>
  <c r="Q39" i="7"/>
  <c r="D31" i="7"/>
  <c r="L27" i="7"/>
  <c r="Q39" i="10"/>
  <c r="I15" i="9"/>
  <c r="R13" i="9"/>
  <c r="AI8" i="11"/>
  <c r="U7" i="8"/>
  <c r="X7" i="8" s="1"/>
  <c r="C7" i="9"/>
  <c r="G30" i="3"/>
  <c r="C30" i="6"/>
  <c r="E28" i="3"/>
  <c r="E26" i="6"/>
  <c r="AE14" i="6"/>
  <c r="AA11" i="11"/>
  <c r="AE11" i="11" s="1"/>
  <c r="Z19" i="11"/>
  <c r="AC23" i="6"/>
  <c r="R39" i="3"/>
  <c r="P39" i="6"/>
  <c r="AB16" i="6"/>
  <c r="AK13" i="11"/>
  <c r="AB13" i="11"/>
  <c r="J10" i="3"/>
  <c r="E10" i="6"/>
  <c r="AC14" i="6"/>
  <c r="Z11" i="11"/>
  <c r="AB14" i="6"/>
  <c r="AI11" i="11" s="1"/>
  <c r="AA19" i="11"/>
  <c r="AE23" i="6"/>
  <c r="Z11" i="3"/>
  <c r="W17" i="3"/>
  <c r="W19" i="3" s="1"/>
  <c r="O46" i="3"/>
  <c r="K46" i="6"/>
  <c r="O31" i="3"/>
  <c r="K32" i="6"/>
  <c r="R22" i="3"/>
  <c r="P22" i="6"/>
  <c r="AA12" i="11"/>
  <c r="AE12" i="11" s="1"/>
  <c r="AE15" i="6"/>
  <c r="D15" i="7"/>
  <c r="AA13" i="9"/>
  <c r="Z13" i="9"/>
  <c r="L43" i="9"/>
  <c r="O20" i="9"/>
  <c r="L17" i="9"/>
  <c r="L16" i="9"/>
  <c r="L21" i="9"/>
  <c r="L15" i="9"/>
  <c r="L12" i="9"/>
  <c r="L14" i="9"/>
  <c r="L11" i="9"/>
  <c r="L26" i="9"/>
  <c r="L13" i="9"/>
  <c r="L10" i="9"/>
  <c r="N14" i="9"/>
  <c r="N26" i="9"/>
  <c r="N10" i="9"/>
  <c r="N15" i="9"/>
  <c r="W19" i="6"/>
  <c r="W9" i="11"/>
  <c r="J39" i="3"/>
  <c r="H39" i="6"/>
  <c r="AG19" i="11"/>
  <c r="X19" i="11"/>
  <c r="R30" i="3"/>
  <c r="P30" i="6"/>
  <c r="AK11" i="11"/>
  <c r="AB11" i="11"/>
  <c r="M16" i="11"/>
  <c r="AC13" i="6"/>
  <c r="AB10" i="11"/>
  <c r="AK10" i="11"/>
  <c r="O19" i="3"/>
  <c r="M32" i="3"/>
  <c r="N32" i="3" s="1"/>
  <c r="M30" i="6"/>
  <c r="K16" i="6"/>
  <c r="O16" i="3"/>
  <c r="X10" i="11"/>
  <c r="AG10" i="11"/>
  <c r="G46" i="3"/>
  <c r="C46" i="6"/>
  <c r="G31" i="3"/>
  <c r="C32" i="6"/>
  <c r="I20" i="3"/>
  <c r="H22" i="6"/>
  <c r="Q10" i="10"/>
  <c r="N28" i="9"/>
  <c r="U30" i="3"/>
  <c r="AA30" i="3" s="1"/>
  <c r="W21" i="6"/>
  <c r="W30" i="6" s="1"/>
  <c r="C31" i="11"/>
  <c r="Y22" i="11"/>
  <c r="AH22" i="11"/>
  <c r="AC25" i="6"/>
  <c r="W22" i="11"/>
  <c r="R16" i="6"/>
  <c r="P16" i="11"/>
  <c r="O11" i="3"/>
  <c r="K11" i="6"/>
  <c r="R38" i="3"/>
  <c r="P38" i="6"/>
  <c r="O27" i="3"/>
  <c r="K27" i="6"/>
  <c r="AK12" i="11"/>
  <c r="AB12" i="11"/>
  <c r="J30" i="3"/>
  <c r="H30" i="6"/>
  <c r="R17" i="6"/>
  <c r="M17" i="11"/>
  <c r="R13" i="3"/>
  <c r="P13" i="6"/>
  <c r="O22" i="3"/>
  <c r="K22" i="6"/>
  <c r="Y17" i="3"/>
  <c r="AB28" i="6"/>
  <c r="AK22" i="11"/>
  <c r="AB22" i="11"/>
  <c r="K17" i="6"/>
  <c r="O17" i="3"/>
  <c r="X11" i="11"/>
  <c r="AG11" i="11"/>
  <c r="E32" i="3"/>
  <c r="F32" i="3" s="1"/>
  <c r="E30" i="6"/>
  <c r="O42" i="3"/>
  <c r="K42" i="6"/>
  <c r="J19" i="3"/>
  <c r="H19" i="6"/>
  <c r="H19" i="11" s="1"/>
  <c r="J19" i="11" s="1"/>
  <c r="AC17" i="4"/>
  <c r="AB17" i="3"/>
  <c r="AC17" i="3" s="1"/>
  <c r="AD17" i="6"/>
  <c r="N16" i="4"/>
  <c r="N39" i="4"/>
  <c r="N32" i="4"/>
  <c r="L38" i="7"/>
  <c r="L30" i="7"/>
  <c r="L13" i="7"/>
  <c r="L26" i="7"/>
  <c r="D12" i="7"/>
  <c r="F24" i="9"/>
  <c r="Q38" i="10"/>
  <c r="N38" i="9"/>
  <c r="Q19" i="9"/>
  <c r="P19" i="11"/>
  <c r="Z27" i="9"/>
  <c r="K19" i="11"/>
  <c r="Y19" i="9"/>
  <c r="AB23" i="6"/>
  <c r="AI19" i="11" s="1"/>
  <c r="AB19" i="11"/>
  <c r="AK19" i="11"/>
  <c r="O13" i="3"/>
  <c r="K13" i="6"/>
  <c r="J16" i="3"/>
  <c r="H16" i="6"/>
  <c r="G11" i="3"/>
  <c r="C11" i="6"/>
  <c r="J38" i="3"/>
  <c r="H38" i="6"/>
  <c r="C27" i="6"/>
  <c r="T19" i="6" s="1"/>
  <c r="G27" i="3"/>
  <c r="R14" i="3"/>
  <c r="P14" i="6"/>
  <c r="AA21" i="11"/>
  <c r="AE27" i="6"/>
  <c r="J17" i="6"/>
  <c r="E17" i="11"/>
  <c r="H13" i="6"/>
  <c r="J13" i="3"/>
  <c r="G22" i="3"/>
  <c r="C22" i="6"/>
  <c r="R11" i="3"/>
  <c r="P11" i="6"/>
  <c r="R27" i="3"/>
  <c r="P27" i="6"/>
  <c r="G17" i="3"/>
  <c r="C17" i="6"/>
  <c r="AA28" i="3"/>
  <c r="G42" i="3"/>
  <c r="C42" i="6"/>
  <c r="X22" i="11"/>
  <c r="AG22" i="11"/>
  <c r="R18" i="3"/>
  <c r="P18" i="6"/>
  <c r="O14" i="3"/>
  <c r="K14" i="6"/>
  <c r="P20" i="3"/>
  <c r="P10" i="6"/>
  <c r="L19" i="3"/>
  <c r="N10" i="3"/>
  <c r="L12" i="3"/>
  <c r="N22" i="3"/>
  <c r="N22" i="4"/>
  <c r="N10" i="4"/>
  <c r="N15" i="4"/>
  <c r="N31" i="4"/>
  <c r="W19" i="4"/>
  <c r="W21" i="4" s="1"/>
  <c r="Y17" i="6"/>
  <c r="AG14" i="11" s="1"/>
  <c r="V19" i="4"/>
  <c r="V21" i="4" s="1"/>
  <c r="V30" i="4" s="1"/>
  <c r="X17" i="6"/>
  <c r="AH14" i="11" s="1"/>
  <c r="Q26" i="5"/>
  <c r="D42" i="5"/>
  <c r="D27" i="5"/>
  <c r="D10" i="7"/>
  <c r="H34" i="10"/>
  <c r="J34" i="10" s="1"/>
  <c r="J13" i="9"/>
  <c r="F22" i="9"/>
  <c r="F15" i="9"/>
  <c r="N34" i="8"/>
  <c r="M34" i="9"/>
  <c r="Z14" i="9"/>
  <c r="N12" i="9"/>
  <c r="AG21" i="11"/>
  <c r="X21" i="11"/>
  <c r="C13" i="6"/>
  <c r="G13" i="3"/>
  <c r="Y21" i="11"/>
  <c r="AH21" i="11"/>
  <c r="R15" i="3"/>
  <c r="P15" i="6"/>
  <c r="R46" i="3"/>
  <c r="P46" i="6"/>
  <c r="R31" i="3"/>
  <c r="P32" i="6"/>
  <c r="K28" i="3"/>
  <c r="O26" i="3"/>
  <c r="K26" i="6"/>
  <c r="J14" i="3"/>
  <c r="H14" i="6"/>
  <c r="AC16" i="6"/>
  <c r="Z13" i="11"/>
  <c r="AC13" i="11" s="1"/>
  <c r="R12" i="3"/>
  <c r="P12" i="6"/>
  <c r="X12" i="11"/>
  <c r="AG12" i="11"/>
  <c r="H11" i="6"/>
  <c r="J11" i="3"/>
  <c r="J27" i="3"/>
  <c r="H27" i="6"/>
  <c r="AH13" i="11"/>
  <c r="Y13" i="11"/>
  <c r="E14" i="11"/>
  <c r="Z22" i="11"/>
  <c r="AD22" i="11" s="1"/>
  <c r="AC28" i="6"/>
  <c r="O15" i="3"/>
  <c r="K15" i="6"/>
  <c r="O12" i="6"/>
  <c r="M12" i="11"/>
  <c r="O39" i="3"/>
  <c r="K39" i="6"/>
  <c r="AA27" i="3"/>
  <c r="J18" i="3"/>
  <c r="H18" i="6"/>
  <c r="G14" i="3"/>
  <c r="C14" i="6"/>
  <c r="H20" i="3"/>
  <c r="H10" i="6"/>
  <c r="C34" i="10"/>
  <c r="G34" i="10" s="1"/>
  <c r="AC19" i="10"/>
  <c r="U19" i="10"/>
  <c r="X19" i="10"/>
  <c r="AA19" i="10" s="1"/>
  <c r="AA11" i="10"/>
  <c r="R24" i="10"/>
  <c r="Q24" i="10"/>
  <c r="M36" i="10"/>
  <c r="R59" i="7" s="1"/>
  <c r="AC30" i="10"/>
  <c r="AA10" i="10"/>
  <c r="K28" i="10"/>
  <c r="O24" i="10"/>
  <c r="U21" i="10"/>
  <c r="U30" i="10" s="1"/>
  <c r="Z28" i="10"/>
  <c r="Z10" i="10"/>
  <c r="N17" i="10"/>
  <c r="N14" i="10"/>
  <c r="N39" i="10"/>
  <c r="N38" i="10"/>
  <c r="N32" i="10"/>
  <c r="N31" i="10"/>
  <c r="N27" i="10"/>
  <c r="N20" i="10"/>
  <c r="N12" i="10"/>
  <c r="N43" i="10"/>
  <c r="N42" i="10"/>
  <c r="N24" i="10"/>
  <c r="N22" i="10"/>
  <c r="N21" i="10"/>
  <c r="N18" i="10"/>
  <c r="N15" i="10"/>
  <c r="N46" i="10"/>
  <c r="N36" i="10"/>
  <c r="N11" i="10"/>
  <c r="N23" i="10"/>
  <c r="N26" i="10"/>
  <c r="N41" i="10"/>
  <c r="N34" i="10"/>
  <c r="N28" i="10"/>
  <c r="N19" i="10"/>
  <c r="N16" i="10"/>
  <c r="N13" i="10"/>
  <c r="N10" i="10"/>
  <c r="N45" i="10"/>
  <c r="N30" i="10"/>
  <c r="K41" i="10"/>
  <c r="O36" i="10"/>
  <c r="I32" i="10"/>
  <c r="E34" i="10"/>
  <c r="I34" i="10" s="1"/>
  <c r="Q22" i="10"/>
  <c r="Q15" i="10"/>
  <c r="Q46" i="10"/>
  <c r="Q11" i="10"/>
  <c r="Q26" i="10"/>
  <c r="Q13" i="10"/>
  <c r="Q30" i="10"/>
  <c r="R20" i="10"/>
  <c r="Q20" i="10"/>
  <c r="Q14" i="10"/>
  <c r="Q42" i="10"/>
  <c r="Q27" i="10"/>
  <c r="Q12" i="10"/>
  <c r="Y21" i="10"/>
  <c r="P34" i="10"/>
  <c r="P36" i="10" s="1"/>
  <c r="R32" i="10"/>
  <c r="Q32" i="10"/>
  <c r="K20" i="10"/>
  <c r="O10" i="10"/>
  <c r="AC17" i="10"/>
  <c r="Z17" i="10"/>
  <c r="H36" i="10"/>
  <c r="J24" i="10"/>
  <c r="E36" i="10"/>
  <c r="E59" i="7" s="1"/>
  <c r="I24" i="10"/>
  <c r="Z16" i="10"/>
  <c r="X17" i="10"/>
  <c r="AA17" i="10" s="1"/>
  <c r="AA16" i="10"/>
  <c r="C20" i="10"/>
  <c r="G10" i="10"/>
  <c r="G19" i="10"/>
  <c r="C24" i="10"/>
  <c r="F42" i="10"/>
  <c r="F22" i="10"/>
  <c r="F20" i="10"/>
  <c r="F15" i="10"/>
  <c r="F46" i="10"/>
  <c r="F39" i="10"/>
  <c r="F38" i="10"/>
  <c r="F32" i="10"/>
  <c r="F31" i="10"/>
  <c r="F11" i="10"/>
  <c r="F43" i="10"/>
  <c r="F24" i="10"/>
  <c r="F16" i="10"/>
  <c r="F36" i="10"/>
  <c r="F26" i="10"/>
  <c r="F17" i="10"/>
  <c r="F13" i="10"/>
  <c r="F30" i="10"/>
  <c r="F28" i="10"/>
  <c r="F19" i="10"/>
  <c r="F41" i="10"/>
  <c r="F34" i="10"/>
  <c r="I20" i="10"/>
  <c r="F18" i="10"/>
  <c r="F14" i="10"/>
  <c r="F10" i="10"/>
  <c r="F45" i="10"/>
  <c r="F27" i="10"/>
  <c r="F12" i="10"/>
  <c r="O24" i="8"/>
  <c r="K36" i="8"/>
  <c r="K45" i="9" s="1"/>
  <c r="O45" i="9" s="1"/>
  <c r="P36" i="8"/>
  <c r="P36" i="9" s="1"/>
  <c r="Q36" i="9" s="1"/>
  <c r="R24" i="8"/>
  <c r="Q24" i="8"/>
  <c r="G24" i="8"/>
  <c r="C36" i="8"/>
  <c r="C45" i="9" s="1"/>
  <c r="G45" i="9" s="1"/>
  <c r="M36" i="8"/>
  <c r="M36" i="9" s="1"/>
  <c r="N24" i="8"/>
  <c r="E36" i="8"/>
  <c r="E36" i="9" s="1"/>
  <c r="F24" i="8"/>
  <c r="J24" i="8"/>
  <c r="H41" i="8"/>
  <c r="H41" i="9" s="1"/>
  <c r="I41" i="9" s="1"/>
  <c r="I36" i="8"/>
  <c r="X21" i="8"/>
  <c r="X21" i="9" s="1"/>
  <c r="X30" i="9" s="1"/>
  <c r="AA19" i="8"/>
  <c r="Y21" i="8"/>
  <c r="Z19" i="8"/>
  <c r="AC19" i="8"/>
  <c r="Z21" i="7"/>
  <c r="AA19" i="7"/>
  <c r="X38" i="7"/>
  <c r="L10" i="7"/>
  <c r="I12" i="7"/>
  <c r="N46" i="7"/>
  <c r="R28" i="7"/>
  <c r="Q28" i="7"/>
  <c r="P34" i="7"/>
  <c r="L46" i="7"/>
  <c r="J32" i="7"/>
  <c r="I32" i="7"/>
  <c r="L22" i="7"/>
  <c r="D32" i="7"/>
  <c r="G32" i="7"/>
  <c r="R20" i="7"/>
  <c r="Q20" i="7"/>
  <c r="P24" i="7"/>
  <c r="Q31" i="7"/>
  <c r="M24" i="7"/>
  <c r="N20" i="7"/>
  <c r="Q11" i="7"/>
  <c r="Q42" i="7"/>
  <c r="K34" i="7"/>
  <c r="O28" i="7"/>
  <c r="L28" i="7"/>
  <c r="D46" i="7"/>
  <c r="N42" i="7"/>
  <c r="AB19" i="7"/>
  <c r="Y21" i="7"/>
  <c r="AD19" i="7"/>
  <c r="C24" i="7"/>
  <c r="G20" i="7"/>
  <c r="D20" i="7"/>
  <c r="D38" i="7"/>
  <c r="I22" i="7"/>
  <c r="I10" i="7"/>
  <c r="N39" i="7"/>
  <c r="L11" i="7"/>
  <c r="N13" i="7"/>
  <c r="F20" i="7"/>
  <c r="E24" i="7"/>
  <c r="AD21" i="7"/>
  <c r="AC30" i="7"/>
  <c r="N28" i="7"/>
  <c r="M34" i="7"/>
  <c r="N34" i="7" s="1"/>
  <c r="Q27" i="7"/>
  <c r="J20" i="7"/>
  <c r="I20" i="7"/>
  <c r="H24" i="7"/>
  <c r="C34" i="7"/>
  <c r="G28" i="7"/>
  <c r="D28" i="7"/>
  <c r="Q30" i="7"/>
  <c r="L39" i="7"/>
  <c r="N31" i="7"/>
  <c r="Q38" i="7"/>
  <c r="R32" i="7"/>
  <c r="Q32" i="7"/>
  <c r="I26" i="7"/>
  <c r="L32" i="7"/>
  <c r="O32" i="7"/>
  <c r="F28" i="7"/>
  <c r="E34" i="7"/>
  <c r="F34" i="7" s="1"/>
  <c r="Q26" i="7"/>
  <c r="K24" i="7"/>
  <c r="O20" i="7"/>
  <c r="L20" i="7"/>
  <c r="I39" i="7"/>
  <c r="I38" i="7"/>
  <c r="D27" i="7"/>
  <c r="N22" i="7"/>
  <c r="I30" i="7"/>
  <c r="I27" i="7"/>
  <c r="J28" i="7"/>
  <c r="I28" i="7"/>
  <c r="H34" i="7"/>
  <c r="Q27" i="5"/>
  <c r="J28" i="5"/>
  <c r="I28" i="5"/>
  <c r="I13" i="5"/>
  <c r="G28" i="5"/>
  <c r="C34" i="5"/>
  <c r="D28" i="5"/>
  <c r="Q46" i="5"/>
  <c r="Q11" i="5"/>
  <c r="P24" i="5"/>
  <c r="Q15" i="5"/>
  <c r="R20" i="5"/>
  <c r="Q17" i="5"/>
  <c r="Q42" i="5"/>
  <c r="Q20" i="5"/>
  <c r="Q12" i="5"/>
  <c r="Q10" i="5"/>
  <c r="Q16" i="5"/>
  <c r="L22" i="5"/>
  <c r="Q30" i="5"/>
  <c r="L42" i="5"/>
  <c r="D26" i="5"/>
  <c r="I15" i="5"/>
  <c r="I11" i="5"/>
  <c r="H24" i="5"/>
  <c r="J20" i="5"/>
  <c r="I12" i="5"/>
  <c r="I10" i="5"/>
  <c r="I16" i="5"/>
  <c r="I14" i="5"/>
  <c r="I46" i="5"/>
  <c r="I27" i="5"/>
  <c r="Q39" i="5"/>
  <c r="I22" i="5"/>
  <c r="L17" i="5"/>
  <c r="L31" i="5"/>
  <c r="L20" i="5"/>
  <c r="L12" i="5"/>
  <c r="L10" i="5"/>
  <c r="L16" i="5"/>
  <c r="L39" i="5"/>
  <c r="L14" i="5"/>
  <c r="L30" i="5"/>
  <c r="L19" i="5"/>
  <c r="L11" i="5"/>
  <c r="L38" i="5"/>
  <c r="K24" i="5"/>
  <c r="O20" i="5"/>
  <c r="L15" i="5"/>
  <c r="L13" i="5"/>
  <c r="E34" i="5"/>
  <c r="L18" i="5"/>
  <c r="Q31" i="5"/>
  <c r="P34" i="5"/>
  <c r="Q28" i="5"/>
  <c r="R28" i="5"/>
  <c r="J32" i="5"/>
  <c r="I32" i="5"/>
  <c r="H34" i="5"/>
  <c r="Q13" i="5"/>
  <c r="L46" i="5"/>
  <c r="O28" i="5"/>
  <c r="K34" i="5"/>
  <c r="L28" i="5"/>
  <c r="D14" i="5"/>
  <c r="D20" i="5"/>
  <c r="C24" i="5"/>
  <c r="D11" i="5"/>
  <c r="D30" i="5"/>
  <c r="D17" i="5"/>
  <c r="D15" i="5"/>
  <c r="D16" i="5"/>
  <c r="D38" i="5"/>
  <c r="G20" i="5"/>
  <c r="D12" i="5"/>
  <c r="R32" i="5"/>
  <c r="Q32" i="5"/>
  <c r="I26" i="5"/>
  <c r="N45" i="5"/>
  <c r="N16" i="5"/>
  <c r="N31" i="5"/>
  <c r="N42" i="5"/>
  <c r="N39" i="5"/>
  <c r="N14" i="5"/>
  <c r="N43" i="5"/>
  <c r="N28" i="5"/>
  <c r="N27" i="5"/>
  <c r="N26" i="5"/>
  <c r="N18" i="5"/>
  <c r="N46" i="5"/>
  <c r="N30" i="5"/>
  <c r="N11" i="5"/>
  <c r="N24" i="5"/>
  <c r="N19" i="5"/>
  <c r="N15" i="5"/>
  <c r="N38" i="5"/>
  <c r="N36" i="5"/>
  <c r="M24" i="5"/>
  <c r="M36" i="5" s="1"/>
  <c r="N22" i="5"/>
  <c r="N17" i="5"/>
  <c r="N34" i="5"/>
  <c r="N32" i="5"/>
  <c r="N20" i="5"/>
  <c r="N12" i="5"/>
  <c r="N10" i="5"/>
  <c r="N13" i="5"/>
  <c r="N41" i="5"/>
  <c r="L26" i="5"/>
  <c r="F45" i="5"/>
  <c r="F42" i="5"/>
  <c r="F46" i="5"/>
  <c r="F30" i="5"/>
  <c r="F11" i="5"/>
  <c r="F20" i="5"/>
  <c r="F43" i="5"/>
  <c r="F28" i="5"/>
  <c r="F27" i="5"/>
  <c r="F26" i="5"/>
  <c r="F17" i="5"/>
  <c r="F15" i="5"/>
  <c r="F34" i="5"/>
  <c r="F38" i="5"/>
  <c r="F24" i="5"/>
  <c r="F36" i="5"/>
  <c r="F31" i="5"/>
  <c r="E24" i="5"/>
  <c r="F22" i="5"/>
  <c r="F12" i="5"/>
  <c r="F10" i="5"/>
  <c r="F18" i="5"/>
  <c r="F16" i="5"/>
  <c r="F13" i="5"/>
  <c r="F41" i="5"/>
  <c r="F39" i="5"/>
  <c r="F32" i="5"/>
  <c r="F19" i="5"/>
  <c r="F14" i="5"/>
  <c r="M34" i="4"/>
  <c r="N34" i="4" s="1"/>
  <c r="N28" i="4"/>
  <c r="L28" i="4"/>
  <c r="O28" i="4"/>
  <c r="K34" i="4"/>
  <c r="E34" i="4"/>
  <c r="F34" i="4" s="1"/>
  <c r="F28" i="4"/>
  <c r="F10" i="4"/>
  <c r="F39" i="4"/>
  <c r="F30" i="4"/>
  <c r="D15" i="4"/>
  <c r="G32" i="4"/>
  <c r="D32" i="4"/>
  <c r="I42" i="4"/>
  <c r="I38" i="4"/>
  <c r="D28" i="4"/>
  <c r="G28" i="4"/>
  <c r="C34" i="4"/>
  <c r="I14" i="4"/>
  <c r="N17" i="4"/>
  <c r="I13" i="4"/>
  <c r="D10" i="4"/>
  <c r="N38" i="4"/>
  <c r="L19" i="4"/>
  <c r="F32" i="4"/>
  <c r="L46" i="4"/>
  <c r="L39" i="4"/>
  <c r="I22" i="4"/>
  <c r="R32" i="4"/>
  <c r="Q32" i="4"/>
  <c r="F38" i="4"/>
  <c r="F11" i="4"/>
  <c r="F17" i="4"/>
  <c r="F22" i="4"/>
  <c r="F16" i="4"/>
  <c r="P34" i="4"/>
  <c r="R28" i="4"/>
  <c r="Q28" i="4"/>
  <c r="AA17" i="4"/>
  <c r="D46" i="4"/>
  <c r="D39" i="4"/>
  <c r="D31" i="4"/>
  <c r="AA30" i="4"/>
  <c r="F27" i="4"/>
  <c r="O32" i="4"/>
  <c r="L32" i="4"/>
  <c r="F19" i="4"/>
  <c r="AB19" i="4"/>
  <c r="F46" i="4"/>
  <c r="F31" i="4"/>
  <c r="F13" i="4"/>
  <c r="I17" i="4"/>
  <c r="I46" i="4"/>
  <c r="I39" i="4"/>
  <c r="I31" i="4"/>
  <c r="M24" i="4"/>
  <c r="N20" i="4"/>
  <c r="J32" i="4"/>
  <c r="I32" i="4"/>
  <c r="I12" i="4"/>
  <c r="F15" i="4"/>
  <c r="O20" i="4"/>
  <c r="K24" i="4"/>
  <c r="L20" i="4"/>
  <c r="N42" i="4"/>
  <c r="Y19" i="4"/>
  <c r="AA19" i="4" s="1"/>
  <c r="N12" i="4"/>
  <c r="L42" i="4"/>
  <c r="L38" i="4"/>
  <c r="Q20" i="4"/>
  <c r="P24" i="4"/>
  <c r="R20" i="4"/>
  <c r="H34" i="4"/>
  <c r="J28" i="4"/>
  <c r="I28" i="4"/>
  <c r="E24" i="4"/>
  <c r="F20" i="4"/>
  <c r="X21" i="4"/>
  <c r="Z21" i="6" s="1"/>
  <c r="G20" i="4"/>
  <c r="C24" i="4"/>
  <c r="D20" i="4"/>
  <c r="F14" i="4"/>
  <c r="H24" i="4"/>
  <c r="J20" i="4"/>
  <c r="D11" i="3"/>
  <c r="D42" i="3"/>
  <c r="D13" i="3"/>
  <c r="N39" i="3"/>
  <c r="N18" i="3"/>
  <c r="N19" i="3"/>
  <c r="J32" i="3"/>
  <c r="I32" i="3"/>
  <c r="D15" i="3"/>
  <c r="D10" i="3"/>
  <c r="O32" i="3"/>
  <c r="L32" i="3"/>
  <c r="L16" i="3"/>
  <c r="L18" i="3"/>
  <c r="K24" i="3"/>
  <c r="L22" i="3"/>
  <c r="O20" i="3"/>
  <c r="L30" i="3"/>
  <c r="L14" i="3"/>
  <c r="L20" i="3"/>
  <c r="K34" i="3"/>
  <c r="D27" i="3"/>
  <c r="F39" i="3"/>
  <c r="D30" i="3"/>
  <c r="D14" i="3"/>
  <c r="G20" i="3"/>
  <c r="C24" i="3"/>
  <c r="D22" i="3"/>
  <c r="D16" i="3"/>
  <c r="D20" i="3"/>
  <c r="D18" i="3"/>
  <c r="D17" i="3"/>
  <c r="D46" i="3"/>
  <c r="F16" i="3"/>
  <c r="D39" i="3"/>
  <c r="N12" i="3"/>
  <c r="N26" i="3"/>
  <c r="M24" i="3"/>
  <c r="N20" i="3"/>
  <c r="N27" i="3"/>
  <c r="N15" i="3"/>
  <c r="N17" i="3"/>
  <c r="N13" i="3"/>
  <c r="D31" i="3"/>
  <c r="L46" i="3"/>
  <c r="D38" i="3"/>
  <c r="G32" i="3"/>
  <c r="D32" i="3"/>
  <c r="D19" i="3"/>
  <c r="N42" i="3"/>
  <c r="N31" i="3"/>
  <c r="H34" i="3"/>
  <c r="R32" i="3"/>
  <c r="Q32" i="3"/>
  <c r="F12" i="3"/>
  <c r="F15" i="3"/>
  <c r="F17" i="3"/>
  <c r="E24" i="3"/>
  <c r="F26" i="3"/>
  <c r="F20" i="3"/>
  <c r="F27" i="3"/>
  <c r="F13" i="3"/>
  <c r="L31" i="3"/>
  <c r="F42" i="3"/>
  <c r="N46" i="3"/>
  <c r="F31" i="3"/>
  <c r="C34" i="3"/>
  <c r="F46" i="3"/>
  <c r="F22" i="3"/>
  <c r="N16" i="3"/>
  <c r="AK15" i="11" l="1"/>
  <c r="AB19" i="6"/>
  <c r="H10" i="11"/>
  <c r="J10" i="6"/>
  <c r="O26" i="6"/>
  <c r="K28" i="6"/>
  <c r="P20" i="6"/>
  <c r="P10" i="11"/>
  <c r="R10" i="6"/>
  <c r="Q10" i="6"/>
  <c r="G42" i="6"/>
  <c r="C42" i="11"/>
  <c r="D42" i="6"/>
  <c r="T29" i="6"/>
  <c r="J38" i="6"/>
  <c r="H38" i="11"/>
  <c r="O42" i="6"/>
  <c r="K17" i="11"/>
  <c r="O17" i="6"/>
  <c r="R39" i="6"/>
  <c r="P39" i="11"/>
  <c r="Q39" i="6"/>
  <c r="G30" i="6"/>
  <c r="C30" i="11"/>
  <c r="C33" i="6"/>
  <c r="AD9" i="11"/>
  <c r="Z15" i="11"/>
  <c r="C20" i="6"/>
  <c r="C10" i="11"/>
  <c r="G10" i="6"/>
  <c r="D10" i="6"/>
  <c r="AD21" i="11"/>
  <c r="O18" i="6"/>
  <c r="K18" i="11"/>
  <c r="C26" i="11"/>
  <c r="G26" i="6"/>
  <c r="D26" i="6"/>
  <c r="C28" i="6"/>
  <c r="J36" i="9"/>
  <c r="E58" i="7"/>
  <c r="F36" i="9"/>
  <c r="H20" i="6"/>
  <c r="I26" i="6" s="1"/>
  <c r="I42" i="3"/>
  <c r="I15" i="3"/>
  <c r="I17" i="3"/>
  <c r="I31" i="3"/>
  <c r="J20" i="3"/>
  <c r="H24" i="3"/>
  <c r="I11" i="3"/>
  <c r="I38" i="3"/>
  <c r="I46" i="3"/>
  <c r="I12" i="3"/>
  <c r="I26" i="3"/>
  <c r="I18" i="3"/>
  <c r="I39" i="3"/>
  <c r="I22" i="3"/>
  <c r="I19" i="3"/>
  <c r="I16" i="3"/>
  <c r="I30" i="3"/>
  <c r="I14" i="3"/>
  <c r="I10" i="3"/>
  <c r="N34" i="9"/>
  <c r="R34" i="9"/>
  <c r="Q11" i="3"/>
  <c r="Q27" i="3"/>
  <c r="Q30" i="3"/>
  <c r="Q42" i="3"/>
  <c r="Q16" i="3"/>
  <c r="P24" i="3"/>
  <c r="Q22" i="3"/>
  <c r="Q14" i="3"/>
  <c r="Q10" i="3"/>
  <c r="Q13" i="3"/>
  <c r="Q38" i="3"/>
  <c r="Q46" i="3"/>
  <c r="Q18" i="3"/>
  <c r="Q20" i="3"/>
  <c r="Q26" i="3"/>
  <c r="Q15" i="3"/>
  <c r="Q17" i="3"/>
  <c r="Q19" i="3"/>
  <c r="Q39" i="3"/>
  <c r="Q31" i="3"/>
  <c r="Q12" i="3"/>
  <c r="R11" i="6"/>
  <c r="P11" i="11"/>
  <c r="Q11" i="6"/>
  <c r="AE19" i="11"/>
  <c r="AC19" i="11"/>
  <c r="AC22" i="11"/>
  <c r="R38" i="6"/>
  <c r="P38" i="11"/>
  <c r="Q38" i="6"/>
  <c r="O46" i="6"/>
  <c r="AD11" i="11"/>
  <c r="AC11" i="11"/>
  <c r="T26" i="6"/>
  <c r="C38" i="11"/>
  <c r="D38" i="6"/>
  <c r="G38" i="6"/>
  <c r="X19" i="6"/>
  <c r="AC19" i="6"/>
  <c r="AA17" i="9"/>
  <c r="Z17" i="9"/>
  <c r="G14" i="6"/>
  <c r="C14" i="11"/>
  <c r="D14" i="6"/>
  <c r="R12" i="6"/>
  <c r="P12" i="11"/>
  <c r="Q12" i="6"/>
  <c r="L28" i="3"/>
  <c r="O28" i="3"/>
  <c r="O14" i="6"/>
  <c r="K14" i="11"/>
  <c r="G11" i="6"/>
  <c r="C11" i="11"/>
  <c r="D11" i="6"/>
  <c r="X14" i="11"/>
  <c r="U7" i="9"/>
  <c r="X7" i="9" s="1"/>
  <c r="K7" i="9"/>
  <c r="R20" i="3"/>
  <c r="Y14" i="11"/>
  <c r="Y15" i="11" s="1"/>
  <c r="Y18" i="11" s="1"/>
  <c r="AC12" i="11"/>
  <c r="AD12" i="11"/>
  <c r="J42" i="6"/>
  <c r="H42" i="11"/>
  <c r="N28" i="3"/>
  <c r="M34" i="3"/>
  <c r="N34" i="3" s="1"/>
  <c r="AB17" i="6"/>
  <c r="AI14" i="11" s="1"/>
  <c r="AK14" i="11"/>
  <c r="AB14" i="11"/>
  <c r="AD10" i="11"/>
  <c r="AC10" i="11"/>
  <c r="G18" i="6"/>
  <c r="C18" i="11"/>
  <c r="H17" i="11"/>
  <c r="I17" i="6"/>
  <c r="T27" i="6"/>
  <c r="C39" i="11"/>
  <c r="D39" i="6"/>
  <c r="G39" i="6"/>
  <c r="AA17" i="3"/>
  <c r="X19" i="3"/>
  <c r="J12" i="6"/>
  <c r="H12" i="11"/>
  <c r="D28" i="3"/>
  <c r="G28" i="3"/>
  <c r="K12" i="11"/>
  <c r="R36" i="9"/>
  <c r="N36" i="9"/>
  <c r="K15" i="11"/>
  <c r="O15" i="6"/>
  <c r="J27" i="6"/>
  <c r="H27" i="11"/>
  <c r="I27" i="6"/>
  <c r="R32" i="6"/>
  <c r="Q32" i="6"/>
  <c r="G22" i="6"/>
  <c r="C22" i="11"/>
  <c r="T11" i="6"/>
  <c r="D22" i="6"/>
  <c r="AE21" i="11"/>
  <c r="Y21" i="9"/>
  <c r="AA21" i="9" s="1"/>
  <c r="AA20" i="11" s="1"/>
  <c r="AE20" i="11" s="1"/>
  <c r="AC19" i="9"/>
  <c r="Z19" i="9"/>
  <c r="AE17" i="6"/>
  <c r="AA14" i="11"/>
  <c r="AE14" i="11" s="1"/>
  <c r="AD19" i="6"/>
  <c r="AE19" i="6" s="1"/>
  <c r="E33" i="6"/>
  <c r="E30" i="11"/>
  <c r="T21" i="6"/>
  <c r="AI22" i="11"/>
  <c r="H33" i="6"/>
  <c r="H30" i="11"/>
  <c r="J30" i="6"/>
  <c r="I30" i="6"/>
  <c r="O11" i="6"/>
  <c r="K11" i="11"/>
  <c r="J22" i="6"/>
  <c r="H22" i="11"/>
  <c r="I22" i="6"/>
  <c r="J39" i="6"/>
  <c r="H39" i="11"/>
  <c r="I39" i="6"/>
  <c r="E20" i="6"/>
  <c r="E10" i="11"/>
  <c r="F10" i="6"/>
  <c r="AD19" i="11"/>
  <c r="M28" i="6"/>
  <c r="M26" i="11"/>
  <c r="C16" i="11"/>
  <c r="G16" i="11" s="1"/>
  <c r="G16" i="6"/>
  <c r="R42" i="6"/>
  <c r="P42" i="11"/>
  <c r="Q42" i="6"/>
  <c r="J18" i="6"/>
  <c r="H18" i="11"/>
  <c r="I18" i="6"/>
  <c r="G13" i="6"/>
  <c r="C13" i="11"/>
  <c r="D13" i="6"/>
  <c r="R18" i="6"/>
  <c r="P18" i="11"/>
  <c r="Q18" i="6"/>
  <c r="R14" i="6"/>
  <c r="P14" i="11"/>
  <c r="Q14" i="6"/>
  <c r="J16" i="6"/>
  <c r="H16" i="11"/>
  <c r="I16" i="6"/>
  <c r="Y19" i="3"/>
  <c r="Z17" i="3"/>
  <c r="K16" i="11"/>
  <c r="O16" i="6"/>
  <c r="X15" i="11"/>
  <c r="K33" i="6"/>
  <c r="O30" i="6"/>
  <c r="J12" i="11"/>
  <c r="P28" i="6"/>
  <c r="P26" i="11"/>
  <c r="R26" i="6"/>
  <c r="Q26" i="6"/>
  <c r="P17" i="11"/>
  <c r="Q17" i="6"/>
  <c r="J36" i="8"/>
  <c r="I27" i="3"/>
  <c r="R46" i="6"/>
  <c r="P46" i="11"/>
  <c r="Q46" i="6"/>
  <c r="G17" i="6"/>
  <c r="C17" i="11"/>
  <c r="O22" i="6"/>
  <c r="K22" i="11"/>
  <c r="R16" i="11"/>
  <c r="G31" i="11"/>
  <c r="G32" i="6"/>
  <c r="D32" i="6"/>
  <c r="M30" i="11"/>
  <c r="M33" i="6"/>
  <c r="N33" i="6" s="1"/>
  <c r="R22" i="6"/>
  <c r="P22" i="11"/>
  <c r="Q22" i="6"/>
  <c r="AD13" i="11"/>
  <c r="Y19" i="6"/>
  <c r="AG15" i="11" s="1"/>
  <c r="AG20" i="11"/>
  <c r="Q28" i="3"/>
  <c r="P34" i="3"/>
  <c r="R28" i="3"/>
  <c r="J46" i="6"/>
  <c r="H46" i="11"/>
  <c r="I46" i="6"/>
  <c r="R24" i="3"/>
  <c r="J14" i="6"/>
  <c r="H14" i="11"/>
  <c r="I14" i="6"/>
  <c r="J13" i="6"/>
  <c r="H13" i="11"/>
  <c r="I13" i="6"/>
  <c r="O13" i="6"/>
  <c r="K13" i="11"/>
  <c r="W24" i="11"/>
  <c r="E28" i="6"/>
  <c r="E26" i="11"/>
  <c r="T13" i="6"/>
  <c r="F26" i="6"/>
  <c r="AC9" i="11"/>
  <c r="M20" i="6"/>
  <c r="N10" i="6" s="1"/>
  <c r="M10" i="11"/>
  <c r="AF3" i="9"/>
  <c r="T6" i="9"/>
  <c r="O38" i="6"/>
  <c r="J26" i="6"/>
  <c r="H26" i="11"/>
  <c r="AE9" i="11"/>
  <c r="X20" i="11"/>
  <c r="C15" i="11"/>
  <c r="D15" i="6"/>
  <c r="G15" i="6"/>
  <c r="K20" i="6"/>
  <c r="L46" i="6" s="1"/>
  <c r="K10" i="11"/>
  <c r="O10" i="6"/>
  <c r="AB19" i="3"/>
  <c r="AC19" i="3" s="1"/>
  <c r="AA30" i="10"/>
  <c r="V40" i="7"/>
  <c r="V41" i="7" s="1"/>
  <c r="V42" i="7" s="1"/>
  <c r="X42" i="7" s="1"/>
  <c r="O39" i="6"/>
  <c r="J11" i="6"/>
  <c r="H11" i="11"/>
  <c r="R15" i="6"/>
  <c r="P15" i="11"/>
  <c r="Q15" i="6"/>
  <c r="W30" i="4"/>
  <c r="W21" i="3"/>
  <c r="W30" i="3" s="1"/>
  <c r="Y21" i="6"/>
  <c r="R27" i="6"/>
  <c r="P27" i="11"/>
  <c r="Q27" i="6"/>
  <c r="I13" i="3"/>
  <c r="C27" i="11"/>
  <c r="G27" i="6"/>
  <c r="D27" i="6"/>
  <c r="R13" i="6"/>
  <c r="P13" i="11"/>
  <c r="Q13" i="6"/>
  <c r="K27" i="11"/>
  <c r="O27" i="6"/>
  <c r="L27" i="6"/>
  <c r="T32" i="6"/>
  <c r="C46" i="11"/>
  <c r="D46" i="6"/>
  <c r="G46" i="6"/>
  <c r="P30" i="11"/>
  <c r="P33" i="6"/>
  <c r="R30" i="6"/>
  <c r="Q30" i="6"/>
  <c r="O32" i="6"/>
  <c r="T22" i="6"/>
  <c r="AI13" i="11"/>
  <c r="E34" i="3"/>
  <c r="F34" i="3" s="1"/>
  <c r="F28" i="3"/>
  <c r="H28" i="6"/>
  <c r="I28" i="3"/>
  <c r="J28" i="3"/>
  <c r="C12" i="11"/>
  <c r="D12" i="6"/>
  <c r="J15" i="6"/>
  <c r="H15" i="11"/>
  <c r="I15" i="6"/>
  <c r="L41" i="10"/>
  <c r="L34" i="10"/>
  <c r="L30" i="10"/>
  <c r="O20" i="10"/>
  <c r="L19" i="10"/>
  <c r="L10" i="10"/>
  <c r="L45" i="10"/>
  <c r="L17" i="10"/>
  <c r="L14" i="10"/>
  <c r="L27" i="10"/>
  <c r="L12" i="10"/>
  <c r="L42" i="10"/>
  <c r="L39" i="10"/>
  <c r="L38" i="10"/>
  <c r="L32" i="10"/>
  <c r="L31" i="10"/>
  <c r="L20" i="10"/>
  <c r="L18" i="10"/>
  <c r="L15" i="10"/>
  <c r="L46" i="10"/>
  <c r="L43" i="10"/>
  <c r="L24" i="10"/>
  <c r="L22" i="10"/>
  <c r="L11" i="10"/>
  <c r="L36" i="10"/>
  <c r="L26" i="10"/>
  <c r="L28" i="10"/>
  <c r="K26" i="10"/>
  <c r="K26" i="11" s="1"/>
  <c r="L16" i="10"/>
  <c r="L13" i="10"/>
  <c r="K32" i="10"/>
  <c r="O28" i="10"/>
  <c r="Q36" i="10"/>
  <c r="P41" i="10"/>
  <c r="P45" i="10"/>
  <c r="R36" i="10"/>
  <c r="X21" i="10"/>
  <c r="Z21" i="10" s="1"/>
  <c r="G24" i="10"/>
  <c r="C36" i="10"/>
  <c r="C59" i="7" s="1"/>
  <c r="E45" i="10"/>
  <c r="I45" i="10" s="1"/>
  <c r="I36" i="10"/>
  <c r="E41" i="10"/>
  <c r="R34" i="10"/>
  <c r="Q34" i="10"/>
  <c r="Z30" i="10"/>
  <c r="H41" i="10"/>
  <c r="H45" i="10"/>
  <c r="J36" i="10"/>
  <c r="Y30" i="10"/>
  <c r="AC21" i="10"/>
  <c r="Z19" i="10"/>
  <c r="D41" i="10"/>
  <c r="D34" i="10"/>
  <c r="D27" i="10"/>
  <c r="D12" i="10"/>
  <c r="D10" i="10"/>
  <c r="D45" i="10"/>
  <c r="D42" i="10"/>
  <c r="D22" i="10"/>
  <c r="D15" i="10"/>
  <c r="D46" i="10"/>
  <c r="D38" i="10"/>
  <c r="D20" i="10"/>
  <c r="D11" i="10"/>
  <c r="D39" i="10"/>
  <c r="D32" i="10"/>
  <c r="D31" i="10"/>
  <c r="D16" i="10"/>
  <c r="D43" i="10"/>
  <c r="D26" i="10"/>
  <c r="D24" i="10"/>
  <c r="D36" i="10"/>
  <c r="D17" i="10"/>
  <c r="D13" i="10"/>
  <c r="D30" i="10"/>
  <c r="D28" i="10"/>
  <c r="G20" i="10"/>
  <c r="D19" i="10"/>
  <c r="D18" i="10"/>
  <c r="D14" i="10"/>
  <c r="K45" i="10"/>
  <c r="O45" i="10" s="1"/>
  <c r="O41" i="10"/>
  <c r="M45" i="10"/>
  <c r="M41" i="10"/>
  <c r="M43" i="10" s="1"/>
  <c r="X30" i="8"/>
  <c r="AA21" i="8"/>
  <c r="M41" i="8"/>
  <c r="M41" i="9" s="1"/>
  <c r="N36" i="8"/>
  <c r="C41" i="8"/>
  <c r="G36" i="8"/>
  <c r="I41" i="8"/>
  <c r="H43" i="8"/>
  <c r="H43" i="9" s="1"/>
  <c r="I43" i="9" s="1"/>
  <c r="P41" i="8"/>
  <c r="P41" i="9" s="1"/>
  <c r="Q41" i="9" s="1"/>
  <c r="R36" i="8"/>
  <c r="Q36" i="8"/>
  <c r="Y30" i="8"/>
  <c r="Z21" i="8"/>
  <c r="AC21" i="8"/>
  <c r="E41" i="8"/>
  <c r="E41" i="9" s="1"/>
  <c r="F36" i="8"/>
  <c r="K41" i="8"/>
  <c r="O36" i="8"/>
  <c r="D24" i="7"/>
  <c r="C36" i="7"/>
  <c r="G24" i="7"/>
  <c r="L34" i="7"/>
  <c r="O34" i="7"/>
  <c r="AB21" i="7"/>
  <c r="Y30" i="7"/>
  <c r="J34" i="7"/>
  <c r="I34" i="7"/>
  <c r="N24" i="7"/>
  <c r="M36" i="7"/>
  <c r="D34" i="7"/>
  <c r="G34" i="7"/>
  <c r="L24" i="7"/>
  <c r="K36" i="7"/>
  <c r="O24" i="7"/>
  <c r="J24" i="7"/>
  <c r="I24" i="7"/>
  <c r="H36" i="7"/>
  <c r="F24" i="7"/>
  <c r="E36" i="7"/>
  <c r="R24" i="7"/>
  <c r="Q24" i="7"/>
  <c r="P36" i="7"/>
  <c r="R34" i="7"/>
  <c r="Q34" i="7"/>
  <c r="AA21" i="7"/>
  <c r="Z30" i="7"/>
  <c r="AD30" i="7" s="1"/>
  <c r="R24" i="5"/>
  <c r="Q24" i="5"/>
  <c r="P36" i="5"/>
  <c r="J24" i="5"/>
  <c r="I24" i="5"/>
  <c r="H36" i="5"/>
  <c r="L34" i="5"/>
  <c r="O34" i="5"/>
  <c r="K36" i="5"/>
  <c r="O24" i="5"/>
  <c r="L24" i="5"/>
  <c r="M41" i="5"/>
  <c r="M43" i="5" s="1"/>
  <c r="E36" i="5"/>
  <c r="R34" i="5"/>
  <c r="Q34" i="5"/>
  <c r="D34" i="5"/>
  <c r="G34" i="5"/>
  <c r="C36" i="5"/>
  <c r="G24" i="5"/>
  <c r="D24" i="5"/>
  <c r="J34" i="5"/>
  <c r="I34" i="5"/>
  <c r="Y21" i="4"/>
  <c r="Z19" i="4"/>
  <c r="G34" i="4"/>
  <c r="D34" i="4"/>
  <c r="D24" i="4"/>
  <c r="C36" i="4"/>
  <c r="G24" i="4"/>
  <c r="J34" i="4"/>
  <c r="I34" i="4"/>
  <c r="N24" i="4"/>
  <c r="M36" i="4"/>
  <c r="AB21" i="4"/>
  <c r="AC19" i="4"/>
  <c r="X30" i="4"/>
  <c r="Z30" i="6" s="1"/>
  <c r="AA21" i="4"/>
  <c r="P36" i="4"/>
  <c r="R24" i="4"/>
  <c r="Q24" i="4"/>
  <c r="L24" i="4"/>
  <c r="K36" i="4"/>
  <c r="O24" i="4"/>
  <c r="O34" i="4"/>
  <c r="L34" i="4"/>
  <c r="H36" i="4"/>
  <c r="J24" i="4"/>
  <c r="I24" i="4"/>
  <c r="F24" i="4"/>
  <c r="E36" i="4"/>
  <c r="R34" i="4"/>
  <c r="Q34" i="4"/>
  <c r="F24" i="3"/>
  <c r="E36" i="3"/>
  <c r="O34" i="3"/>
  <c r="L34" i="3"/>
  <c r="N24" i="3"/>
  <c r="M36" i="3"/>
  <c r="D24" i="3"/>
  <c r="G24" i="3"/>
  <c r="C36" i="3"/>
  <c r="J34" i="3"/>
  <c r="I34" i="3"/>
  <c r="K36" i="3"/>
  <c r="L24" i="3"/>
  <c r="O24" i="3"/>
  <c r="G34" i="3"/>
  <c r="D34" i="3"/>
  <c r="H36" i="3"/>
  <c r="O26" i="11" l="1"/>
  <c r="L26" i="11"/>
  <c r="K28" i="11"/>
  <c r="AB21" i="3"/>
  <c r="AD21" i="6"/>
  <c r="J41" i="9"/>
  <c r="F41" i="9"/>
  <c r="G46" i="11"/>
  <c r="AA15" i="11"/>
  <c r="E28" i="11"/>
  <c r="L30" i="6"/>
  <c r="M28" i="11"/>
  <c r="J42" i="11"/>
  <c r="G42" i="11"/>
  <c r="L39" i="6"/>
  <c r="K20" i="11"/>
  <c r="L10" i="11" s="1"/>
  <c r="O10" i="11"/>
  <c r="F28" i="6"/>
  <c r="E34" i="6"/>
  <c r="T20" i="6"/>
  <c r="J13" i="11"/>
  <c r="R22" i="11"/>
  <c r="Y21" i="3"/>
  <c r="Z19" i="3"/>
  <c r="M34" i="6"/>
  <c r="N34" i="6" s="1"/>
  <c r="N28" i="6"/>
  <c r="G26" i="11"/>
  <c r="C28" i="11"/>
  <c r="G20" i="6"/>
  <c r="D20" i="6"/>
  <c r="C24" i="6"/>
  <c r="I28" i="6"/>
  <c r="J28" i="6"/>
  <c r="H34" i="6"/>
  <c r="G27" i="11"/>
  <c r="O20" i="6"/>
  <c r="L20" i="6"/>
  <c r="K24" i="6"/>
  <c r="J26" i="11"/>
  <c r="H28" i="11"/>
  <c r="M20" i="11"/>
  <c r="N26" i="11" s="1"/>
  <c r="N10" i="11"/>
  <c r="O33" i="6"/>
  <c r="L33" i="6"/>
  <c r="R18" i="11"/>
  <c r="J30" i="11"/>
  <c r="H32" i="11"/>
  <c r="G22" i="11"/>
  <c r="O15" i="11"/>
  <c r="G39" i="11"/>
  <c r="AD14" i="11"/>
  <c r="AC14" i="11"/>
  <c r="G11" i="11"/>
  <c r="X21" i="6"/>
  <c r="AH15" i="11"/>
  <c r="I32" i="6"/>
  <c r="I20" i="6"/>
  <c r="J20" i="6"/>
  <c r="L18" i="6"/>
  <c r="Z18" i="11"/>
  <c r="R39" i="11"/>
  <c r="I38" i="6"/>
  <c r="I10" i="6"/>
  <c r="R15" i="11"/>
  <c r="N32" i="6"/>
  <c r="N11" i="6"/>
  <c r="N27" i="6"/>
  <c r="N18" i="6"/>
  <c r="N38" i="6"/>
  <c r="N17" i="6"/>
  <c r="N46" i="6"/>
  <c r="N20" i="6"/>
  <c r="N22" i="6"/>
  <c r="N15" i="6"/>
  <c r="N42" i="6"/>
  <c r="M24" i="6"/>
  <c r="N14" i="6"/>
  <c r="N39" i="6"/>
  <c r="N13" i="6"/>
  <c r="N12" i="6"/>
  <c r="N16" i="6"/>
  <c r="R34" i="3"/>
  <c r="Q34" i="3"/>
  <c r="N30" i="6"/>
  <c r="R46" i="11"/>
  <c r="R26" i="11"/>
  <c r="P28" i="11"/>
  <c r="R42" i="11"/>
  <c r="J22" i="11"/>
  <c r="I20" i="11"/>
  <c r="I22" i="11"/>
  <c r="J33" i="6"/>
  <c r="I33" i="6"/>
  <c r="L15" i="6"/>
  <c r="I12" i="6"/>
  <c r="L18" i="11"/>
  <c r="O18" i="11"/>
  <c r="J38" i="11"/>
  <c r="I38" i="11"/>
  <c r="R41" i="9"/>
  <c r="N41" i="9"/>
  <c r="O27" i="11"/>
  <c r="L27" i="11"/>
  <c r="L38" i="6"/>
  <c r="J16" i="11"/>
  <c r="E20" i="11"/>
  <c r="F10" i="11"/>
  <c r="L14" i="6"/>
  <c r="H24" i="6"/>
  <c r="I24" i="3"/>
  <c r="P20" i="11"/>
  <c r="Q46" i="11" s="1"/>
  <c r="Q10" i="11"/>
  <c r="R10" i="11"/>
  <c r="H20" i="11"/>
  <c r="I10" i="11"/>
  <c r="J10" i="11"/>
  <c r="J15" i="11"/>
  <c r="I15" i="11"/>
  <c r="R33" i="6"/>
  <c r="Q33" i="6"/>
  <c r="J14" i="11"/>
  <c r="I14" i="11"/>
  <c r="L22" i="6"/>
  <c r="R28" i="6"/>
  <c r="Q28" i="6"/>
  <c r="P34" i="6"/>
  <c r="I12" i="11"/>
  <c r="R11" i="11"/>
  <c r="L17" i="6"/>
  <c r="J24" i="3"/>
  <c r="J45" i="10"/>
  <c r="R30" i="11"/>
  <c r="P32" i="11"/>
  <c r="Q30" i="11"/>
  <c r="R27" i="11"/>
  <c r="I11" i="6"/>
  <c r="G15" i="11"/>
  <c r="AB15" i="11"/>
  <c r="AD15" i="11" s="1"/>
  <c r="L13" i="6"/>
  <c r="N30" i="11"/>
  <c r="M32" i="11"/>
  <c r="N32" i="11" s="1"/>
  <c r="O22" i="11"/>
  <c r="L22" i="11"/>
  <c r="L16" i="6"/>
  <c r="G13" i="11"/>
  <c r="F20" i="6"/>
  <c r="E24" i="6"/>
  <c r="F42" i="6"/>
  <c r="F15" i="6"/>
  <c r="F39" i="6"/>
  <c r="F13" i="6"/>
  <c r="F38" i="6"/>
  <c r="F18" i="6"/>
  <c r="F46" i="6"/>
  <c r="F32" i="6"/>
  <c r="F16" i="6"/>
  <c r="F27" i="6"/>
  <c r="F11" i="6"/>
  <c r="F22" i="6"/>
  <c r="F17" i="6"/>
  <c r="F12" i="6"/>
  <c r="F14" i="6"/>
  <c r="L11" i="6"/>
  <c r="F30" i="6"/>
  <c r="J17" i="11"/>
  <c r="I17" i="11"/>
  <c r="O14" i="11"/>
  <c r="L14" i="11"/>
  <c r="G14" i="11"/>
  <c r="D14" i="11"/>
  <c r="G38" i="11"/>
  <c r="D38" i="11"/>
  <c r="R38" i="11"/>
  <c r="P36" i="3"/>
  <c r="Q24" i="3"/>
  <c r="D30" i="6"/>
  <c r="Q16" i="6"/>
  <c r="R20" i="6"/>
  <c r="Q20" i="6"/>
  <c r="P24" i="6"/>
  <c r="R13" i="11"/>
  <c r="Q13" i="11"/>
  <c r="J11" i="11"/>
  <c r="I11" i="11"/>
  <c r="L13" i="11"/>
  <c r="O13" i="11"/>
  <c r="O11" i="11"/>
  <c r="L11" i="11"/>
  <c r="AC21" i="9"/>
  <c r="AI20" i="11" s="1"/>
  <c r="Y30" i="9"/>
  <c r="Z21" i="9"/>
  <c r="Z20" i="11" s="1"/>
  <c r="Y20" i="11"/>
  <c r="Y23" i="11" s="1"/>
  <c r="AH20" i="11"/>
  <c r="AA19" i="3"/>
  <c r="X21" i="3"/>
  <c r="G18" i="11"/>
  <c r="R12" i="11"/>
  <c r="G28" i="6"/>
  <c r="D28" i="6"/>
  <c r="C34" i="6"/>
  <c r="G33" i="6"/>
  <c r="D33" i="6"/>
  <c r="O17" i="11"/>
  <c r="L17" i="11"/>
  <c r="O28" i="6"/>
  <c r="L28" i="6"/>
  <c r="K34" i="6"/>
  <c r="AI15" i="11"/>
  <c r="D12" i="11"/>
  <c r="G12" i="11"/>
  <c r="Y30" i="6"/>
  <c r="AG18" i="11"/>
  <c r="X18" i="11"/>
  <c r="X23" i="11" s="1"/>
  <c r="L10" i="6"/>
  <c r="G17" i="11"/>
  <c r="D17" i="11"/>
  <c r="O16" i="11"/>
  <c r="L16" i="11"/>
  <c r="R14" i="11"/>
  <c r="Q14" i="11"/>
  <c r="N26" i="6"/>
  <c r="J39" i="11"/>
  <c r="I39" i="11"/>
  <c r="F30" i="11"/>
  <c r="E32" i="11"/>
  <c r="F32" i="11" s="1"/>
  <c r="J27" i="11"/>
  <c r="L12" i="6"/>
  <c r="I42" i="6"/>
  <c r="G30" i="11"/>
  <c r="D30" i="11"/>
  <c r="C32" i="11"/>
  <c r="L42" i="6"/>
  <c r="L26" i="6"/>
  <c r="L32" i="6"/>
  <c r="J46" i="11"/>
  <c r="I46" i="11"/>
  <c r="R17" i="11"/>
  <c r="Q17" i="11"/>
  <c r="J18" i="11"/>
  <c r="I18" i="11"/>
  <c r="T23" i="6"/>
  <c r="F33" i="6"/>
  <c r="L12" i="11"/>
  <c r="O12" i="11"/>
  <c r="C20" i="11"/>
  <c r="G10" i="11"/>
  <c r="D10" i="11"/>
  <c r="P43" i="10"/>
  <c r="R41" i="10"/>
  <c r="Q41" i="10"/>
  <c r="C41" i="10"/>
  <c r="C45" i="10"/>
  <c r="G45" i="10" s="1"/>
  <c r="G36" i="10"/>
  <c r="O32" i="10"/>
  <c r="K38" i="10"/>
  <c r="K38" i="11" s="1"/>
  <c r="H43" i="10"/>
  <c r="J41" i="10"/>
  <c r="X30" i="10"/>
  <c r="Z24" i="11" s="1"/>
  <c r="AA21" i="10"/>
  <c r="K30" i="10"/>
  <c r="K30" i="11" s="1"/>
  <c r="O26" i="10"/>
  <c r="R45" i="10"/>
  <c r="Q45" i="10"/>
  <c r="E43" i="10"/>
  <c r="I41" i="10"/>
  <c r="E43" i="8"/>
  <c r="E43" i="9" s="1"/>
  <c r="F41" i="8"/>
  <c r="I43" i="8"/>
  <c r="Z30" i="8"/>
  <c r="AC30" i="8"/>
  <c r="G41" i="8"/>
  <c r="C43" i="8"/>
  <c r="M43" i="8"/>
  <c r="M43" i="9" s="1"/>
  <c r="N41" i="8"/>
  <c r="O41" i="8"/>
  <c r="K43" i="8"/>
  <c r="Q41" i="8"/>
  <c r="P43" i="8"/>
  <c r="P43" i="9" s="1"/>
  <c r="Q43" i="9" s="1"/>
  <c r="R41" i="8"/>
  <c r="J41" i="8"/>
  <c r="J36" i="7"/>
  <c r="I36" i="7"/>
  <c r="H41" i="7"/>
  <c r="D36" i="7"/>
  <c r="C41" i="7"/>
  <c r="C57" i="7"/>
  <c r="C60" i="7" s="1"/>
  <c r="C61" i="7" s="1"/>
  <c r="G36" i="7"/>
  <c r="R36" i="7"/>
  <c r="Q36" i="7"/>
  <c r="P41" i="7"/>
  <c r="L36" i="7"/>
  <c r="K41" i="7"/>
  <c r="N57" i="7"/>
  <c r="N60" i="7" s="1"/>
  <c r="O36" i="7"/>
  <c r="M41" i="7"/>
  <c r="R57" i="7"/>
  <c r="R60" i="7" s="1"/>
  <c r="N36" i="7"/>
  <c r="E41" i="7"/>
  <c r="E57" i="7"/>
  <c r="E60" i="7" s="1"/>
  <c r="E61" i="7" s="1"/>
  <c r="F36" i="7"/>
  <c r="AA30" i="7"/>
  <c r="C41" i="5"/>
  <c r="D36" i="5"/>
  <c r="G36" i="5"/>
  <c r="R36" i="5"/>
  <c r="Q36" i="5"/>
  <c r="P41" i="5"/>
  <c r="L36" i="5"/>
  <c r="K41" i="5"/>
  <c r="O36" i="5"/>
  <c r="E41" i="5"/>
  <c r="E43" i="5" s="1"/>
  <c r="J36" i="5"/>
  <c r="I36" i="5"/>
  <c r="H41" i="5"/>
  <c r="N36" i="4"/>
  <c r="M41" i="4"/>
  <c r="Z21" i="4"/>
  <c r="Y30" i="4"/>
  <c r="Z30" i="4" s="1"/>
  <c r="J36" i="4"/>
  <c r="I36" i="4"/>
  <c r="H41" i="4"/>
  <c r="R36" i="4"/>
  <c r="Q36" i="4"/>
  <c r="P41" i="4"/>
  <c r="G36" i="4"/>
  <c r="D36" i="4"/>
  <c r="C41" i="4"/>
  <c r="F36" i="4"/>
  <c r="E41" i="4"/>
  <c r="O36" i="4"/>
  <c r="L36" i="4"/>
  <c r="K41" i="4"/>
  <c r="AB30" i="4"/>
  <c r="AC21" i="4"/>
  <c r="C41" i="3"/>
  <c r="G36" i="3"/>
  <c r="D36" i="3"/>
  <c r="N36" i="3"/>
  <c r="M41" i="3"/>
  <c r="O36" i="3"/>
  <c r="L36" i="3"/>
  <c r="K41" i="3"/>
  <c r="F36" i="3"/>
  <c r="E41" i="3"/>
  <c r="J36" i="3"/>
  <c r="I36" i="3"/>
  <c r="H41" i="3"/>
  <c r="E45" i="3" l="1"/>
  <c r="C45" i="3"/>
  <c r="K45" i="3"/>
  <c r="P45" i="3"/>
  <c r="M45" i="3"/>
  <c r="AC23" i="11"/>
  <c r="AD23" i="11"/>
  <c r="AC30" i="4"/>
  <c r="O38" i="11"/>
  <c r="L38" i="11"/>
  <c r="D20" i="11"/>
  <c r="C24" i="11"/>
  <c r="G20" i="11"/>
  <c r="D19" i="11"/>
  <c r="D31" i="11"/>
  <c r="AD20" i="11"/>
  <c r="AC20" i="11"/>
  <c r="D13" i="11"/>
  <c r="D15" i="11"/>
  <c r="Q12" i="11"/>
  <c r="L15" i="11"/>
  <c r="AA21" i="6"/>
  <c r="Z21" i="3"/>
  <c r="Y30" i="3"/>
  <c r="AE23" i="11"/>
  <c r="Z30" i="9"/>
  <c r="AC30" i="9"/>
  <c r="R36" i="3"/>
  <c r="Q36" i="3"/>
  <c r="P41" i="3"/>
  <c r="R28" i="11"/>
  <c r="Q28" i="11"/>
  <c r="P34" i="11"/>
  <c r="Z23" i="11"/>
  <c r="D11" i="11"/>
  <c r="D22" i="11"/>
  <c r="Q22" i="11"/>
  <c r="N28" i="11"/>
  <c r="M34" i="11"/>
  <c r="N34" i="11" s="1"/>
  <c r="Q38" i="11"/>
  <c r="H24" i="11"/>
  <c r="J20" i="11"/>
  <c r="I31" i="11"/>
  <c r="F20" i="11"/>
  <c r="F18" i="11"/>
  <c r="F15" i="11"/>
  <c r="E24" i="11"/>
  <c r="F13" i="11"/>
  <c r="F16" i="11"/>
  <c r="F31" i="11"/>
  <c r="F22" i="11"/>
  <c r="F46" i="11"/>
  <c r="F39" i="11"/>
  <c r="F38" i="11"/>
  <c r="F11" i="11"/>
  <c r="F42" i="11"/>
  <c r="F19" i="11"/>
  <c r="F14" i="11"/>
  <c r="F27" i="11"/>
  <c r="F17" i="11"/>
  <c r="F12" i="11"/>
  <c r="Q26" i="11"/>
  <c r="Q15" i="11"/>
  <c r="D27" i="11"/>
  <c r="G28" i="11"/>
  <c r="D28" i="11"/>
  <c r="C34" i="11"/>
  <c r="L20" i="11"/>
  <c r="L31" i="11"/>
  <c r="K24" i="11"/>
  <c r="O20" i="11"/>
  <c r="L19" i="11"/>
  <c r="AE21" i="6"/>
  <c r="AD30" i="6"/>
  <c r="R41" i="3"/>
  <c r="J43" i="8"/>
  <c r="O30" i="11"/>
  <c r="L30" i="11"/>
  <c r="K32" i="11"/>
  <c r="I27" i="11"/>
  <c r="AG23" i="11"/>
  <c r="X24" i="11"/>
  <c r="D18" i="11"/>
  <c r="Q24" i="6"/>
  <c r="P36" i="6"/>
  <c r="R24" i="6"/>
  <c r="Q27" i="11"/>
  <c r="Q11" i="11"/>
  <c r="I16" i="11"/>
  <c r="I30" i="11"/>
  <c r="N15" i="11"/>
  <c r="N18" i="11"/>
  <c r="N38" i="11"/>
  <c r="N31" i="11"/>
  <c r="M24" i="11"/>
  <c r="N27" i="11"/>
  <c r="N46" i="11"/>
  <c r="N39" i="11"/>
  <c r="N22" i="11"/>
  <c r="N13" i="11"/>
  <c r="N42" i="11"/>
  <c r="N20" i="11"/>
  <c r="N19" i="11"/>
  <c r="N14" i="11"/>
  <c r="N11" i="11"/>
  <c r="N17" i="11"/>
  <c r="N12" i="11"/>
  <c r="N16" i="11"/>
  <c r="D26" i="11"/>
  <c r="I13" i="11"/>
  <c r="F26" i="11"/>
  <c r="AB30" i="3"/>
  <c r="AC21" i="3"/>
  <c r="X30" i="3"/>
  <c r="AA21" i="3"/>
  <c r="J32" i="11"/>
  <c r="I32" i="11"/>
  <c r="J28" i="11"/>
  <c r="I28" i="11"/>
  <c r="H34" i="11"/>
  <c r="J34" i="6"/>
  <c r="I34" i="6"/>
  <c r="D42" i="11"/>
  <c r="F28" i="11"/>
  <c r="E34" i="11"/>
  <c r="F34" i="11" s="1"/>
  <c r="R43" i="9"/>
  <c r="N43" i="9"/>
  <c r="J43" i="9"/>
  <c r="E64" i="7"/>
  <c r="F43" i="9"/>
  <c r="F24" i="6"/>
  <c r="T12" i="6"/>
  <c r="E36" i="6"/>
  <c r="Q20" i="11"/>
  <c r="P24" i="11"/>
  <c r="R20" i="11"/>
  <c r="Q31" i="11"/>
  <c r="Q19" i="11"/>
  <c r="Q16" i="11"/>
  <c r="D39" i="11"/>
  <c r="I26" i="11"/>
  <c r="AE15" i="11"/>
  <c r="AA18" i="11"/>
  <c r="O28" i="11"/>
  <c r="L28" i="11"/>
  <c r="G32" i="11"/>
  <c r="D32" i="11"/>
  <c r="C36" i="6"/>
  <c r="G34" i="6"/>
  <c r="D34" i="6"/>
  <c r="R32" i="11"/>
  <c r="Q32" i="11"/>
  <c r="R34" i="6"/>
  <c r="Q34" i="6"/>
  <c r="N24" i="6"/>
  <c r="M36" i="6"/>
  <c r="Q39" i="11"/>
  <c r="Q18" i="11"/>
  <c r="F34" i="6"/>
  <c r="T24" i="6"/>
  <c r="I42" i="11"/>
  <c r="D46" i="11"/>
  <c r="I43" i="10"/>
  <c r="E65" i="7"/>
  <c r="O34" i="6"/>
  <c r="L34" i="6"/>
  <c r="AC15" i="11"/>
  <c r="AB18" i="11"/>
  <c r="AD18" i="11" s="1"/>
  <c r="I24" i="6"/>
  <c r="J24" i="6"/>
  <c r="H36" i="6"/>
  <c r="Q42" i="11"/>
  <c r="X30" i="6"/>
  <c r="AH18" i="11"/>
  <c r="K36" i="6"/>
  <c r="O24" i="6"/>
  <c r="L24" i="6"/>
  <c r="G24" i="6"/>
  <c r="D24" i="6"/>
  <c r="J43" i="10"/>
  <c r="R43" i="10"/>
  <c r="Q43" i="10"/>
  <c r="O38" i="10"/>
  <c r="K42" i="10"/>
  <c r="K42" i="11" s="1"/>
  <c r="K34" i="10"/>
  <c r="O30" i="10"/>
  <c r="C43" i="10"/>
  <c r="G41" i="10"/>
  <c r="C45" i="8"/>
  <c r="G45" i="8" s="1"/>
  <c r="G43" i="8"/>
  <c r="R43" i="8"/>
  <c r="Q43" i="8"/>
  <c r="K45" i="8"/>
  <c r="O45" i="8" s="1"/>
  <c r="O43" i="8"/>
  <c r="M45" i="8"/>
  <c r="M45" i="9" s="1"/>
  <c r="N43" i="8"/>
  <c r="E45" i="8"/>
  <c r="E45" i="9" s="1"/>
  <c r="F43" i="8"/>
  <c r="J45" i="7"/>
  <c r="I45" i="7"/>
  <c r="F45" i="7"/>
  <c r="G45" i="7"/>
  <c r="D45" i="7"/>
  <c r="Q45" i="7"/>
  <c r="R45" i="7"/>
  <c r="O45" i="7"/>
  <c r="L45" i="7"/>
  <c r="N45" i="7"/>
  <c r="H43" i="7"/>
  <c r="J41" i="7"/>
  <c r="I41" i="7"/>
  <c r="N41" i="7"/>
  <c r="M43" i="7"/>
  <c r="N43" i="7" s="1"/>
  <c r="E43" i="7"/>
  <c r="F41" i="7"/>
  <c r="L41" i="7"/>
  <c r="K43" i="7"/>
  <c r="O41" i="7"/>
  <c r="D41" i="7"/>
  <c r="C43" i="7"/>
  <c r="G41" i="7"/>
  <c r="P43" i="7"/>
  <c r="R41" i="7"/>
  <c r="Q41" i="7"/>
  <c r="R45" i="5"/>
  <c r="Q45" i="5"/>
  <c r="L45" i="5"/>
  <c r="O45" i="5"/>
  <c r="D45" i="5"/>
  <c r="G45" i="5"/>
  <c r="D41" i="5"/>
  <c r="C43" i="5"/>
  <c r="G41" i="5"/>
  <c r="H43" i="5"/>
  <c r="J41" i="5"/>
  <c r="I41" i="5"/>
  <c r="I42" i="5" s="1"/>
  <c r="P43" i="5"/>
  <c r="R41" i="5"/>
  <c r="Q41" i="5"/>
  <c r="L41" i="5"/>
  <c r="K43" i="5"/>
  <c r="O41" i="5"/>
  <c r="F45" i="4"/>
  <c r="G45" i="4"/>
  <c r="D45" i="4"/>
  <c r="O45" i="4"/>
  <c r="L45" i="4"/>
  <c r="R45" i="4"/>
  <c r="Q45" i="4"/>
  <c r="N45" i="4"/>
  <c r="G41" i="4"/>
  <c r="D41" i="4"/>
  <c r="C43" i="4"/>
  <c r="J41" i="4"/>
  <c r="I41" i="4"/>
  <c r="H43" i="4"/>
  <c r="F41" i="4"/>
  <c r="E43" i="4"/>
  <c r="F43" i="4" s="1"/>
  <c r="O41" i="4"/>
  <c r="L41" i="4"/>
  <c r="K43" i="4"/>
  <c r="R41" i="4"/>
  <c r="Q41" i="4"/>
  <c r="P43" i="4"/>
  <c r="N41" i="4"/>
  <c r="M43" i="4"/>
  <c r="N43" i="4" s="1"/>
  <c r="J41" i="3"/>
  <c r="I41" i="3"/>
  <c r="H43" i="3"/>
  <c r="O41" i="3"/>
  <c r="K43" i="3"/>
  <c r="L41" i="3"/>
  <c r="N41" i="3"/>
  <c r="M43" i="3"/>
  <c r="N43" i="3" s="1"/>
  <c r="F41" i="3"/>
  <c r="E43" i="3"/>
  <c r="F43" i="3" s="1"/>
  <c r="G41" i="3"/>
  <c r="D41" i="3"/>
  <c r="C43" i="3"/>
  <c r="O32" i="11" l="1"/>
  <c r="L32" i="11"/>
  <c r="AH23" i="11"/>
  <c r="Y24" i="11"/>
  <c r="AC30" i="6"/>
  <c r="L24" i="11"/>
  <c r="O24" i="11"/>
  <c r="O42" i="11"/>
  <c r="L42" i="11"/>
  <c r="R24" i="11"/>
  <c r="Q24" i="11"/>
  <c r="P36" i="11"/>
  <c r="AA30" i="6"/>
  <c r="Z30" i="3"/>
  <c r="N36" i="6"/>
  <c r="M41" i="6"/>
  <c r="C41" i="6"/>
  <c r="G36" i="6"/>
  <c r="D36" i="6"/>
  <c r="T25" i="6"/>
  <c r="F36" i="6"/>
  <c r="E41" i="6"/>
  <c r="R36" i="6"/>
  <c r="Q36" i="6"/>
  <c r="P41" i="6"/>
  <c r="P43" i="3"/>
  <c r="Q43" i="3" s="1"/>
  <c r="Q41" i="3"/>
  <c r="AB21" i="6"/>
  <c r="AI18" i="11" s="1"/>
  <c r="AK18" i="11"/>
  <c r="AC21" i="6"/>
  <c r="F24" i="11"/>
  <c r="E36" i="11"/>
  <c r="F45" i="9"/>
  <c r="J45" i="9"/>
  <c r="J36" i="6"/>
  <c r="I36" i="6"/>
  <c r="H41" i="6"/>
  <c r="M45" i="6"/>
  <c r="N45" i="3"/>
  <c r="C36" i="11"/>
  <c r="D34" i="11"/>
  <c r="G34" i="11"/>
  <c r="D24" i="11"/>
  <c r="G24" i="11"/>
  <c r="R45" i="3"/>
  <c r="P45" i="6"/>
  <c r="Q45" i="3"/>
  <c r="AE18" i="11"/>
  <c r="AA23" i="11"/>
  <c r="N24" i="11"/>
  <c r="M36" i="11"/>
  <c r="N36" i="11" s="1"/>
  <c r="N45" i="9"/>
  <c r="R45" i="9"/>
  <c r="G43" i="10"/>
  <c r="C65" i="7"/>
  <c r="K34" i="11"/>
  <c r="AE30" i="6"/>
  <c r="AA24" i="11"/>
  <c r="O45" i="3"/>
  <c r="K45" i="6"/>
  <c r="L45" i="3"/>
  <c r="AB23" i="11"/>
  <c r="AC18" i="11"/>
  <c r="H36" i="11"/>
  <c r="J24" i="11"/>
  <c r="I24" i="11"/>
  <c r="G45" i="3"/>
  <c r="C45" i="6"/>
  <c r="D45" i="3"/>
  <c r="K41" i="6"/>
  <c r="O36" i="6"/>
  <c r="L36" i="6"/>
  <c r="J34" i="11"/>
  <c r="I34" i="11"/>
  <c r="AC30" i="3"/>
  <c r="R34" i="11"/>
  <c r="Q34" i="11"/>
  <c r="E45" i="6"/>
  <c r="F45" i="3"/>
  <c r="K39" i="10"/>
  <c r="K39" i="11" s="1"/>
  <c r="O34" i="10"/>
  <c r="O42" i="10"/>
  <c r="K46" i="10"/>
  <c r="N45" i="8"/>
  <c r="R45" i="8"/>
  <c r="J45" i="8"/>
  <c r="F45" i="8"/>
  <c r="Q43" i="7"/>
  <c r="R43" i="7"/>
  <c r="E63" i="7"/>
  <c r="F43" i="7"/>
  <c r="O43" i="7"/>
  <c r="L43" i="7"/>
  <c r="G43" i="7"/>
  <c r="C63" i="7"/>
  <c r="C66" i="7" s="1"/>
  <c r="C68" i="7" s="1"/>
  <c r="D43" i="7"/>
  <c r="I43" i="7"/>
  <c r="J43" i="7"/>
  <c r="I43" i="5"/>
  <c r="J43" i="5"/>
  <c r="O43" i="5"/>
  <c r="L43" i="5"/>
  <c r="G43" i="5"/>
  <c r="D43" i="5"/>
  <c r="Q43" i="5"/>
  <c r="R43" i="5"/>
  <c r="R43" i="4"/>
  <c r="Q43" i="4"/>
  <c r="O43" i="4"/>
  <c r="L43" i="4"/>
  <c r="G43" i="4"/>
  <c r="D43" i="4"/>
  <c r="J43" i="4"/>
  <c r="I43" i="4"/>
  <c r="J43" i="3"/>
  <c r="I43" i="3"/>
  <c r="G43" i="3"/>
  <c r="D43" i="3"/>
  <c r="O43" i="3"/>
  <c r="L43" i="3"/>
  <c r="R43" i="3"/>
  <c r="H45" i="3" l="1"/>
  <c r="G41" i="6"/>
  <c r="D41" i="6"/>
  <c r="C43" i="6"/>
  <c r="O39" i="11"/>
  <c r="L39" i="11"/>
  <c r="I36" i="11"/>
  <c r="H41" i="11"/>
  <c r="J36" i="11"/>
  <c r="K36" i="11"/>
  <c r="O34" i="11"/>
  <c r="L34" i="11"/>
  <c r="G36" i="11"/>
  <c r="C41" i="11"/>
  <c r="D36" i="11"/>
  <c r="E41" i="11"/>
  <c r="F36" i="11"/>
  <c r="M41" i="11"/>
  <c r="N41" i="6"/>
  <c r="M43" i="6"/>
  <c r="N43" i="6" s="1"/>
  <c r="P41" i="11"/>
  <c r="R41" i="6"/>
  <c r="Q41" i="6"/>
  <c r="P43" i="6"/>
  <c r="T28" i="6"/>
  <c r="F41" i="6"/>
  <c r="E43" i="6"/>
  <c r="J41" i="6"/>
  <c r="I41" i="6"/>
  <c r="H43" i="6"/>
  <c r="AB24" i="11"/>
  <c r="AK23" i="11"/>
  <c r="AB30" i="6"/>
  <c r="E45" i="11"/>
  <c r="F45" i="11" s="1"/>
  <c r="F45" i="6"/>
  <c r="R45" i="6"/>
  <c r="P45" i="11"/>
  <c r="Q45" i="6"/>
  <c r="O45" i="6"/>
  <c r="K45" i="11"/>
  <c r="L45" i="6"/>
  <c r="R36" i="11"/>
  <c r="Q36" i="11"/>
  <c r="O46" i="10"/>
  <c r="K46" i="11"/>
  <c r="K43" i="6"/>
  <c r="O41" i="6"/>
  <c r="L41" i="6"/>
  <c r="N45" i="6"/>
  <c r="M45" i="11"/>
  <c r="N45" i="11" s="1"/>
  <c r="T31" i="6"/>
  <c r="C45" i="11"/>
  <c r="G45" i="6"/>
  <c r="D45" i="6"/>
  <c r="O39" i="10"/>
  <c r="K43" i="10"/>
  <c r="O43" i="10" s="1"/>
  <c r="K63" i="7"/>
  <c r="E66" i="7"/>
  <c r="E68" i="7" s="1"/>
  <c r="F68" i="7" s="1"/>
  <c r="J45" i="5"/>
  <c r="I45" i="5"/>
  <c r="J45" i="4"/>
  <c r="I45" i="4"/>
  <c r="O45" i="11" l="1"/>
  <c r="L45" i="11"/>
  <c r="R43" i="6"/>
  <c r="Q43" i="6"/>
  <c r="F41" i="11"/>
  <c r="E43" i="11"/>
  <c r="F43" i="11" s="1"/>
  <c r="J41" i="11"/>
  <c r="I41" i="11"/>
  <c r="H43" i="11"/>
  <c r="O43" i="6"/>
  <c r="L43" i="6"/>
  <c r="J43" i="6"/>
  <c r="I43" i="6"/>
  <c r="D41" i="11"/>
  <c r="G41" i="11"/>
  <c r="C43" i="11"/>
  <c r="O46" i="11"/>
  <c r="L46" i="11"/>
  <c r="R45" i="11"/>
  <c r="Q45" i="11"/>
  <c r="R41" i="11"/>
  <c r="P43" i="11"/>
  <c r="Q41" i="11"/>
  <c r="G43" i="6"/>
  <c r="D43" i="6"/>
  <c r="F43" i="6"/>
  <c r="T30" i="6"/>
  <c r="N41" i="11"/>
  <c r="M43" i="11"/>
  <c r="N43" i="11" s="1"/>
  <c r="K41" i="11"/>
  <c r="L36" i="11"/>
  <c r="O36" i="11"/>
  <c r="G45" i="11"/>
  <c r="D45" i="11"/>
  <c r="AC24" i="11"/>
  <c r="AI23" i="11"/>
  <c r="J45" i="3"/>
  <c r="H45" i="6"/>
  <c r="I45" i="3"/>
  <c r="J45" i="6" l="1"/>
  <c r="H45" i="11"/>
  <c r="I45" i="6"/>
  <c r="O41" i="11"/>
  <c r="L41" i="11"/>
  <c r="K43" i="11"/>
  <c r="R43" i="11"/>
  <c r="Q43" i="11"/>
  <c r="G43" i="11"/>
  <c r="D43" i="11"/>
  <c r="J43" i="11"/>
  <c r="I43" i="11"/>
  <c r="L43" i="11" l="1"/>
  <c r="O43" i="11"/>
  <c r="J45" i="11"/>
  <c r="I45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G.</author>
  </authors>
  <commentList>
    <comment ref="H38" authorId="0" shapeId="0" xr:uid="{78917685-DCA2-4FD2-8E8A-E6C9A354E72B}">
      <text>
        <r>
          <rPr>
            <b/>
            <sz val="9"/>
            <color indexed="81"/>
            <rFont val="Tahoma"/>
            <family val="2"/>
          </rPr>
          <t>Robert G.:</t>
        </r>
        <r>
          <rPr>
            <sz val="9"/>
            <color indexed="81"/>
            <rFont val="Tahoma"/>
            <family val="2"/>
          </rPr>
          <t xml:space="preserve">
se resta el metodo de participacion para efectos comparables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AE7" authorId="0" shapeId="0" xr:uid="{6814A937-7ADB-4619-AA38-001DF57909B9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AE6" authorId="0" shapeId="0" xr:uid="{89FD3FE1-A104-4B83-9311-B001DC19349D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exión" type="7" refreshedVersion="6"/>
  <connection id="2" xr16:uid="{BF4CFD5B-B91F-4E0D-95AD-9D37000E7071}" name="Conexión2" type="7" refreshedVersion="6"/>
  <connection id="3" xr16:uid="{C7F74B4F-9495-40A8-AAF5-7A79AF052AD4}" name="Conexión3" type="7" refreshedVersion="6"/>
</connections>
</file>

<file path=xl/sharedStrings.xml><?xml version="1.0" encoding="utf-8"?>
<sst xmlns="http://schemas.openxmlformats.org/spreadsheetml/2006/main" count="1386" uniqueCount="587">
  <si>
    <t>Periodo ant</t>
  </si>
  <si>
    <t>Periodo Act</t>
  </si>
  <si>
    <t>TRM</t>
  </si>
  <si>
    <t>TRM presupuesto 2021</t>
  </si>
  <si>
    <t>MUSICAR S.A. COLOMBIA CONSOLIDADO</t>
  </si>
  <si>
    <t>Estado de resultados</t>
  </si>
  <si>
    <t xml:space="preserve">Flujo de Caja </t>
  </si>
  <si>
    <t>Cifras en miles de Pesos Colombianos</t>
  </si>
  <si>
    <t>ACUMULADO</t>
  </si>
  <si>
    <t>Cump</t>
  </si>
  <si>
    <t>Crec</t>
  </si>
  <si>
    <t>Exe/def</t>
  </si>
  <si>
    <t>Item</t>
  </si>
  <si>
    <t>Valor</t>
  </si>
  <si>
    <t>%/Ing</t>
  </si>
  <si>
    <t>%</t>
  </si>
  <si>
    <t>Saldo Inicial</t>
  </si>
  <si>
    <t>Ingresos</t>
  </si>
  <si>
    <t>Materiales</t>
  </si>
  <si>
    <t>Servicios</t>
  </si>
  <si>
    <t>Nómina</t>
  </si>
  <si>
    <t>Egresos Generales</t>
  </si>
  <si>
    <t>Total Egresos</t>
  </si>
  <si>
    <t>Flujo Operacional</t>
  </si>
  <si>
    <t>Total Ingresos</t>
  </si>
  <si>
    <t>Disponible antes de CAPEX</t>
  </si>
  <si>
    <t>Costos</t>
  </si>
  <si>
    <t>CAPEX (Inversión)</t>
  </si>
  <si>
    <t>Margen de Contribución</t>
  </si>
  <si>
    <t>Impuestos</t>
  </si>
  <si>
    <t>Gastos Variables de Venta</t>
  </si>
  <si>
    <t>Gastos Fijos de Venta</t>
  </si>
  <si>
    <t>Movimiento Financiero</t>
  </si>
  <si>
    <t>Total Gastos de Venta</t>
  </si>
  <si>
    <t>Dividendos Pagados</t>
  </si>
  <si>
    <t>Gastos Operación</t>
  </si>
  <si>
    <t xml:space="preserve">Saldo Final </t>
  </si>
  <si>
    <t>Gastos Administrativos Distribuidos</t>
  </si>
  <si>
    <t>Total Gastos Administrativos</t>
  </si>
  <si>
    <t>Total Gastos Operacionales</t>
  </si>
  <si>
    <t>Utilidad Operacional</t>
  </si>
  <si>
    <t>Ingresos no Operacionales</t>
  </si>
  <si>
    <t>Gastos no Operacionales</t>
  </si>
  <si>
    <t>Utilidad antes de Impuestos</t>
  </si>
  <si>
    <t>Utilidad Neta</t>
  </si>
  <si>
    <t>EBITDA</t>
  </si>
  <si>
    <t>ok</t>
  </si>
  <si>
    <t>MUSICAR COLOMBIA</t>
  </si>
  <si>
    <t>JULIO de 2022</t>
  </si>
  <si>
    <t>Ppto 2022</t>
  </si>
  <si>
    <t>Real 2022</t>
  </si>
  <si>
    <t>Real 2021</t>
  </si>
  <si>
    <t>450,460,461,462,463,464,465,466,467,471,472,475,476,477,478,470</t>
  </si>
  <si>
    <t>4155900000,4155900100,4155900500,4155900600,4170250000,4170250100,4170250200,4170251500,4170251600,4170251700,4170251900,4170251800,4170252000,4170253000,4170253500,4170252100,4170253700,4155900700,4170253800,4155900800</t>
  </si>
  <si>
    <t>Musical Experience  (Ambiental)</t>
  </si>
  <si>
    <t>4155950500,4170250300,4170250400,4155950600,4155952500,4155952600,4170252600</t>
  </si>
  <si>
    <t>Instalaciones</t>
  </si>
  <si>
    <t>4155950000,4155950100,4155950200,4170250900,4175080000</t>
  </si>
  <si>
    <t>Voice Experience (Publihold)</t>
  </si>
  <si>
    <t>4135950000,4135950100,4135950200,4135950800,4175090000,4175090100,4245010000,4245050000,4135950500</t>
  </si>
  <si>
    <t>Service &amp; Equipment Experience</t>
  </si>
  <si>
    <t>POP Satelital</t>
  </si>
  <si>
    <t>4170250800,4170251100</t>
  </si>
  <si>
    <t>Voice Experience (Audicóm)</t>
  </si>
  <si>
    <t>Fact. Servicio Satelital</t>
  </si>
  <si>
    <t>Visual Experience</t>
  </si>
  <si>
    <t>4155951800,4155952000,4135950600,4135950700</t>
  </si>
  <si>
    <t>Olfa Experience</t>
  </si>
  <si>
    <t>4170252500</t>
  </si>
  <si>
    <t>Locutor virtual</t>
  </si>
  <si>
    <t xml:space="preserve"> </t>
  </si>
  <si>
    <t>5260050000,5260100000,5260150000,5260200000,5260350000,5260980000,5265980000,5160050000,5160100000,5160150000,5160200000,5160350000,5160980000,5165980000,5165100000,5165150000,5165950000,5265100000</t>
  </si>
  <si>
    <t>Ebitda</t>
  </si>
  <si>
    <t>depre</t>
  </si>
  <si>
    <t>MUSICAR S.A. COLOMBIA</t>
  </si>
  <si>
    <t>Estado de Resultados</t>
  </si>
  <si>
    <t>080,469,090,100</t>
  </si>
  <si>
    <t>MUSICAR  COLOMBIA</t>
  </si>
  <si>
    <t>Estado de Reultados</t>
  </si>
  <si>
    <t>Cifras en miles de Dólares Americanos</t>
  </si>
  <si>
    <t>esta no se cambia</t>
  </si>
  <si>
    <t>% Cump</t>
  </si>
  <si>
    <t>SALDOINI</t>
  </si>
  <si>
    <t>INGRESOS</t>
  </si>
  <si>
    <t>MATERIALES</t>
  </si>
  <si>
    <t>PERSONAL</t>
  </si>
  <si>
    <t>GENERALES</t>
  </si>
  <si>
    <t>IMPUESTOS</t>
  </si>
  <si>
    <t>FINANCIERO</t>
  </si>
  <si>
    <t>DIVIDENDO</t>
  </si>
  <si>
    <t>MUSICAR S.A. EL SALVADOR</t>
  </si>
  <si>
    <t>Estado de Ganancias y pérdidas</t>
  </si>
  <si>
    <t>ACUMULADO MES ANTERIOR</t>
  </si>
  <si>
    <t>real 2022</t>
  </si>
  <si>
    <t>OK</t>
  </si>
  <si>
    <t>FLUJO DE CAJA LIBRE</t>
  </si>
  <si>
    <t>PPTO</t>
  </si>
  <si>
    <t>REAL</t>
  </si>
  <si>
    <t>Salvador</t>
  </si>
  <si>
    <t>Venezuela</t>
  </si>
  <si>
    <t>Musicar internacionall</t>
  </si>
  <si>
    <t>Total</t>
  </si>
  <si>
    <t>&lt;------- el valor total del ppto y del real se digita en la pagina de indicadores</t>
  </si>
  <si>
    <t>Sin Venezuela</t>
  </si>
  <si>
    <t>UTILIDAD OPERACIONAL EXTERIOR</t>
  </si>
  <si>
    <t>Ppto</t>
  </si>
  <si>
    <t>Real</t>
  </si>
  <si>
    <t>Ppto acum</t>
  </si>
  <si>
    <t>Real Acum</t>
  </si>
  <si>
    <t>Venzueal</t>
  </si>
  <si>
    <t>Musicar internacional</t>
  </si>
  <si>
    <t>se digita en la pagina de indicadores</t>
  </si>
  <si>
    <t>vr sin venezuela</t>
  </si>
  <si>
    <t>UTILIDAD NETA EXTERIOR</t>
  </si>
  <si>
    <t>Venezulea</t>
  </si>
  <si>
    <t>TOTAL UTILIDAD NETA EXTERIOR</t>
  </si>
  <si>
    <t>Uitlidad neta sin venezuela</t>
  </si>
  <si>
    <t>MUSICAR S.A. VENEZUELA</t>
  </si>
  <si>
    <t>Cifras en miles de Bolivares Fuertes</t>
  </si>
  <si>
    <t>real 2021</t>
  </si>
  <si>
    <t>Fact.Olfa experience</t>
  </si>
  <si>
    <t>TRM 2022</t>
  </si>
  <si>
    <t>Dólar implicito tomado doalr today</t>
  </si>
  <si>
    <t>TRM 2021</t>
  </si>
  <si>
    <t>Cifras en Dólares Americanos</t>
  </si>
  <si>
    <t>Cifras en Dolares americanos</t>
  </si>
  <si>
    <t>Enero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</si>
  <si>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</si>
  <si>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</si>
  <si>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</si>
  <si>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</si>
  <si>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</si>
  <si>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</si>
  <si>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</si>
  <si>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</si>
  <si>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</si>
  <si>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</si>
  <si>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Utild vene en Bolivares</t>
  </si>
  <si>
    <t>utilidad venez en usd</t>
  </si>
  <si>
    <t>Dic</t>
  </si>
  <si>
    <t>Cierre</t>
  </si>
  <si>
    <t>promedio</t>
  </si>
  <si>
    <t>Prom año</t>
  </si>
  <si>
    <t>MUSICAR INTERNACIONAL</t>
  </si>
  <si>
    <t>Cifras en  Dolares Americanos</t>
  </si>
  <si>
    <t>Dividendos Pagados (Descapitalizacion)</t>
  </si>
  <si>
    <t xml:space="preserve">Gastos Administrativos </t>
  </si>
  <si>
    <t>MUSICAR S.A. COLOMBIA CONSOLIDADO USD</t>
  </si>
  <si>
    <t>acumulado</t>
  </si>
  <si>
    <t>4155900000,4155900100,4155900500,4155900600,4170250000,4170250100,4170250200,4170251500,4170251600,4170251700,4170251900,4170251800,4170252000,4170253000,4170253500,4170252100</t>
  </si>
  <si>
    <t xml:space="preserve">   Facturación Musical Experience (Ambiental)</t>
  </si>
  <si>
    <t xml:space="preserve">   Facturación Instalación</t>
  </si>
  <si>
    <t xml:space="preserve">   Facturación Voice Experience (Publihold)</t>
  </si>
  <si>
    <t xml:space="preserve">   Facturación Olfa Experience</t>
  </si>
  <si>
    <t>4135950000,4135950100,4135950200,4135950800,4175090000,4175090100,4245010000,4245050000</t>
  </si>
  <si>
    <t xml:space="preserve">   Facturación Service &amp; Equipment Experience (Red-Audio)</t>
  </si>
  <si>
    <t>4170250500</t>
  </si>
  <si>
    <t xml:space="preserve">   Facturación POP Satelital</t>
  </si>
  <si>
    <t xml:space="preserve">   Facturacion Locutor virtual</t>
  </si>
  <si>
    <t>4135950900</t>
  </si>
  <si>
    <t xml:space="preserve">   Facturacion Instaladores</t>
  </si>
  <si>
    <t xml:space="preserve">   Facturación Voice Experience (Audicóm)</t>
  </si>
  <si>
    <t>4155951000</t>
  </si>
  <si>
    <t xml:space="preserve">   Facturación Servicio Satelital</t>
  </si>
  <si>
    <t>4155951500</t>
  </si>
  <si>
    <t xml:space="preserve">   Facturación Visual Experience (Pantallas)</t>
  </si>
  <si>
    <t>COLOMBIA</t>
  </si>
  <si>
    <t>CO</t>
  </si>
  <si>
    <t>6135950000,6135951000,6170250000,6170250100</t>
  </si>
  <si>
    <t xml:space="preserve">   Costo de mercancia vendida</t>
  </si>
  <si>
    <t>6135951100,6135951200</t>
  </si>
  <si>
    <t xml:space="preserve">   Costo de mercancia vendida Aromas</t>
  </si>
  <si>
    <t>6120330500</t>
  </si>
  <si>
    <t xml:space="preserve">   Provision devoluciones costo</t>
  </si>
  <si>
    <t>6135980000</t>
  </si>
  <si>
    <t xml:space="preserve">   Ajuste por inflacion costo</t>
  </si>
  <si>
    <t>VARIABLES DE VENTA</t>
  </si>
  <si>
    <t xml:space="preserve">   Otros gastos variables</t>
  </si>
  <si>
    <t>5205180100,5205180200</t>
  </si>
  <si>
    <t xml:space="preserve">   Comisiones gastos variables</t>
  </si>
  <si>
    <t>5205301000,5205301100,5205331000,5205331100,5205361000,5205361100,5205391000,5205391100,5205421800,5205421900,5205422000,5205422200,5205422300,5205422400,5205422500,5205451400,5205451500,5205451600,5205451700,5205511000,5205511100,5205541000,5205541100,5205601000,5205601100,5205691000,5205691100,5205701000,5205701100,5205721000,5205721100,5205751000,5205751100,5205781000,5205781100,5205841000,5205841100,5205951000,5205951100</t>
  </si>
  <si>
    <t xml:space="preserve">   Prestaciones sociales comisiones vent</t>
  </si>
  <si>
    <t>5295050100,5295050200,5295050300</t>
  </si>
  <si>
    <t xml:space="preserve">   Servicios a terceros</t>
  </si>
  <si>
    <t xml:space="preserve">   Empaque y material de empaque</t>
  </si>
  <si>
    <t xml:space="preserve">   Fletes y acarreos gastos var.ventas</t>
  </si>
  <si>
    <t>5260050000,5260100000,5260150000,5260200000,5260350000,5260980000,5265980000</t>
  </si>
  <si>
    <t xml:space="preserve">   Depreciaciones gastos ventas</t>
  </si>
  <si>
    <t>5295950600,</t>
  </si>
  <si>
    <t xml:space="preserve">   Discos y elementos de programación ventas</t>
  </si>
  <si>
    <t>5245150000,5245150100,5245150200,5245250000,5245200000,5295150000,5245150300,5245150600,5245100000,5250050000,5250100000,5250150000,5250950000,5295250000,5295250100,5245150400</t>
  </si>
  <si>
    <t xml:space="preserve">   Material,sumin.mantto. e instalac.vt </t>
  </si>
  <si>
    <t xml:space="preserve">   Herramientas y equipos de seguridad</t>
  </si>
  <si>
    <t>5235050000,,5235050100,5235200000,5235950100,5235950400,5235950500,5235950600,5235950700,5235950800,5235950900</t>
  </si>
  <si>
    <t xml:space="preserve">   Trabajos de origen externo</t>
  </si>
  <si>
    <t xml:space="preserve">   Gastos de aduana exportaciones</t>
  </si>
  <si>
    <t xml:space="preserve">   Trabajos fuera de la empresa</t>
  </si>
  <si>
    <t xml:space="preserve">   Agencias temp de empleos gtos.var.vta</t>
  </si>
  <si>
    <t>4250500400,5295950100</t>
  </si>
  <si>
    <t xml:space="preserve">   Regalias y derechos de autor</t>
  </si>
  <si>
    <t xml:space="preserve">   Provision de cartera y devoluciones</t>
  </si>
  <si>
    <t>5299150000,5299150100</t>
  </si>
  <si>
    <t xml:space="preserve">   Costo artículos descontinuados</t>
  </si>
  <si>
    <t>GASTOS DE VENTAS FIJOS</t>
  </si>
  <si>
    <t>5205030100,5205030200,5205060100,5205060200,5205060300,5205150100,5205150200,5205270100,5205270200,5295600100,5295600200,5205240100</t>
  </si>
  <si>
    <t xml:space="preserve">   Sueldos Ventas</t>
  </si>
  <si>
    <t>5205300100,5205300200,5205330100,5205330200,5205360100,5205360200,5205390100,5205390200,5205420100,5205420200,5205421200,5205421300,5205421400,5205421500,5205421600,5205421700,5205450100,5205451000,5205451100,5205451200,5205451300,5205451800,5205510100,5205510200,5205540100,5205540200,5205600100,5205600200,5205680000,5205690100,5205690200,5205700100,5205700200,5205720100,5205720200,5205750100,5205750200,5205780100,5205780200,5205840100,5205840200,5205950100,5205950200,5205680100</t>
  </si>
  <si>
    <t xml:space="preserve">   Prestaciones sociales sueldos ventas </t>
  </si>
  <si>
    <t>5205480100,5205480200,5205480300,5205481000,5205481100,5205450300</t>
  </si>
  <si>
    <t xml:space="preserve">   Bonificaciones y premios empleados </t>
  </si>
  <si>
    <t>5205630100,5205630200,5205630300</t>
  </si>
  <si>
    <t xml:space="preserve">   Capacitacion gastos ventas</t>
  </si>
  <si>
    <t>5205660100,5205660200,5205660400,5205660500</t>
  </si>
  <si>
    <t xml:space="preserve">   Gastos reuniones de personal venta</t>
  </si>
  <si>
    <t>5235350100,5295950400,5295951400,5235350500</t>
  </si>
  <si>
    <t xml:space="preserve">Gastos de internet </t>
  </si>
  <si>
    <t>5220150000,5220200000,5220250000,5250400000,5220950000,5220950100,5235500100</t>
  </si>
  <si>
    <t xml:space="preserve">   Alquiler equipos, contratos de manten</t>
  </si>
  <si>
    <t>5210250000,5210350000,5210950000,5210300100,5210358000,</t>
  </si>
  <si>
    <t xml:space="preserve">   Honorarios gastos ventas fijos</t>
  </si>
  <si>
    <t xml:space="preserve">   Amortización Intangibles de ventas</t>
  </si>
  <si>
    <t>5215050000,5215100000,5215950000,5215950200</t>
  </si>
  <si>
    <t xml:space="preserve">   Impuestos Municipales</t>
  </si>
  <si>
    <t>5205660300,5255050300,5255060200,5255150300,5255200300,5255950300</t>
  </si>
  <si>
    <t xml:space="preserve">   Club 100%</t>
  </si>
  <si>
    <t>5245400000,5295350000</t>
  </si>
  <si>
    <t xml:space="preserve">   Mantenimiento vehiculos gastos ventas</t>
  </si>
  <si>
    <t>5295300000,5295100000</t>
  </si>
  <si>
    <t xml:space="preserve">   Papeleria, utiles, revistas, periodic</t>
  </si>
  <si>
    <t>5235600000,5235600100,5235600300,5235600500</t>
  </si>
  <si>
    <t xml:space="preserve">   Publicidad ventas</t>
  </si>
  <si>
    <t>5235350000,5235400100,5235400200,5235450000,5235350200,5235350300</t>
  </si>
  <si>
    <t xml:space="preserve">   Portes, telefono y fax</t>
  </si>
  <si>
    <t xml:space="preserve">   Amortización gastos preoperativos</t>
  </si>
  <si>
    <t>5230050000,5230100000,5230150000,5230200000,5230250000,5230300000,5230350000,5230400000,5230600000,5230650000,5230750000,5230800000,5230950000,5230950100,5295700000</t>
  </si>
  <si>
    <t xml:space="preserve">   Seguro incendio y varios ventas</t>
  </si>
  <si>
    <t>5110350100,5210350200</t>
  </si>
  <si>
    <t>Servicios infraestructura</t>
  </si>
  <si>
    <t>5215950100,5299050099,5235350400</t>
  </si>
  <si>
    <t xml:space="preserve">   Otros Gastos de Ventas</t>
  </si>
  <si>
    <t>5295200100,5295200200,5295200300</t>
  </si>
  <si>
    <t xml:space="preserve">   Atenciones a clientes gastos venta fi</t>
  </si>
  <si>
    <t>5225050000,5225100000</t>
  </si>
  <si>
    <t xml:space="preserve">   Cuotas a asociaciones y afiliacion gt</t>
  </si>
  <si>
    <t>5235250000,5235300000,5235250100</t>
  </si>
  <si>
    <t xml:space="preserve">   Luz y agua gastos ventas</t>
  </si>
  <si>
    <t>5295600000,5295600500</t>
  </si>
  <si>
    <t xml:space="preserve">   Viveres y refrigerios fijos</t>
  </si>
  <si>
    <t>5205210100,5205210200,5255050100,5255050200,5255060100,5255060300,5255060400,5255150100,5255150200,5255200100,5255200200,5255950100,5255950200,5205451900</t>
  </si>
  <si>
    <t xml:space="preserve">   Gastos de viaje, pasajes y hoteles</t>
  </si>
  <si>
    <t>5240050000,5240100000,5240150000,5240200400,5240950000</t>
  </si>
  <si>
    <t xml:space="preserve">   Gastos legales ventas</t>
  </si>
  <si>
    <t>5295450000,5295950500</t>
  </si>
  <si>
    <t xml:space="preserve">   Caja menor gastos ventas fijos</t>
  </si>
  <si>
    <t>5235100100,5295250200</t>
  </si>
  <si>
    <t xml:space="preserve">   Agencias temporales de empleo gastos</t>
  </si>
  <si>
    <t>5220050000,5220100000,5220100100,5245100100</t>
  </si>
  <si>
    <t xml:space="preserve">   Arrendamientos gastos venta fijos</t>
  </si>
  <si>
    <t>GASTOS OPERATIVOS</t>
  </si>
  <si>
    <t>5105030100,5105060100,5105150100,5105270100,5195600300,5105240100,5105060200</t>
  </si>
  <si>
    <t xml:space="preserve">   Sueldos Operativos</t>
  </si>
  <si>
    <t xml:space="preserve">   Comisiones Opertativas</t>
  </si>
  <si>
    <t>5105300100,5105301100,5105330100,5105331100,5105360200,5105361200,5105390200,5105391100,5105420100,5105421100,5105421300,5105421500,5105421700,5105421900,5105422100,5105422300,5105422500,5105450100,5105451100,5105451300,5105451500,5105451700,5105510100,5105511100,5105540100,5105541100,5105600100,5105601100,5105690100,5105691100,5105700100,5105701100,5105720100,5105721100,5105750100,5105751100,5105780100,5105781100,5105840100,5105841100,5105950100,5105950600,5105951100,5105451900</t>
  </si>
  <si>
    <t xml:space="preserve">   Prestaciones sociales operativos</t>
  </si>
  <si>
    <t xml:space="preserve">   Bonificaciones operativas</t>
  </si>
  <si>
    <t>5160050000,5160100000,5160150000,5160200000,5160350000,5160980000,5165980000</t>
  </si>
  <si>
    <t xml:space="preserve">   Depreciaciòn Administrativos</t>
  </si>
  <si>
    <t>5165100000,5165150000,5165950000</t>
  </si>
  <si>
    <t xml:space="preserve">   Amortización gastos administración</t>
  </si>
  <si>
    <t>GASTOS DE ADMINISTRACION PROPIA</t>
  </si>
  <si>
    <t xml:space="preserve">   Comisiones Gastos Administración</t>
  </si>
  <si>
    <t>5105301000,5105331000,5105361000,5105361100,5105391000,5105421800,5105422000,5105422200,5105422400,5105451400,5105451600,5105511000,5105541000,5105601000,5105691000,5105701000,5105721000,5105751000,5105781000,5105841000,5105951000,5105680100</t>
  </si>
  <si>
    <t xml:space="preserve">   Prestaciones sociales comisiones A</t>
  </si>
  <si>
    <t>5105030000,5105060000,5105060300,5105150000,5105270000,5195600100,5105240000</t>
  </si>
  <si>
    <t xml:space="preserve">   Sueldos Administracion</t>
  </si>
  <si>
    <t xml:space="preserve">5105300000,5105330000,5105360000,5105360100,5105390000,5105390100,5105420000,5105421200,5105421400,5105421600,5105450000,5105451000,5105451200,5105510000,5105540000,5105600000,5105680000,5105690000,5105700000,5105720000,5105750000,5105780000,5105840000,5105950000,5105701200 </t>
  </si>
  <si>
    <t xml:space="preserve">   Prestaciones sociales </t>
  </si>
  <si>
    <t>5105630000,5105630200,5105630100</t>
  </si>
  <si>
    <t xml:space="preserve">   Capacitacion Gasto Administracion</t>
  </si>
  <si>
    <t>5155050100,5155060100,5155150100,5155200100,5155950100</t>
  </si>
  <si>
    <t xml:space="preserve">   Club 100% administrativo</t>
  </si>
  <si>
    <t>5135050000,5135150000,5135200000,5135950500</t>
  </si>
  <si>
    <t xml:space="preserve">   Trabajo de origen externo</t>
  </si>
  <si>
    <t>5135100000,5195250200</t>
  </si>
  <si>
    <t xml:space="preserve">   Agencias temporales Administración</t>
  </si>
  <si>
    <t>5195200000,5195200100</t>
  </si>
  <si>
    <t xml:space="preserve">   Atenciones a clientes Administraci</t>
  </si>
  <si>
    <t xml:space="preserve">   Arrendamientos Gastos Administración</t>
  </si>
  <si>
    <t>5120200000,5120250000,5120400000</t>
  </si>
  <si>
    <t xml:space="preserve">   Alquiler equipos y contratos de mante</t>
  </si>
  <si>
    <t>5105480000,5105480200,5105480300,5105481000,5105450200</t>
  </si>
  <si>
    <t xml:space="preserve">   Bonificaciones y premios empleados Ad</t>
  </si>
  <si>
    <t>5125050000,5125100000</t>
  </si>
  <si>
    <t xml:space="preserve">   Cuotas asociaciones y de afiliacio</t>
  </si>
  <si>
    <t>5135250000,5135300000</t>
  </si>
  <si>
    <t xml:space="preserve">   Luz y agua Administración</t>
  </si>
  <si>
    <t>5105660000,5105660100,5105660200,5105660300</t>
  </si>
  <si>
    <t xml:space="preserve">   Gastos reuniones de personal Administ</t>
  </si>
  <si>
    <t>5110100000,5110200000,5110250000,5110300000,5110950000</t>
  </si>
  <si>
    <t xml:space="preserve">   Honorarios Administración </t>
  </si>
  <si>
    <t>5110350000</t>
  </si>
  <si>
    <t xml:space="preserve">   Licencias y Proyectos Especiales</t>
  </si>
  <si>
    <t>5115050000,5115100000,5115150000,5115400000,5115700000,5115700100,5115950000</t>
  </si>
  <si>
    <t xml:space="preserve">   Impuestos Administración</t>
  </si>
  <si>
    <t>5145400000,5195350000</t>
  </si>
  <si>
    <t xml:space="preserve">   Mantenimiento vehiculos Administrac.</t>
  </si>
  <si>
    <t>5195100000,5195300000</t>
  </si>
  <si>
    <t xml:space="preserve">   Papeleria , utiles, revistas periodic</t>
  </si>
  <si>
    <t>5135600000,5135600500</t>
  </si>
  <si>
    <t xml:space="preserve">   Serv.publicidad,propaganda y promoció</t>
  </si>
  <si>
    <t>5135350000,5135350200,5135400000,5135450000,5135350300</t>
  </si>
  <si>
    <t xml:space="preserve">   Portes, telex, teléfono, fax</t>
  </si>
  <si>
    <t>5145150000,5145150100,5145200000,5145250000,5195150000,5195400000,5195950400</t>
  </si>
  <si>
    <t xml:space="preserve">   Material,suministro,mantenimiento </t>
  </si>
  <si>
    <t>5145050000,5145100000,5150050000,5150100000,5150150000,5150950000,5195250000,5195250100</t>
  </si>
  <si>
    <t xml:space="preserve">   Mantenimiendo de construcciones y edificaciones</t>
  </si>
  <si>
    <t>5130050000,5130100000,5130150000,5130200000,5130250000,5130350000,5130400000,5130600000,5130650000,5130700000,5130750000,5130950000,5130950100,5130950200,5195700000,5130950300</t>
  </si>
  <si>
    <t xml:space="preserve">   Seguro incendio y varios Administrac.</t>
  </si>
  <si>
    <t>5195600000,5195600500</t>
  </si>
  <si>
    <t xml:space="preserve">   Viveres y refrigerios Administraci </t>
  </si>
  <si>
    <t>5105210000,5155050000,5155060000,5155060200,5155060300,5155150000,5155200000,5155950000,5155960000</t>
  </si>
  <si>
    <t xml:space="preserve">   Gastos de viaje, pasajes y hoteles </t>
  </si>
  <si>
    <t>5140050000,5140100000,5140150000,5140200000,5140250000,5140950000,4250500600</t>
  </si>
  <si>
    <t xml:space="preserve">   Gastos legales Administración </t>
  </si>
  <si>
    <t>,5195950600</t>
  </si>
  <si>
    <t xml:space="preserve">   Discos y equipos de seguridad Administración</t>
  </si>
  <si>
    <t>5195450000</t>
  </si>
  <si>
    <t xml:space="preserve">   Caja menor Gastos Administraciòn </t>
  </si>
  <si>
    <t>5115950100,5195050100,5195600200,5195950300,5199050000,5199100000,5199150000,5199950000</t>
  </si>
  <si>
    <t xml:space="preserve">   Otros gastos de administración</t>
  </si>
  <si>
    <t>Suma de MOVTO_LIBRO2</t>
  </si>
  <si>
    <t xml:space="preserve">GASTOS ADMINISTRACION APLICADOS </t>
  </si>
  <si>
    <t>CENTRO_OPERACION_MOVTO</t>
  </si>
  <si>
    <t>Nombre Centro_operacion_movto</t>
  </si>
  <si>
    <t>5135950300,5195056600,5198530000,5210350100,5295056600,5398050000</t>
  </si>
  <si>
    <t xml:space="preserve">   Cobros holding</t>
  </si>
  <si>
    <t>090</t>
  </si>
  <si>
    <t>PROYECTO INNOVACION</t>
  </si>
  <si>
    <t>5235950200,5235950300,5398210000,5398219900,5235950800</t>
  </si>
  <si>
    <t xml:space="preserve">   Gastos aplicados sectoriales</t>
  </si>
  <si>
    <t>Total general</t>
  </si>
  <si>
    <t xml:space="preserve">   Servicios Carvajal Servi-Assenda S.A.</t>
  </si>
  <si>
    <t>INGRESOS NO OPERACIONALES</t>
  </si>
  <si>
    <t>4210200100,4210200200</t>
  </si>
  <si>
    <t xml:space="preserve"> Diferencia en cambio por exportaciones</t>
  </si>
  <si>
    <t>4210200400,4210200500,4210200501,4210201000,4210201001,4210201100</t>
  </si>
  <si>
    <t xml:space="preserve"> Diferencia en cambio por otros</t>
  </si>
  <si>
    <t>4210400000,4218050000,4245500000,4250500100,4250500200,4250500300,4250506600,4255200000,4295050000,4295810000,4255400000,4250051000,4250500500</t>
  </si>
  <si>
    <t xml:space="preserve"> Otros Ingresos</t>
  </si>
  <si>
    <t>4210050100,4210051000</t>
  </si>
  <si>
    <t>Intereses recibidos</t>
  </si>
  <si>
    <t>GASTOS NO OPERACIONALES</t>
  </si>
  <si>
    <t>5235601000,5305350000,5310150000,5310300000,5310350000,5313050000,5315150000,5315150100,5315150200,5315160000,5315200000,5315200100,5315200200,5315200300,5315200400,5315950000,5395200000,5395950000,5395950200,5395100000,5395050000,5395250000</t>
  </si>
  <si>
    <t xml:space="preserve">   Otros egresos no operacionales</t>
  </si>
  <si>
    <t>5305250102,5305250200,5305250201,5305250400,5305250500,5305250501,5305250700</t>
  </si>
  <si>
    <t xml:space="preserve">   Diferencia en cambio</t>
  </si>
  <si>
    <t xml:space="preserve">5305050000,5305150000,5305200100,5305200200,5305200300,5305200400,5305202200,5305950000,5398110000,5305200101    </t>
  </si>
  <si>
    <t xml:space="preserve">   Intereses y otros</t>
  </si>
  <si>
    <t>5310950100,5310950200,5310950300,5395990000</t>
  </si>
  <si>
    <t xml:space="preserve">   Ajustes por inflacion Gastos No Op</t>
  </si>
  <si>
    <t>AJUSTES POR INFLACION</t>
  </si>
  <si>
    <t>4705050000,4705050100,4705100000,4705150000,4705200000,4705250000,4705300000,4705300100,4705350000,4705400000,4705450000,4705500000,4705550000,4705600000</t>
  </si>
  <si>
    <t>Ajustes Por Inflacion</t>
  </si>
  <si>
    <t>TOTAL AJUSTES POR INFLACION</t>
  </si>
  <si>
    <t>UTILIDAD ANTES DE IMPUESTOS</t>
  </si>
  <si>
    <t xml:space="preserve">IMPUESTOS </t>
  </si>
  <si>
    <t>5405050100,5405050200,5405050300,5405051100,5115950400</t>
  </si>
  <si>
    <t xml:space="preserve">   Impuesto de renta</t>
  </si>
  <si>
    <t>NOMINA</t>
  </si>
  <si>
    <t>EBITDA DEPRECICAION Y AMORTIZACION</t>
  </si>
  <si>
    <t>SALVADOR</t>
  </si>
  <si>
    <t>INGRESOS OPERACIONALES</t>
  </si>
  <si>
    <t>PARA EL PPTO DEL 2017 KARINA UTILIZO OTRAS CUENTAS</t>
  </si>
  <si>
    <t>4170250000,4170251000,4155951100,4155951000</t>
  </si>
  <si>
    <t>FACTURACION SERVICIO DE AMBIENTACION</t>
  </si>
  <si>
    <t>FACTURACION PUBLIHOLD</t>
  </si>
  <si>
    <t xml:space="preserve">FACTURACION AUDICOM </t>
  </si>
  <si>
    <t>FACTURACION CARTELERAS DIGITALES</t>
  </si>
  <si>
    <t>FACT. REDES DE AUDIOS Y GRABACIONES ESPC</t>
  </si>
  <si>
    <t>FACTURACION INSTALACIONES</t>
  </si>
  <si>
    <t>4135950100</t>
  </si>
  <si>
    <t>VENTA DE OTROS PRODUCTOS CLIENTES- OLFA</t>
  </si>
  <si>
    <t xml:space="preserve">COSTOS DE VENTAS </t>
  </si>
  <si>
    <t xml:space="preserve">GASTOS VARIABLES DE VENTAS </t>
  </si>
  <si>
    <t xml:space="preserve">COMISIONES GASTOS VARIABLES </t>
  </si>
  <si>
    <t>Suma de VALOR_PRESUPUESTO</t>
  </si>
  <si>
    <t>PRESTACIONES SOCIALES COMISION</t>
  </si>
  <si>
    <t>AUXILIAR</t>
  </si>
  <si>
    <t>5160100000</t>
  </si>
  <si>
    <t>5205180100</t>
  </si>
  <si>
    <t>5205361000</t>
  </si>
  <si>
    <t>5235950500</t>
  </si>
  <si>
    <t>DEPRECIACIONES GASTOS DE VENTA VARIABLES</t>
  </si>
  <si>
    <t>5245150100</t>
  </si>
  <si>
    <t>5299100000</t>
  </si>
  <si>
    <t xml:space="preserve"> DEPRECIAC.EQUIPO DE OFICINA</t>
  </si>
  <si>
    <t xml:space="preserve">MANTEN SUMINISTROS Y MTTO INSTALACION </t>
  </si>
  <si>
    <t xml:space="preserve">TRABAJOS DE ORIGEN EXTERNO </t>
  </si>
  <si>
    <t xml:space="preserve">REGALIAS Y DERECHOS DE AUTOR </t>
  </si>
  <si>
    <t xml:space="preserve">CARTERA PROBLEMA CUENTA INCOBRABLE </t>
  </si>
  <si>
    <t>DEPRECIACION</t>
  </si>
  <si>
    <t xml:space="preserve">GASTOS DE VENTAS FIJOS </t>
  </si>
  <si>
    <t xml:space="preserve">CAPACITACION GASTOS DE VENTA </t>
  </si>
  <si>
    <t xml:space="preserve">SUELDOS VENTAS </t>
  </si>
  <si>
    <t xml:space="preserve">PRESTACIONES SOCIALES SUELDO VENTAS </t>
  </si>
  <si>
    <t>GASTOS REUNIONES DE PERSONAL</t>
  </si>
  <si>
    <t xml:space="preserve">HONORARIOS GASTOS DE VENTA FIJOS </t>
  </si>
  <si>
    <t>IMPUESTOS MUNICIPALES</t>
  </si>
  <si>
    <t>MANTENIMIENTO VEHICULOS GASTOS DE VENTAS</t>
  </si>
  <si>
    <t xml:space="preserve">PAPELERIA Y UTILES </t>
  </si>
  <si>
    <t xml:space="preserve">PUBLICIDAD Y ANUNCIOS VENTAS </t>
  </si>
  <si>
    <t>PORTES CORREO TELEFONO Y FAX</t>
  </si>
  <si>
    <t xml:space="preserve">SEGUROS VARIOS VENTAS </t>
  </si>
  <si>
    <t xml:space="preserve">CUOTAS ASOCIACIONES Y AFILIACIONES </t>
  </si>
  <si>
    <t xml:space="preserve">BONIFICACIONES Y PREMIOS A EMPLEADOS </t>
  </si>
  <si>
    <t>GASTOS DE VIAJE-HOTELES-PASAJES</t>
  </si>
  <si>
    <t xml:space="preserve">GASTOS LEGALES DE VENTAS </t>
  </si>
  <si>
    <t xml:space="preserve">ARRENDAMIENTOS </t>
  </si>
  <si>
    <t>GASTOS DE ADMINISTRACION PROPIO</t>
  </si>
  <si>
    <t xml:space="preserve">SUELDOS ADMINISTRACION </t>
  </si>
  <si>
    <t xml:space="preserve">PRESTACIONES SOCIALES </t>
  </si>
  <si>
    <t xml:space="preserve">COMISIONES GASTOS DE ADMINISTRACION </t>
  </si>
  <si>
    <t xml:space="preserve">CAPACITACION AL PERSONAL </t>
  </si>
  <si>
    <t xml:space="preserve">PRESTACIONES SOCIALES COMISIONES A </t>
  </si>
  <si>
    <t xml:space="preserve">ARRENDAMIENTOS GASTOS ADMINISTRACION </t>
  </si>
  <si>
    <t xml:space="preserve">GASTOS REUNION DE PERSONAL </t>
  </si>
  <si>
    <t xml:space="preserve">HERRAMIENTAS Y EQUIPOS DE SEGURIDAD </t>
  </si>
  <si>
    <t xml:space="preserve">HONORARIOS </t>
  </si>
  <si>
    <t xml:space="preserve">SEGUROS VARIOS </t>
  </si>
  <si>
    <t xml:space="preserve">MANTENIMIENTO VEHICULO ADMINISTRACION </t>
  </si>
  <si>
    <t xml:space="preserve">PORTES TELEX Y TELEFONO </t>
  </si>
  <si>
    <t xml:space="preserve">MATERIALES SUMINISTROS, MANTENIMIENTO </t>
  </si>
  <si>
    <t xml:space="preserve">GASTOS LEGALES DE ADMON </t>
  </si>
  <si>
    <t>REGISTRO MERCANTIL</t>
  </si>
  <si>
    <t xml:space="preserve">GASTOS DE VIAJE </t>
  </si>
  <si>
    <t xml:space="preserve">GASTOS DE ADMINISTRACION APLICADOS </t>
  </si>
  <si>
    <t xml:space="preserve">COBROS HOLDING </t>
  </si>
  <si>
    <t xml:space="preserve">GASTOS APLICADOS SECTORIALES </t>
  </si>
  <si>
    <t>SERVICIOS GC2</t>
  </si>
  <si>
    <t xml:space="preserve">INGRESOS NO OPERACIONALES </t>
  </si>
  <si>
    <t xml:space="preserve">Diferencia en cambio exportaciones </t>
  </si>
  <si>
    <t>Diferencia en Cambio Otros</t>
  </si>
  <si>
    <t xml:space="preserve">OTROS INGRESOS </t>
  </si>
  <si>
    <t xml:space="preserve">GASTOS NO OPERACIONALES </t>
  </si>
  <si>
    <t xml:space="preserve">OTROS EGRESOS NO OPERACIONALES </t>
  </si>
  <si>
    <t xml:space="preserve">DIFERENCIA EN CAMBIO </t>
  </si>
  <si>
    <t xml:space="preserve">INTERESES OTROS </t>
  </si>
  <si>
    <t xml:space="preserve">IMPUESTO DE RENTA </t>
  </si>
  <si>
    <t>DEPRECIACION EBITDA</t>
  </si>
  <si>
    <t>5160200000,5260100000,5260200000,5260350000,5160100000</t>
  </si>
  <si>
    <t>FLUJO CAJA</t>
  </si>
  <si>
    <t>INGRESOS POR DEPOSITAR</t>
  </si>
  <si>
    <t>FONDOS DE CAJA MENOR</t>
  </si>
  <si>
    <t>BANCO BANCOLOMBIA CTA CTE 060-047239-00</t>
  </si>
  <si>
    <t>BANCO HELM BANK CTA CTE 301-41175-7</t>
  </si>
  <si>
    <t>BANCO DE BOGOTA CTA CTE 146431697</t>
  </si>
  <si>
    <t>BANCO DE OCCIDENTE CTA CTE # 027-02780-4</t>
  </si>
  <si>
    <t>BANCOOMEVA  CTA CTE # 010705156006</t>
  </si>
  <si>
    <t>BANCO BANCOLOMBIA CAYMAN CTA. CTE #53820</t>
  </si>
  <si>
    <t>FONDO CAJA DOLARES N</t>
  </si>
  <si>
    <t>DER. EN FIDEICOMISOS DE INVER.</t>
  </si>
  <si>
    <t>RECAUDOS NACIONALES</t>
  </si>
  <si>
    <t>RECAUDOS DEL EXTERIOR</t>
  </si>
  <si>
    <t>RECAUDOS ASOCIADAS NACIONALES</t>
  </si>
  <si>
    <t>RECAUDO ASOCIADAS DEL EXTERIOR</t>
  </si>
  <si>
    <t>CHD</t>
  </si>
  <si>
    <t>CHEQUE DEVUELTO</t>
  </si>
  <si>
    <t>OTROS INGRESOS</t>
  </si>
  <si>
    <t>TOTAL INGRESOS OPERACIONALES</t>
  </si>
  <si>
    <t>EGRESOS OPERACIONALES</t>
  </si>
  <si>
    <t>PAGOS PROVEEDORES NACIONALES</t>
  </si>
  <si>
    <t>PAGO PROVEEDORES DEL EXTERIOR</t>
  </si>
  <si>
    <t>NACIONALIZACION INVENTARIOS</t>
  </si>
  <si>
    <t>FLETES Y ACARREOS</t>
  </si>
  <si>
    <t>EMPAQUE Y MATERIAL DE EMPAQUE</t>
  </si>
  <si>
    <t>MATERIALES DE MANUFACTURA</t>
  </si>
  <si>
    <t>TOTAL MATERIALES</t>
  </si>
  <si>
    <t>SERVICIOS</t>
  </si>
  <si>
    <t xml:space="preserve"> LUZ Y  AGUA </t>
  </si>
  <si>
    <t>1209,1213</t>
  </si>
  <si>
    <t>SALARIOS Y PRESTACIONES</t>
  </si>
  <si>
    <t>TRABAJOS INTERNOS</t>
  </si>
  <si>
    <t xml:space="preserve"> PRESTAMOS A EMPLEADOS  NETOS</t>
  </si>
  <si>
    <t>TRABAJOS DE ORIGEN EXTERNO</t>
  </si>
  <si>
    <t>TOTAL PERSONAL</t>
  </si>
  <si>
    <t xml:space="preserve"> PUBLICIDAD          </t>
  </si>
  <si>
    <t>SERVICIOS  DE INFRAESTRUCTURA</t>
  </si>
  <si>
    <t>CAPACITACION</t>
  </si>
  <si>
    <t>GASTOS LEGALES</t>
  </si>
  <si>
    <t>LICENCIAS Y PROYECTOS ESPECIALES</t>
  </si>
  <si>
    <t>MANTEMIMIENTO CONSTRUCCIONES</t>
  </si>
  <si>
    <t xml:space="preserve"> MTO EQUIPO        </t>
  </si>
  <si>
    <t xml:space="preserve"> ARRENDAMIENTOS  </t>
  </si>
  <si>
    <t xml:space="preserve"> ALQUILER DE EQUIPOS</t>
  </si>
  <si>
    <t xml:space="preserve"> GASTOS DE VIAJE  </t>
  </si>
  <si>
    <t xml:space="preserve"> GTOS DE ADUANA EXPORTACIONES</t>
  </si>
  <si>
    <t xml:space="preserve"> IMPUESTOS MUNICIPALES    </t>
  </si>
  <si>
    <t xml:space="preserve"> MANTENIMIENTO INSTALACIONES     </t>
  </si>
  <si>
    <t xml:space="preserve"> PORTES TELEX TELEFONO</t>
  </si>
  <si>
    <t xml:space="preserve"> PAPELERIA Y UTILES  </t>
  </si>
  <si>
    <t xml:space="preserve"> ATENCIONES A CLIENTE  </t>
  </si>
  <si>
    <t xml:space="preserve"> DONACIONES            </t>
  </si>
  <si>
    <t xml:space="preserve"> CAJA MENOR     </t>
  </si>
  <si>
    <t xml:space="preserve"> VIVERES               </t>
  </si>
  <si>
    <t xml:space="preserve"> REUNIONES DE PERSONAL         </t>
  </si>
  <si>
    <t xml:space="preserve"> SEGURO INCENDIO Y VARIOS               </t>
  </si>
  <si>
    <t xml:space="preserve"> MANTENIMIENTO DE VEHICULOS      </t>
  </si>
  <si>
    <t xml:space="preserve"> HONORARIOS           </t>
  </si>
  <si>
    <t xml:space="preserve"> HERRAMIENTAS Y EQUIPOS DE SEGURIDAD</t>
  </si>
  <si>
    <t xml:space="preserve"> ASOCIACION Y AFILIACION</t>
  </si>
  <si>
    <t xml:space="preserve"> COMISIONES A TERCEROS </t>
  </si>
  <si>
    <t xml:space="preserve"> COMISIONES BANCARIAS</t>
  </si>
  <si>
    <t xml:space="preserve"> CONTRIBUCION 4 POR MIL</t>
  </si>
  <si>
    <t xml:space="preserve"> REGALIAS</t>
  </si>
  <si>
    <t xml:space="preserve"> HOLDING</t>
  </si>
  <si>
    <t>SECTORIALES (947)</t>
  </si>
  <si>
    <t>EGRESOS ERP</t>
  </si>
  <si>
    <t>OTROS FIJOS (Marcas y patentes, gastos notariales, multas sanciones y litigios)</t>
  </si>
  <si>
    <t>TOTAL GENERALES</t>
  </si>
  <si>
    <t>TOTAL EGRESOS OPERACIONALES</t>
  </si>
  <si>
    <t>FLUJO OPERACIONAL</t>
  </si>
  <si>
    <t>SALDO DE CAJA ANTES DE INVERSIONES</t>
  </si>
  <si>
    <t>INVERSION</t>
  </si>
  <si>
    <t>PAGO  EQUIPOS Y NACIONALIZACION</t>
  </si>
  <si>
    <t>PAGO EQUIPO DE OFICINA</t>
  </si>
  <si>
    <t>PAGO  VEHICULOS</t>
  </si>
  <si>
    <t>EQUPÓS SM21</t>
  </si>
  <si>
    <t>TOTAL INVERSION</t>
  </si>
  <si>
    <t>IMPUESTO DE VENTAS</t>
  </si>
  <si>
    <t>3102,3105</t>
  </si>
  <si>
    <t>IMPUESTO DE RENTA</t>
  </si>
  <si>
    <t>DEVOLUCION DE IVA</t>
  </si>
  <si>
    <t>DEVOLUCION DE RENTA</t>
  </si>
  <si>
    <t>TOTAL IMPUESTOS</t>
  </si>
  <si>
    <t>MOVIMIENTO FINANCIERO</t>
  </si>
  <si>
    <t xml:space="preserve"> FLUJO CAJA ANTES DE MOVIMIENTO FINANCIERO Y PATRIMONIAL</t>
  </si>
  <si>
    <t>DIVIDENDOS</t>
  </si>
  <si>
    <t>RENDIMIENTOS FINANCIEROS</t>
  </si>
  <si>
    <t xml:space="preserve"> DIVIDENDOS RECIBIDOS</t>
  </si>
  <si>
    <t xml:space="preserve">  DIVIDENDOS PAGADOS</t>
  </si>
  <si>
    <t xml:space="preserve">  CAPITALIZACION</t>
  </si>
  <si>
    <t xml:space="preserve">  PAGOS ESPECIALES (INGRESOS) ENTRE ASOCIADAS</t>
  </si>
  <si>
    <t>PERIODO</t>
  </si>
  <si>
    <t>(Todas)</t>
  </si>
  <si>
    <t>SUBTOTAL PATRIMONIO</t>
  </si>
  <si>
    <t>Suma de Valor Presupuesto</t>
  </si>
  <si>
    <t>Cpto Flujo de Efectivo</t>
  </si>
  <si>
    <t>Nombre Cpto Flujo Efectivo</t>
  </si>
  <si>
    <t>OTROS ( sin cargo a la Holding)</t>
  </si>
  <si>
    <t>4102</t>
  </si>
  <si>
    <t>INTERESES LARGO PLAZO</t>
  </si>
  <si>
    <t>PRESTAMOS DE ASOCIADAS (COLOCACION)</t>
  </si>
  <si>
    <t>7102</t>
  </si>
  <si>
    <t>PAGO CUOTA CORRIENTE</t>
  </si>
  <si>
    <t>7105</t>
  </si>
  <si>
    <t>PRESTAMOS ENTIDADES FINANCIERAS LP</t>
  </si>
  <si>
    <t>CARTAS DE CREDITO ( INVERSIONES)</t>
  </si>
  <si>
    <t>PRESTAMOS DE ENTIDADES FINANCIERAS CORTO PLAZO (CREDITOS TESORERIA)</t>
  </si>
  <si>
    <t xml:space="preserve">PRESTAMOS DE ENTIDADES FINANCIERAS LARGO PLAZO   </t>
  </si>
  <si>
    <t>Generico</t>
  </si>
  <si>
    <t>DIFERENCIA EN CAMBIO DE CAJA DE LAS INVERSIONES</t>
  </si>
  <si>
    <t>INTERESES CORTO PLAZO</t>
  </si>
  <si>
    <t>SALDO FINAL EFECTIVO</t>
  </si>
  <si>
    <t>BVI</t>
  </si>
  <si>
    <t>BANCO GENERAL SA</t>
  </si>
  <si>
    <t>BANCOLOMBIA PANAMA</t>
  </si>
  <si>
    <t xml:space="preserve">                  ACTV DE RADIO Y T.V.</t>
  </si>
  <si>
    <t xml:space="preserve">                  DE SOCIEDADES ANONIMAS Y ASIMILADAS</t>
  </si>
  <si>
    <t xml:space="preserve">                  HONORARIOS ASESORIA TECNICA</t>
  </si>
  <si>
    <t xml:space="preserve">                  OTROS GASTOS FINANCIEROS</t>
  </si>
  <si>
    <t xml:space="preserve">                  OTROS</t>
  </si>
  <si>
    <t xml:space="preserve">      RECAUDOS NACIONALES</t>
  </si>
  <si>
    <t xml:space="preserve">      RECAUDOS DEL EXTERIOR</t>
  </si>
  <si>
    <t xml:space="preserve">      RECAUDOS ASOCIADAS NACIONALES</t>
  </si>
  <si>
    <t xml:space="preserve">      RECAUDOS ASOCIADAS DEL EXTERIOR</t>
  </si>
  <si>
    <t xml:space="preserve">      OTROS INGRESOS</t>
  </si>
  <si>
    <t xml:space="preserve">  SALDO INICIAL</t>
  </si>
  <si>
    <t>Entrada</t>
  </si>
  <si>
    <t xml:space="preserve">      GASTOS DE VIAJE</t>
  </si>
  <si>
    <t xml:space="preserve">      PAPELERIA Y UTILES</t>
  </si>
  <si>
    <t xml:space="preserve">      HONORARIOS</t>
  </si>
  <si>
    <t xml:space="preserve">      COMISIONES BANCARIAS</t>
  </si>
  <si>
    <t>PROEVEEDORES</t>
  </si>
  <si>
    <t>Salida</t>
  </si>
  <si>
    <t xml:space="preserve">  PAGOS ESPECIALES (INGRESOS) ASOCIADAS</t>
  </si>
  <si>
    <t xml:space="preserve">  DESCAPITALIZACION</t>
  </si>
  <si>
    <t>PRESTAMOS ASOCIADAS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</si>
</sst>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mmm/yyyy"/>
    <numFmt numFmtId="165" formatCode="[$$]\ #,##0.00;\-[$$]\ #,##0.00"/>
    <numFmt numFmtId="166" formatCode="_(* #,##0_);_(* \(#,##0\);_(* &quot;-&quot;??_);_(@_)"/>
    <numFmt numFmtId="167" formatCode="#,##0;[Red]\-#,##0;&quot;-&quot;"/>
    <numFmt numFmtId="168" formatCode="mmmm/yyyy"/>
    <numFmt numFmtId="169" formatCode="[$-F800]dddd\,\ mmmm\ dd\,\ yyyy"/>
    <numFmt numFmtId="170" formatCode="0.0%"/>
    <numFmt numFmtId="171" formatCode="0_);\(0\)"/>
    <numFmt numFmtId="172" formatCode="_(* #,##0.000000000000_);_(* \(#,##0.000000000000\);_(* &quot;-&quot;??_);_(@_)"/>
    <numFmt numFmtId="173" formatCode="_(* #,##0.00000000_);_(* \(#,##0.00000000\);_(* &quot;-&quot;??_);_(@_)"/>
    <numFmt numFmtId="174" formatCode="_-* #,##0_-;\-* #,##0_-;_-* &quot;-&quot;????????_-;_-@_-"/>
    <numFmt numFmtId="175" formatCode="_(* #,##0.00000_);_(* \(#,##0.00000\);_(* &quot;-&quot;????????_);_(@_)"/>
  </numFmts>
  <fonts count="25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2" tint="-0.749992370372631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color theme="2" tint="-0.749992370372631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2" tint="-0.749992370372631"/>
      <name val="Arial"/>
      <family val="2"/>
    </font>
    <font>
      <sz val="10"/>
      <color indexed="8"/>
      <name val="MS Sans Serif"/>
      <family val="2"/>
    </font>
    <font>
      <sz val="8"/>
      <color theme="2" tint="-0.749992370372631"/>
      <name val="Arial"/>
      <family val="2"/>
    </font>
    <font>
      <sz val="14"/>
      <color theme="2" tint="-0.749992370372631"/>
      <name val="Arial"/>
      <family val="2"/>
    </font>
    <font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2" tint="-0.499984740745262"/>
      </bottom>
      <diagonal/>
    </border>
    <border>
      <left/>
      <right/>
      <top/>
      <bottom style="medium">
        <color auto="1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41" fontId="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0" xfId="1" applyFont="1" applyAlignment="1">
      <alignment horizontal="left"/>
    </xf>
    <xf numFmtId="164" fontId="2" fillId="0" borderId="0" xfId="1" applyNumberFormat="1" applyFont="1"/>
    <xf numFmtId="165" fontId="2" fillId="0" borderId="0" xfId="2" applyNumberFormat="1" applyFont="1" applyAlignment="1">
      <alignment horizontal="right" vertical="center" wrapText="1"/>
    </xf>
    <xf numFmtId="43" fontId="2" fillId="0" borderId="0" xfId="3" applyFont="1" applyFill="1" applyBorder="1"/>
    <xf numFmtId="0" fontId="5" fillId="0" borderId="0" xfId="1" applyFont="1" applyAlignment="1">
      <alignment horizontal="center" wrapText="1"/>
    </xf>
    <xf numFmtId="0" fontId="5" fillId="0" borderId="0" xfId="1" applyFont="1" applyAlignment="1">
      <alignment vertical="center"/>
    </xf>
    <xf numFmtId="166" fontId="5" fillId="0" borderId="0" xfId="3" applyNumberFormat="1" applyFont="1" applyFill="1" applyBorder="1" applyAlignment="1">
      <alignment horizontal="center" wrapText="1"/>
    </xf>
    <xf numFmtId="0" fontId="5" fillId="0" borderId="0" xfId="1" applyFont="1"/>
    <xf numFmtId="166" fontId="5" fillId="0" borderId="0" xfId="3" applyNumberFormat="1" applyFont="1" applyFill="1" applyBorder="1"/>
    <xf numFmtId="0" fontId="5" fillId="0" borderId="0" xfId="1" applyFont="1" applyAlignment="1">
      <alignment horizontal="center"/>
    </xf>
    <xf numFmtId="0" fontId="6" fillId="0" borderId="0" xfId="1" applyFont="1"/>
    <xf numFmtId="166" fontId="5" fillId="0" borderId="0" xfId="3" applyNumberFormat="1" applyFont="1" applyFill="1" applyBorder="1" applyAlignment="1">
      <alignment horizontal="center"/>
    </xf>
    <xf numFmtId="0" fontId="7" fillId="0" borderId="0" xfId="1" applyFont="1"/>
    <xf numFmtId="0" fontId="5" fillId="0" borderId="0" xfId="1" applyFont="1" applyAlignment="1">
      <alignment horizontal="left"/>
    </xf>
    <xf numFmtId="0" fontId="8" fillId="0" borderId="0" xfId="1" applyFont="1" applyAlignment="1">
      <alignment horizontal="left"/>
    </xf>
    <xf numFmtId="0" fontId="3" fillId="0" borderId="1" xfId="1" applyFont="1" applyBorder="1" applyAlignment="1">
      <alignment horizontal="centerContinuous"/>
    </xf>
    <xf numFmtId="0" fontId="5" fillId="0" borderId="0" xfId="1" applyFont="1" applyAlignment="1">
      <alignment horizontal="right"/>
    </xf>
    <xf numFmtId="0" fontId="5" fillId="0" borderId="0" xfId="1" applyFont="1" applyAlignment="1">
      <alignment wrapText="1"/>
    </xf>
    <xf numFmtId="166" fontId="5" fillId="0" borderId="0" xfId="3" applyNumberFormat="1" applyFont="1" applyFill="1" applyBorder="1" applyAlignment="1"/>
    <xf numFmtId="0" fontId="5" fillId="0" borderId="1" xfId="1" applyFont="1" applyBorder="1"/>
    <xf numFmtId="0" fontId="5" fillId="0" borderId="1" xfId="1" applyFont="1" applyBorder="1" applyAlignment="1">
      <alignment horizontal="center"/>
    </xf>
    <xf numFmtId="0" fontId="3" fillId="0" borderId="1" xfId="1" applyFont="1" applyBorder="1"/>
    <xf numFmtId="0" fontId="3" fillId="0" borderId="1" xfId="1" applyFont="1" applyBorder="1" applyAlignment="1">
      <alignment horizontal="center"/>
    </xf>
    <xf numFmtId="3" fontId="5" fillId="0" borderId="0" xfId="1" applyNumberFormat="1" applyFont="1" applyAlignment="1">
      <alignment horizontal="right"/>
    </xf>
    <xf numFmtId="9" fontId="5" fillId="0" borderId="0" xfId="4" applyFont="1" applyFill="1" applyBorder="1" applyAlignment="1">
      <alignment horizontal="right"/>
    </xf>
    <xf numFmtId="9" fontId="3" fillId="0" borderId="0" xfId="4" applyFont="1" applyFill="1" applyBorder="1" applyAlignment="1">
      <alignment horizontal="right"/>
    </xf>
    <xf numFmtId="166" fontId="5" fillId="0" borderId="0" xfId="3" applyNumberFormat="1" applyFont="1" applyFill="1" applyBorder="1" applyAlignment="1">
      <alignment horizontal="right"/>
    </xf>
    <xf numFmtId="9" fontId="5" fillId="0" borderId="0" xfId="4" applyFont="1" applyFill="1" applyBorder="1" applyAlignment="1">
      <alignment horizontal="center"/>
    </xf>
    <xf numFmtId="3" fontId="5" fillId="0" borderId="0" xfId="1" applyNumberFormat="1" applyFont="1"/>
    <xf numFmtId="167" fontId="3" fillId="0" borderId="0" xfId="4" applyNumberFormat="1" applyFont="1" applyFill="1" applyBorder="1" applyAlignment="1">
      <alignment horizontal="right"/>
    </xf>
    <xf numFmtId="0" fontId="9" fillId="0" borderId="0" xfId="1" applyFont="1" applyAlignment="1">
      <alignment horizontal="left"/>
    </xf>
    <xf numFmtId="3" fontId="9" fillId="0" borderId="0" xfId="1" applyNumberFormat="1" applyFont="1" applyAlignment="1">
      <alignment horizontal="right"/>
    </xf>
    <xf numFmtId="9" fontId="9" fillId="0" borderId="0" xfId="4" applyFont="1" applyFill="1" applyBorder="1" applyAlignment="1">
      <alignment horizontal="right"/>
    </xf>
    <xf numFmtId="9" fontId="8" fillId="0" borderId="0" xfId="4" applyFont="1" applyFill="1" applyBorder="1" applyAlignment="1">
      <alignment horizontal="right"/>
    </xf>
    <xf numFmtId="167" fontId="5" fillId="0" borderId="0" xfId="1" applyNumberFormat="1" applyFont="1" applyAlignment="1">
      <alignment horizontal="left"/>
    </xf>
    <xf numFmtId="166" fontId="9" fillId="0" borderId="0" xfId="3" applyNumberFormat="1" applyFont="1" applyFill="1" applyBorder="1" applyAlignment="1">
      <alignment horizontal="right"/>
    </xf>
    <xf numFmtId="9" fontId="9" fillId="0" borderId="0" xfId="4" applyFont="1" applyFill="1" applyBorder="1" applyAlignment="1">
      <alignment horizontal="center"/>
    </xf>
    <xf numFmtId="0" fontId="12" fillId="0" borderId="0" xfId="1" applyFont="1" applyAlignment="1">
      <alignment horizontal="center" wrapText="1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166" fontId="3" fillId="0" borderId="0" xfId="3" applyNumberFormat="1" applyFont="1" applyFill="1" applyBorder="1" applyAlignment="1">
      <alignment horizontal="center" wrapText="1"/>
    </xf>
    <xf numFmtId="0" fontId="12" fillId="0" borderId="0" xfId="1" applyFont="1"/>
    <xf numFmtId="166" fontId="3" fillId="0" borderId="0" xfId="3" applyNumberFormat="1" applyFont="1" applyFill="1" applyBorder="1"/>
    <xf numFmtId="0" fontId="3" fillId="0" borderId="0" xfId="1" applyFont="1" applyAlignment="1">
      <alignment horizontal="center"/>
    </xf>
    <xf numFmtId="3" fontId="3" fillId="0" borderId="0" xfId="1" applyNumberFormat="1" applyFont="1"/>
    <xf numFmtId="168" fontId="3" fillId="0" borderId="0" xfId="1" applyNumberFormat="1" applyFont="1" applyAlignment="1">
      <alignment horizontal="centerContinuous"/>
    </xf>
    <xf numFmtId="168" fontId="3" fillId="0" borderId="0" xfId="1" applyNumberFormat="1" applyFont="1" applyAlignment="1">
      <alignment horizontal="center"/>
    </xf>
    <xf numFmtId="166" fontId="3" fillId="0" borderId="0" xfId="3" applyNumberFormat="1" applyFont="1" applyFill="1" applyBorder="1" applyAlignment="1">
      <alignment horizontal="center"/>
    </xf>
    <xf numFmtId="169" fontId="3" fillId="0" borderId="0" xfId="1" applyNumberFormat="1" applyFont="1" applyAlignment="1">
      <alignment horizontal="centerContinuous"/>
    </xf>
    <xf numFmtId="0" fontId="12" fillId="0" borderId="0" xfId="1" applyFont="1" applyAlignment="1">
      <alignment horizontal="right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right" wrapText="1"/>
    </xf>
    <xf numFmtId="166" fontId="3" fillId="0" borderId="0" xfId="3" applyNumberFormat="1" applyFont="1" applyFill="1" applyBorder="1" applyAlignment="1">
      <alignment horizontal="right"/>
    </xf>
    <xf numFmtId="3" fontId="12" fillId="0" borderId="0" xfId="1" quotePrefix="1" applyNumberFormat="1" applyFont="1"/>
    <xf numFmtId="0" fontId="3" fillId="0" borderId="1" xfId="1" applyFont="1" applyBorder="1" applyAlignment="1">
      <alignment horizontal="left"/>
    </xf>
    <xf numFmtId="0" fontId="3" fillId="0" borderId="1" xfId="1" applyFont="1" applyBorder="1" applyAlignment="1">
      <alignment horizontal="right"/>
    </xf>
    <xf numFmtId="3" fontId="3" fillId="0" borderId="0" xfId="1" applyNumberFormat="1" applyFont="1" applyAlignment="1">
      <alignment horizontal="right"/>
    </xf>
    <xf numFmtId="166" fontId="3" fillId="0" borderId="0" xfId="3" applyNumberFormat="1" applyFont="1" applyFill="1" applyBorder="1" applyAlignment="1"/>
    <xf numFmtId="9" fontId="3" fillId="0" borderId="0" xfId="4" applyFont="1" applyFill="1" applyBorder="1" applyAlignment="1">
      <alignment horizontal="center"/>
    </xf>
    <xf numFmtId="49" fontId="12" fillId="0" borderId="0" xfId="1" applyNumberFormat="1" applyFont="1"/>
    <xf numFmtId="3" fontId="8" fillId="0" borderId="0" xfId="1" applyNumberFormat="1" applyFont="1" applyAlignment="1">
      <alignment horizontal="right"/>
    </xf>
    <xf numFmtId="49" fontId="12" fillId="0" borderId="0" xfId="5" applyNumberFormat="1" applyFont="1"/>
    <xf numFmtId="166" fontId="8" fillId="0" borderId="0" xfId="3" applyNumberFormat="1" applyFont="1" applyFill="1" applyBorder="1" applyAlignment="1">
      <alignment horizontal="right"/>
    </xf>
    <xf numFmtId="9" fontId="8" fillId="0" borderId="0" xfId="4" applyFont="1" applyFill="1" applyBorder="1" applyAlignment="1">
      <alignment horizontal="center"/>
    </xf>
    <xf numFmtId="3" fontId="3" fillId="0" borderId="0" xfId="1" applyNumberFormat="1" applyFont="1" applyAlignment="1">
      <alignment horizontal="center"/>
    </xf>
    <xf numFmtId="166" fontId="8" fillId="0" borderId="0" xfId="1" applyNumberFormat="1" applyFont="1"/>
    <xf numFmtId="3" fontId="12" fillId="0" borderId="0" xfId="1" applyNumberFormat="1" applyFont="1"/>
    <xf numFmtId="0" fontId="14" fillId="0" borderId="0" xfId="1" applyFont="1" applyAlignment="1">
      <alignment horizontal="center" wrapText="1"/>
    </xf>
    <xf numFmtId="0" fontId="14" fillId="0" borderId="0" xfId="1" applyFont="1"/>
    <xf numFmtId="0" fontId="8" fillId="0" borderId="0" xfId="1" applyFont="1"/>
    <xf numFmtId="49" fontId="14" fillId="0" borderId="0" xfId="1" applyNumberFormat="1" applyFont="1"/>
    <xf numFmtId="166" fontId="8" fillId="0" borderId="0" xfId="3" applyNumberFormat="1" applyFont="1" applyFill="1" applyBorder="1"/>
    <xf numFmtId="0" fontId="7" fillId="0" borderId="0" xfId="1" applyFont="1" applyAlignment="1">
      <alignment horizontal="center" wrapText="1"/>
    </xf>
    <xf numFmtId="43" fontId="5" fillId="0" borderId="0" xfId="1" applyNumberFormat="1" applyFont="1"/>
    <xf numFmtId="170" fontId="5" fillId="0" borderId="0" xfId="4" applyNumberFormat="1" applyFont="1" applyFill="1" applyBorder="1"/>
    <xf numFmtId="17" fontId="5" fillId="0" borderId="0" xfId="1" applyNumberFormat="1" applyFont="1"/>
    <xf numFmtId="0" fontId="5" fillId="0" borderId="2" xfId="1" applyFont="1" applyBorder="1" applyAlignment="1">
      <alignment horizontal="centerContinuous"/>
    </xf>
    <xf numFmtId="0" fontId="5" fillId="0" borderId="2" xfId="1" applyFont="1" applyBorder="1"/>
    <xf numFmtId="0" fontId="5" fillId="0" borderId="2" xfId="1" applyFont="1" applyBorder="1" applyAlignment="1">
      <alignment horizontal="right"/>
    </xf>
    <xf numFmtId="171" fontId="5" fillId="0" borderId="0" xfId="3" applyNumberFormat="1" applyFont="1" applyFill="1" applyBorder="1" applyAlignment="1">
      <alignment horizontal="right"/>
    </xf>
    <xf numFmtId="0" fontId="15" fillId="0" borderId="0" xfId="1" applyFont="1"/>
    <xf numFmtId="17" fontId="3" fillId="0" borderId="0" xfId="1" applyNumberFormat="1" applyFont="1"/>
    <xf numFmtId="0" fontId="5" fillId="0" borderId="0" xfId="1" applyFont="1" applyAlignment="1">
      <alignment horizontal="centerContinuous"/>
    </xf>
    <xf numFmtId="1" fontId="3" fillId="0" borderId="0" xfId="1" applyNumberFormat="1" applyFont="1" applyAlignment="1">
      <alignment horizontal="left"/>
    </xf>
    <xf numFmtId="49" fontId="3" fillId="0" borderId="0" xfId="1" applyNumberFormat="1" applyFont="1"/>
    <xf numFmtId="4" fontId="3" fillId="0" borderId="0" xfId="1" applyNumberFormat="1" applyFont="1" applyAlignment="1">
      <alignment horizontal="right"/>
    </xf>
    <xf numFmtId="166" fontId="3" fillId="0" borderId="0" xfId="3" applyNumberFormat="1" applyFont="1" applyFill="1" applyBorder="1" applyAlignment="1">
      <alignment horizontal="left"/>
    </xf>
    <xf numFmtId="0" fontId="5" fillId="0" borderId="1" xfId="1" applyFont="1" applyBorder="1" applyAlignment="1">
      <alignment horizontal="centerContinuous"/>
    </xf>
    <xf numFmtId="3" fontId="3" fillId="0" borderId="0" xfId="1" applyNumberFormat="1" applyFont="1" applyAlignment="1">
      <alignment horizontal="left"/>
    </xf>
    <xf numFmtId="43" fontId="3" fillId="0" borderId="0" xfId="1" applyNumberFormat="1" applyFont="1"/>
    <xf numFmtId="172" fontId="3" fillId="0" borderId="0" xfId="3" applyNumberFormat="1" applyFont="1" applyFill="1" applyBorder="1"/>
    <xf numFmtId="1" fontId="3" fillId="0" borderId="0" xfId="1" applyNumberFormat="1" applyFont="1"/>
    <xf numFmtId="0" fontId="16" fillId="0" borderId="0" xfId="1" applyFont="1"/>
    <xf numFmtId="43" fontId="16" fillId="0" borderId="0" xfId="3" applyFont="1"/>
    <xf numFmtId="0" fontId="1" fillId="0" borderId="0" xfId="1"/>
    <xf numFmtId="0" fontId="16" fillId="0" borderId="0" xfId="1" applyFont="1" applyAlignment="1">
      <alignment wrapText="1"/>
    </xf>
    <xf numFmtId="173" fontId="17" fillId="0" borderId="0" xfId="3" applyNumberFormat="1" applyFont="1"/>
    <xf numFmtId="174" fontId="1" fillId="0" borderId="0" xfId="1" applyNumberFormat="1"/>
    <xf numFmtId="43" fontId="17" fillId="0" borderId="0" xfId="3" applyFont="1"/>
    <xf numFmtId="166" fontId="16" fillId="0" borderId="0" xfId="3" applyNumberFormat="1" applyFont="1"/>
    <xf numFmtId="175" fontId="16" fillId="0" borderId="0" xfId="1" applyNumberFormat="1" applyFont="1"/>
    <xf numFmtId="0" fontId="3" fillId="0" borderId="0" xfId="1" applyFont="1" applyAlignment="1">
      <alignment horizontal="centerContinuous"/>
    </xf>
    <xf numFmtId="2" fontId="3" fillId="0" borderId="0" xfId="1" applyNumberFormat="1" applyFont="1" applyAlignment="1">
      <alignment horizontal="center"/>
    </xf>
    <xf numFmtId="0" fontId="5" fillId="0" borderId="1" xfId="1" applyFont="1" applyBorder="1" applyAlignment="1">
      <alignment horizontal="right"/>
    </xf>
    <xf numFmtId="3" fontId="7" fillId="0" borderId="0" xfId="1" applyNumberFormat="1" applyFont="1" applyAlignment="1">
      <alignment horizontal="right"/>
    </xf>
    <xf numFmtId="49" fontId="18" fillId="0" borderId="0" xfId="1" applyNumberFormat="1" applyFont="1"/>
    <xf numFmtId="0" fontId="19" fillId="0" borderId="0" xfId="5" applyFont="1" applyAlignment="1">
      <alignment vertical="center"/>
    </xf>
    <xf numFmtId="0" fontId="18" fillId="0" borderId="0" xfId="1" applyFont="1"/>
    <xf numFmtId="0" fontId="20" fillId="0" borderId="0" xfId="1" applyFont="1"/>
    <xf numFmtId="41" fontId="18" fillId="0" borderId="0" xfId="6" applyFont="1"/>
    <xf numFmtId="49" fontId="21" fillId="0" borderId="0" xfId="5" applyNumberFormat="1" applyFont="1"/>
    <xf numFmtId="49" fontId="19" fillId="0" borderId="0" xfId="5" applyNumberFormat="1" applyFont="1"/>
    <xf numFmtId="0" fontId="22" fillId="0" borderId="0" xfId="5" applyFont="1" applyAlignment="1">
      <alignment vertical="center"/>
    </xf>
    <xf numFmtId="166" fontId="18" fillId="0" borderId="0" xfId="3" applyNumberFormat="1" applyFont="1"/>
    <xf numFmtId="166" fontId="18" fillId="0" borderId="0" xfId="1" applyNumberFormat="1" applyFont="1"/>
    <xf numFmtId="49" fontId="18" fillId="2" borderId="0" xfId="1" applyNumberFormat="1" applyFont="1" applyFill="1"/>
    <xf numFmtId="3" fontId="18" fillId="0" borderId="0" xfId="1" applyNumberFormat="1" applyFont="1"/>
    <xf numFmtId="43" fontId="18" fillId="0" borderId="0" xfId="1" applyNumberFormat="1" applyFont="1"/>
    <xf numFmtId="41" fontId="18" fillId="0" borderId="0" xfId="1" applyNumberFormat="1" applyFont="1"/>
    <xf numFmtId="49" fontId="23" fillId="0" borderId="0" xfId="5" applyNumberFormat="1" applyFont="1"/>
    <xf numFmtId="0" fontId="20" fillId="2" borderId="0" xfId="1" applyFont="1" applyFill="1"/>
    <xf numFmtId="0" fontId="18" fillId="2" borderId="0" xfId="1" applyFont="1" applyFill="1"/>
    <xf numFmtId="0" fontId="21" fillId="0" borderId="0" xfId="1" applyFont="1" applyAlignment="1">
      <alignment vertical="center"/>
    </xf>
    <xf numFmtId="0" fontId="21" fillId="0" borderId="0" xfId="1" applyFont="1" applyAlignment="1">
      <alignment horizontal="left" vertical="center"/>
    </xf>
    <xf numFmtId="0" fontId="24" fillId="0" borderId="0" xfId="1" applyFont="1"/>
    <xf numFmtId="3" fontId="24" fillId="0" borderId="0" xfId="1" applyNumberFormat="1" applyFont="1"/>
    <xf numFmtId="9" fontId="24" fillId="0" borderId="0" xfId="4" applyFont="1" applyFill="1" applyBorder="1" applyAlignment="1"/>
    <xf numFmtId="0" fontId="24" fillId="0" borderId="0" xfId="1" applyFont="1" applyAlignment="1">
      <alignment horizontal="center"/>
    </xf>
    <xf numFmtId="166" fontId="24" fillId="0" borderId="0" xfId="3" applyNumberFormat="1" applyFont="1" applyFill="1" applyBorder="1" applyAlignment="1">
      <alignment horizontal="right"/>
    </xf>
    <xf numFmtId="170" fontId="24" fillId="0" borderId="0" xfId="4" applyNumberFormat="1" applyFont="1" applyFill="1" applyBorder="1" applyAlignment="1"/>
  </cellXfs>
  <cellStyles count="7">
    <cellStyle name="Millares [0] 2" xfId="6" xr:uid="{3DDA0DA1-13C1-4743-89A0-CAE0887A6559}"/>
    <cellStyle name="Millares 2" xfId="3" xr:uid="{5D6D9476-3E45-4648-B5AA-17CF5AB4CD64}"/>
    <cellStyle name="Normal" xfId="0" builtinId="0"/>
    <cellStyle name="Normal 2" xfId="1" xr:uid="{180985F8-03FB-4458-9030-F5FD5CD1F87E}"/>
    <cellStyle name="Normal 2 2" xfId="5" xr:uid="{68B5A268-A221-4AAF-B5B4-A3609CD88ADC}"/>
    <cellStyle name="Normal 3" xfId="2" xr:uid="{1CDF9107-5DE4-4C0A-AEE3-E69D75B33307}"/>
    <cellStyle name="Porcentaje 2" xfId="4" xr:uid="{326C6426-65AD-4173-9F2E-514C54CC85D5}"/>
  </cellStyles>
  <dxfs count="69">
    <dxf>
      <numFmt numFmtId="33" formatCode="_-* #,##0_-;\-* #,##0_-;_-* &quot;-&quot;_-;_-@_-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33" formatCode="_-* #,##0_-;\-* #,##0_-;_-* &quot;-&quot;_-;_-@_-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133350</xdr:colOff>
      <xdr:row>18</xdr:row>
      <xdr:rowOff>38100</xdr:rowOff>
    </xdr:from>
    <xdr:to>
      <xdr:col>43</xdr:col>
      <xdr:colOff>532683</xdr:colOff>
      <xdr:row>31</xdr:row>
      <xdr:rowOff>152123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4126CCF-776F-40E7-83BF-20563B8FF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622625" y="3238500"/>
          <a:ext cx="5733333" cy="2219048"/>
        </a:xfrm>
        <a:prstGeom prst="rect">
          <a:avLst/>
        </a:prstGeom>
      </xdr:spPr>
    </xdr:pic>
    <xdr:clientData/>
  </xdr:twoCellAnchor>
  <xdr:twoCellAnchor editAs="oneCell">
    <xdr:from>
      <xdr:col>36</xdr:col>
      <xdr:colOff>352425</xdr:colOff>
      <xdr:row>3</xdr:row>
      <xdr:rowOff>85725</xdr:rowOff>
    </xdr:from>
    <xdr:to>
      <xdr:col>43</xdr:col>
      <xdr:colOff>742234</xdr:colOff>
      <xdr:row>17</xdr:row>
      <xdr:rowOff>161624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DE7216D-F23A-482E-9C9C-7AAEAD93F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841700" y="790575"/>
          <a:ext cx="5723809" cy="2409524"/>
        </a:xfrm>
        <a:prstGeom prst="rect">
          <a:avLst/>
        </a:prstGeom>
      </xdr:spPr>
    </xdr:pic>
    <xdr:clientData/>
  </xdr:twoCellAnchor>
  <xdr:twoCellAnchor editAs="oneCell">
    <xdr:from>
      <xdr:col>45</xdr:col>
      <xdr:colOff>0</xdr:colOff>
      <xdr:row>4</xdr:row>
      <xdr:rowOff>0</xdr:rowOff>
    </xdr:from>
    <xdr:to>
      <xdr:col>51</xdr:col>
      <xdr:colOff>561333</xdr:colOff>
      <xdr:row>16</xdr:row>
      <xdr:rowOff>123558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99BD032-519B-45B6-8187-48A95C90C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5347275" y="866775"/>
          <a:ext cx="5133333" cy="213333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Vision%20Tecnologica\UnoBiable\UnoBiable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definedNames>
      <definedName name="Consulta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24.714106712963" createdVersion="3" refreshedVersion="6" minRefreshableVersion="3" recordCount="2824" xr:uid="{763E997C-776D-4B35-968E-81819B4A40E2}">
  <cacheSource type="external" connectionId="2"/>
  <cacheFields count="108">
    <cacheField name="PERIODO" numFmtId="0">
      <sharedItems containsSemiMixedTypes="0" containsString="0" containsNumber="1" containsInteger="1" minValue="201901" maxValue="201908" count="8">
        <n v="201901"/>
        <n v="201902"/>
        <n v="201906"/>
        <n v="201907"/>
        <n v="201908"/>
        <n v="201903"/>
        <n v="201905"/>
        <n v="201904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entro de Operacion" numFmtId="0">
      <sharedItems count="7">
        <s v="450"/>
        <s v="465"/>
        <s v="462"/>
        <s v="464"/>
        <s v="463"/>
        <s v="460"/>
        <s v="461"/>
      </sharedItems>
    </cacheField>
    <cacheField name="Nombre Centro de Operacion" numFmtId="0">
      <sharedItems count="7">
        <s v="ADMINSTRATIVO"/>
        <s v="BARRANQUILLA"/>
        <s v="BOGOTA"/>
        <s v="MEDELLIN"/>
        <s v="BUCARAMANGA"/>
        <s v="CALI"/>
        <s v="EJE CAFETERO"/>
      </sharedItems>
    </cacheField>
    <cacheField name="Tipo Documento" numFmtId="0">
      <sharedItems count="14">
        <s v="NDS"/>
        <s v="RC"/>
        <s v="NI"/>
        <s v="LAN"/>
        <s v="GVJ"/>
        <s v="OP"/>
        <s v="DFC"/>
        <s v="FP"/>
        <s v="NB"/>
        <s v="RK"/>
        <s v="DBA"/>
        <s v="PEL"/>
        <s v="CE"/>
        <s v="CJM"/>
      </sharedItems>
    </cacheField>
    <cacheField name="Nombre Tipo Documento" numFmtId="0">
      <sharedItems count="14">
        <s v="NOTA DEBITO VENTA DE SERVICIO"/>
        <s v="RECIBOS DE CAJA"/>
        <s v="NOTA INTERNA DE CONTABILIDAD"/>
        <s v="LEGALIZACION ANTICIPOS"/>
        <s v="LEGALIZACION GASTOS DE VIAJE"/>
        <s v="ORDEN DE PAGO"/>
        <s v="DIFERENCIA EN CAMBIO"/>
        <s v="FACTURA POR PAGAR"/>
        <s v="NOTAS BANCARIAS"/>
        <s v="RECIBO CAJA MONTOS SUPERIORES"/>
        <s v="DAR DE BAJA ACTIVOS FIJOS"/>
        <s v="PAGOS ELECTRONICOS"/>
        <s v="COMPROBANTES DE EGRESO"/>
        <s v="CAJA MENOR"/>
      </sharedItems>
    </cacheField>
    <cacheField name="DOCTO" numFmtId="0">
      <sharedItems containsSemiMixedTypes="0" containsString="0" containsNumber="1" containsInteger="1" minValue="9" maxValue="63967"/>
    </cacheField>
    <cacheField name="Tercero Docto" numFmtId="0">
      <sharedItems/>
    </cacheField>
    <cacheField name="Razon social Docto" numFmtId="0">
      <sharedItems/>
    </cacheField>
    <cacheField name="FECHA_DOCTO" numFmtId="0">
      <sharedItems/>
    </cacheField>
    <cacheField name="CUENTA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 Cuenta" numFmtId="0">
      <sharedItems containsString="0" containsBlank="1" count="1">
        <m/>
      </sharedItems>
    </cacheField>
    <cacheField name="NOMBRE_AUXILIAR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PLAN_CUENTA" numFmtId="0">
      <sharedItems count="1">
        <s v="NIF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                                  "/>
      </sharedItems>
    </cacheField>
    <cacheField name="CUENTA_N2" numFmtId="0">
      <sharedItems count="1">
        <s v="53"/>
      </sharedItems>
    </cacheField>
    <cacheField name="NOMBRE_CUENTA_N2" numFmtId="0">
      <sharedItems count="1">
        <s v="NO OPERACIONALES                        "/>
      </sharedItems>
    </cacheField>
    <cacheField name="CUENTA_N3" numFmtId="0">
      <sharedItems count="4">
        <s v="5315"/>
        <s v="5395"/>
        <s v="5305"/>
        <s v="5310"/>
      </sharedItems>
    </cacheField>
    <cacheField name="NOMBRE_CUENTA_N3" numFmtId="0">
      <sharedItems count="4">
        <s v="GASTOS EXTRAORDINARIOS                  "/>
        <s v="GASTOS DIVERSOS                         "/>
        <s v="FINANCIEROS                             "/>
        <s v="PERDIDA EN VENTA Y RETIRO DE BIENES     "/>
      </sharedItems>
    </cacheField>
    <cacheField name="CUENTA_N4" numFmtId="0">
      <sharedItems count="14">
        <s v="531515"/>
        <s v="539510"/>
        <s v="539505"/>
        <s v="530525"/>
        <s v="531516"/>
        <s v="531520"/>
        <s v="531595"/>
        <s v="530520"/>
        <s v="539520"/>
        <s v="530535"/>
        <s v="530595"/>
        <s v="531030"/>
        <s v="530505"/>
        <s v="530515"/>
      </sharedItems>
    </cacheField>
    <cacheField name="NOMBRE_CUENTA_N4" numFmtId="0">
      <sharedItems count="13">
        <s v="COSTOS Y GASTOS EJERCICIOS ANTERIORES   "/>
        <s v="AJUSTE AL PESO                          "/>
        <s v="DEMANDAS LABORALES"/>
        <s v="DIFERENCIA EN CAMBIO                    "/>
        <s v="GTO IMPORENTA EJE ANT                   "/>
        <s v="IMPUESTOS ASUMIDOS                      "/>
        <s v="OTROS                                   "/>
        <s v="INTERESES                               "/>
        <s v="MULTAS,SANCIONES Y LITIGIOS             "/>
        <s v="DESCUENTOS COMERCIALES CONDICONADOS     "/>
        <s v="PERDIDA POR SINIESTRO                   "/>
        <s v="GASTOS BANCARIOS                        "/>
        <s v="COMISIONES                              "/>
      </sharedItems>
    </cacheField>
    <cacheField name="CUENTA_N5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5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6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6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7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7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8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8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ENTRO_OPERACION_MOVTO" numFmtId="0">
      <sharedItems count="10">
        <s v="460"/>
        <s v="450"/>
        <s v="465"/>
        <s v="464"/>
        <s v="462"/>
        <s v="471"/>
        <s v="461"/>
        <s v="463"/>
        <s v="466"/>
        <s v="090"/>
      </sharedItems>
    </cacheField>
    <cacheField name="Nombre Centro_operacion_movto" numFmtId="0">
      <sharedItems count="10">
        <s v="CALI"/>
        <s v="ADMINSTRATIVO"/>
        <s v="BARRANQUILLA"/>
        <s v="MEDELLIN"/>
        <s v="BOGOTA"/>
        <s v="AYUDA INTERNACIONAL"/>
        <s v="EJE CAFETERO"/>
        <s v="BUCARAMANGA"/>
        <s v="CARTAGENA"/>
        <s v="PROYECTO INNOVACION"/>
      </sharedItems>
    </cacheField>
    <cacheField name="REGIONAL" numFmtId="0">
      <sharedItems count="3">
        <s v="MT"/>
        <s v="00"/>
        <s v="01"/>
      </sharedItems>
    </cacheField>
    <cacheField name="nombre Regional" numFmtId="0">
      <sharedItems count="3">
        <s v="TOTAL SUCURSALES"/>
        <s v="ADMINISTRATIVOS"/>
        <s v="CALI"/>
      </sharedItems>
    </cacheField>
    <cacheField name="Unidad de Negocio" numFmtId="0">
      <sharedItems count="2">
        <s v="01"/>
        <s v="00"/>
      </sharedItems>
    </cacheField>
    <cacheField name="nombre Unidad de Negocio" numFmtId="0">
      <sharedItems count="2">
        <s v="VENTAS"/>
        <s v="ADMINISTRATIVA FICIERA"/>
      </sharedItems>
    </cacheField>
    <cacheField name="TERCERO" numFmtId="0">
      <sharedItems/>
    </cacheField>
    <cacheField name="Nombre Tercero" numFmtId="0">
      <sharedItems containsBlank="1"/>
    </cacheField>
    <cacheField name="SUCURSAL_TERCERO" numFmtId="0">
      <sharedItems containsString="0" containsBlank="1" count="1">
        <m/>
      </sharedItems>
    </cacheField>
    <cacheField name="VENDEDOR" numFmtId="0">
      <sharedItems containsBlank="1" count="3">
        <m/>
        <s v="EJZO"/>
        <s v="MACP"/>
      </sharedItems>
    </cacheField>
    <cacheField name="Nombre vendedor Vendedor" numFmtId="0">
      <sharedItems containsBlank="1" count="3">
        <m/>
        <s v="MUSICAR S.A.S"/>
        <s v="CARRASQUILLA PIZARRO MARCO ANTONIO"/>
      </sharedItems>
    </cacheField>
    <cacheField name="GRUPO_CCOSTO" numFmtId="0">
      <sharedItems containsString="0" containsBlank="1" count="1">
        <m/>
      </sharedItems>
    </cacheField>
    <cacheField name="Centro de Costo" numFmtId="0">
      <sharedItems containsString="0" containsBlank="1" count="1">
        <m/>
      </sharedItems>
    </cacheField>
    <cacheField name="Nombre Centro de Costo" numFmtId="0">
      <sharedItems containsString="0" containsBlank="1" count="1">
        <m/>
      </sharedItems>
    </cacheField>
    <cacheField name="NOMBRE_CCOSTO" numFmtId="0">
      <sharedItems containsString="0" containsBlank="1" count="1">
        <m/>
      </sharedItems>
    </cacheField>
    <cacheField name="CCOSTO_N1" numFmtId="0">
      <sharedItems containsString="0" containsBlank="1" count="1">
        <m/>
      </sharedItems>
    </cacheField>
    <cacheField name="NOMBRE_CCOSTO_N1" numFmtId="0">
      <sharedItems containsString="0" containsBlank="1" count="1">
        <m/>
      </sharedItems>
    </cacheField>
    <cacheField name="CCOSTO_N2" numFmtId="0">
      <sharedItems containsString="0" containsBlank="1" count="1">
        <m/>
      </sharedItems>
    </cacheField>
    <cacheField name="NOMBRE_CCOSTO_N2" numFmtId="0">
      <sharedItems containsString="0" containsBlank="1" count="1">
        <m/>
      </sharedItems>
    </cacheField>
    <cacheField name="CCOSTO_N3" numFmtId="0">
      <sharedItems containsString="0" containsBlank="1" count="1">
        <m/>
      </sharedItems>
    </cacheField>
    <cacheField name="NOMBRE_CCOSTO_N3" numFmtId="0">
      <sharedItems containsString="0" containsBlank="1" count="1">
        <m/>
      </sharedItems>
    </cacheField>
    <cacheField name="CCOSTO_N4" numFmtId="0">
      <sharedItems containsString="0" containsBlank="1" count="1">
        <m/>
      </sharedItems>
    </cacheField>
    <cacheField name="NOMBRE_CCOSTO_N4" numFmtId="0">
      <sharedItems containsString="0" containsBlank="1" count="1">
        <m/>
      </sharedItems>
    </cacheField>
    <cacheField name="CCOSTO_N5" numFmtId="0">
      <sharedItems containsString="0" containsBlank="1" count="1">
        <m/>
      </sharedItems>
    </cacheField>
    <cacheField name="NOMBRE_CCOSTO_N5" numFmtId="0">
      <sharedItems containsString="0" containsBlank="1" count="1">
        <m/>
      </sharedItems>
    </cacheField>
    <cacheField name="CCOSTO_N6" numFmtId="0">
      <sharedItems containsString="0" containsBlank="1" count="1">
        <m/>
      </sharedItems>
    </cacheField>
    <cacheField name="NOMBRE_CCOSTO_N6" numFmtId="0">
      <sharedItems containsString="0" containsBlank="1" count="1">
        <m/>
      </sharedItems>
    </cacheField>
    <cacheField name="CCOSTO_N7" numFmtId="0">
      <sharedItems containsString="0" containsBlank="1" count="1">
        <m/>
      </sharedItems>
    </cacheField>
    <cacheField name="NOMBRE_CCOSTO_N7" numFmtId="0">
      <sharedItems containsString="0" containsBlank="1" count="1">
        <m/>
      </sharedItems>
    </cacheField>
    <cacheField name="CCOSTO_N8" numFmtId="0">
      <sharedItems containsString="0" containsBlank="1" count="1">
        <m/>
      </sharedItems>
    </cacheField>
    <cacheField name="NOMBRE_CCOSTO_N8" numFmtId="0">
      <sharedItems containsString="0" containsBlank="1" count="1">
        <m/>
      </sharedItems>
    </cacheField>
    <cacheField name="FLUJO_EFECTIVO" numFmtId="0">
      <sharedItems containsString="0" containsBlank="1" count="1">
        <m/>
      </sharedItems>
    </cacheField>
    <cacheField name="NOMBRE_FLUJO_EFECTIVO" numFmtId="0">
      <sharedItems containsString="0" containsBlank="1" count="1">
        <m/>
      </sharedItems>
    </cacheField>
    <cacheField name="MAYOR_FLUJO_EFECTIVO" numFmtId="0">
      <sharedItems containsString="0" containsBlank="1" count="1">
        <m/>
      </sharedItems>
    </cacheField>
    <cacheField name="CPTOFE_N1" numFmtId="0">
      <sharedItems containsString="0" containsBlank="1" count="1">
        <m/>
      </sharedItems>
    </cacheField>
    <cacheField name="NOMBRE_CPTOFE_N1" numFmtId="0">
      <sharedItems containsString="0" containsBlank="1" count="1">
        <m/>
      </sharedItems>
    </cacheField>
    <cacheField name="CPTOFE_N2" numFmtId="0">
      <sharedItems containsString="0" containsBlank="1" count="1">
        <m/>
      </sharedItems>
    </cacheField>
    <cacheField name="NOMBRE_CPTOFE_N2" numFmtId="0">
      <sharedItems containsString="0" containsBlank="1" count="1">
        <m/>
      </sharedItems>
    </cacheField>
    <cacheField name="CPTOFE_N3" numFmtId="0">
      <sharedItems containsString="0" containsBlank="1" count="1">
        <m/>
      </sharedItems>
    </cacheField>
    <cacheField name="NOMBRE_CPTOFE_N3" numFmtId="0">
      <sharedItems containsString="0" containsBlank="1" count="1">
        <m/>
      </sharedItems>
    </cacheField>
    <cacheField name="CPTOFE_N4" numFmtId="0">
      <sharedItems containsString="0" containsBlank="1" count="1">
        <m/>
      </sharedItems>
    </cacheField>
    <cacheField name="NOMBRE_CPTOFE_N4" numFmtId="0">
      <sharedItems containsString="0" containsBlank="1" count="1">
        <m/>
      </sharedItems>
    </cacheField>
    <cacheField name="CPTOFE_N5" numFmtId="0">
      <sharedItems containsString="0" containsBlank="1" count="1">
        <m/>
      </sharedItems>
    </cacheField>
    <cacheField name="NOMBRE_CPTOFE_N5" numFmtId="0">
      <sharedItems containsString="0" containsBlank="1" count="1">
        <m/>
      </sharedItems>
    </cacheField>
    <cacheField name="CPTOFE_N6" numFmtId="0">
      <sharedItems containsString="0" containsBlank="1" count="1">
        <m/>
      </sharedItems>
    </cacheField>
    <cacheField name="NOMBRE_CPTOFE_N6" numFmtId="0">
      <sharedItems containsString="0" containsBlank="1" count="1">
        <m/>
      </sharedItems>
    </cacheField>
    <cacheField name="CPTOFE_N7" numFmtId="0">
      <sharedItems containsString="0" containsBlank="1" count="1">
        <m/>
      </sharedItems>
    </cacheField>
    <cacheField name="NOMBRE_CPTOFE_N7" numFmtId="0">
      <sharedItems containsString="0" containsBlank="1" count="1">
        <m/>
      </sharedItems>
    </cacheField>
    <cacheField name="CPTOFE_N8" numFmtId="0">
      <sharedItems containsString="0" containsBlank="1" count="1">
        <m/>
      </sharedItems>
    </cacheField>
    <cacheField name="NOMBRE_CPTOFE_N8" numFmtId="0">
      <sharedItems containsString="0" containsBlank="1" count="1">
        <m/>
      </sharedItems>
    </cacheField>
    <cacheField name="DOCUMENTO_BANCOS" numFmtId="0">
      <sharedItems containsString="0" containsBlank="1" count="1">
        <m/>
      </sharedItems>
    </cacheField>
    <cacheField name="NUMERO_DOCTO_BANCOS" numFmtId="0">
      <sharedItems containsSemiMixedTypes="0" containsString="0" containsNumber="1" containsInteger="1" minValue="0" maxValue="0" count="1">
        <n v="0"/>
      </sharedItems>
    </cacheField>
    <cacheField name="DOCTO_ALTERNO_BANCOS" numFmtId="0">
      <sharedItems count="1">
        <s v=" "/>
      </sharedItems>
    </cacheField>
    <cacheField name="Referencia 1" numFmtId="0">
      <sharedItems count="1">
        <s v=" "/>
      </sharedItems>
    </cacheField>
    <cacheField name="Referencia 2" numFmtId="0">
      <sharedItems count="1">
        <s v=" "/>
      </sharedItems>
    </cacheField>
    <cacheField name="Referencia 3" numFmtId="0">
      <sharedItems count="1">
        <s v=" "/>
      </sharedItems>
    </cacheField>
    <cacheField name="NOTAS" numFmtId="0">
      <sharedItems/>
    </cacheField>
    <cacheField name="DEBITOS" numFmtId="0">
      <sharedItems containsSemiMixedTypes="0" containsString="0" containsNumber="1" minValue="0" maxValue="11209723.92"/>
    </cacheField>
    <cacheField name="CREDITOS" numFmtId="0">
      <sharedItems containsSemiMixedTypes="0" containsString="0" containsNumber="1" minValue="0" maxValue="5574045"/>
    </cacheField>
    <cacheField name="MOVIMIENTO" numFmtId="0">
      <sharedItems containsSemiMixedTypes="0" containsString="0" containsNumber="1" minValue="-5574045" maxValue="11209723.92"/>
    </cacheField>
    <cacheField name="DEBITOS_ALT" numFmtId="0">
      <sharedItems containsSemiMixedTypes="0" containsString="0" containsNumber="1" containsInteger="1" minValue="0" maxValue="0" count="1">
        <n v="0"/>
      </sharedItems>
    </cacheField>
    <cacheField name="CREDITOS_ALT" numFmtId="0">
      <sharedItems containsSemiMixedTypes="0" containsString="0" containsNumber="1" containsInteger="1" minValue="0" maxValue="0" count="1">
        <n v="0"/>
      </sharedItems>
    </cacheField>
    <cacheField name="MOVIMIENTO_ALT" numFmtId="0">
      <sharedItems containsSemiMixedTypes="0" containsString="0" containsNumber="1" containsInteger="1" minValue="0" maxValue="0" count="1">
        <n v="0"/>
      </sharedItems>
    </cacheField>
    <cacheField name="Deb Libro 2" numFmtId="0">
      <sharedItems containsSemiMixedTypes="0" containsString="0" containsNumber="1" minValue="0" maxValue="11209723.92"/>
    </cacheField>
    <cacheField name="Cred Libro 2" numFmtId="0">
      <sharedItems containsSemiMixedTypes="0" containsString="0" containsNumber="1" minValue="0" maxValue="5574045"/>
    </cacheField>
    <cacheField name="MOVTO_LIBRO2" numFmtId="0">
      <sharedItems containsSemiMixedTypes="0" containsString="0" containsNumber="1" minValue="-5574045" maxValue="11209723.92"/>
    </cacheField>
    <cacheField name="Deb alt Libro 2" numFmtId="0">
      <sharedItems containsSemiMixedTypes="0" containsString="0" containsNumber="1" containsInteger="1" minValue="0" maxValue="0" count="1">
        <n v="0"/>
      </sharedItems>
    </cacheField>
    <cacheField name="Cred alt libro 2" numFmtId="0">
      <sharedItems containsSemiMixedTypes="0" containsString="0" containsNumber="1" containsInteger="1" minValue="0" maxValue="0" count="1">
        <n v="0"/>
      </sharedItems>
    </cacheField>
    <cacheField name="MOVTO_ALT_LIBRO2" numFmtId="0">
      <sharedItems containsSemiMixedTypes="0" containsString="0" containsNumber="1" containsInteger="1" minValue="0" maxValue="0" count="1">
        <n v="0"/>
      </sharedItems>
    </cacheField>
    <cacheField name="Deb Libro 3" numFmtId="0">
      <sharedItems containsSemiMixedTypes="0" containsString="0" containsNumber="1" minValue="0" maxValue="11209723.92"/>
    </cacheField>
    <cacheField name="Cred Libro 3" numFmtId="0">
      <sharedItems containsSemiMixedTypes="0" containsString="0" containsNumber="1" minValue="0" maxValue="5574045"/>
    </cacheField>
    <cacheField name="MOVTO_LIBRO3" numFmtId="0">
      <sharedItems containsSemiMixedTypes="0" containsString="0" containsNumber="1" minValue="-5574045" maxValue="11209723.92"/>
    </cacheField>
    <cacheField name="Deb alt Libro 3" numFmtId="0">
      <sharedItems containsSemiMixedTypes="0" containsString="0" containsNumber="1" containsInteger="1" minValue="0" maxValue="0" count="1">
        <n v="0"/>
      </sharedItems>
    </cacheField>
    <cacheField name="Cred alt Libro 3" numFmtId="0">
      <sharedItems containsSemiMixedTypes="0" containsString="0" containsNumber="1" containsInteger="1" minValue="0" maxValue="0" count="1">
        <n v="0"/>
      </sharedItems>
    </cacheField>
    <cacheField name="MOVTO_ALT_LIBRO3" numFmtId="0">
      <sharedItems containsSemiMixedTypes="0" containsString="0" containsNumber="1" containsInteger="1" minValue="0" maxValue="0" count="1">
        <n v="0"/>
      </sharedItems>
    </cacheField>
    <cacheField name="VALOR_BASE" numFmtId="0">
      <sharedItems containsSemiMixedTypes="0" containsString="0" containsNumber="1" containsInteger="1" minValue="0" maxValue="0" count="1">
        <n v="0"/>
      </sharedItems>
    </cacheField>
    <cacheField name="VALOR_IMP_ASUM" numFmtId="0">
      <sharedItems containsSemiMixedTypes="0" containsString="0" containsNumber="1" containsInteger="1" minValue="0" maxValue="0" count="1"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ert G." refreshedDate="42537.493262847223" createdVersion="3" refreshedVersion="6" minRefreshableVersion="3" recordCount="12" xr:uid="{AEEE2939-2B40-4F77-97A2-9E702B11C00F}">
  <cacheSource type="external" connectionId="1"/>
  <cacheFields count="31">
    <cacheField name="PERIODO" numFmtId="0">
      <sharedItems containsSemiMixedTypes="0" containsString="0" containsNumber="1" containsInteger="1" minValue="201605" maxValue="201605" count="1">
        <n v="201605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EL SALVADOR, S.A. DE C V"/>
      </sharedItems>
    </cacheField>
    <cacheField name="PLAN_PRESUPUESTO" numFmtId="0">
      <sharedItems count="2">
        <s v="006"/>
        <s v="001"/>
      </sharedItems>
    </cacheField>
    <cacheField name="AUXILIAR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AUXILIAR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" numFmtId="0">
      <sharedItems count="6">
        <s v="523595"/>
        <s v="516010"/>
        <s v="520518"/>
        <s v="524515"/>
        <s v="520536"/>
        <s v="529910"/>
      </sharedItems>
    </cacheField>
    <cacheField name="Nombre Cuenta" numFmtId="0">
      <sharedItems containsString="0" containsBlank="1" count="1">
        <m/>
      </sharedItems>
    </cacheField>
    <cacheField name="PLAN_CUENTA" numFmtId="0">
      <sharedItems count="1">
        <s v="PUC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"/>
      </sharedItems>
    </cacheField>
    <cacheField name="CUENTA_N2" numFmtId="0">
      <sharedItems count="2">
        <s v="52"/>
        <s v="51"/>
      </sharedItems>
    </cacheField>
    <cacheField name="NOMBRE_CUENTA_N2" numFmtId="0">
      <sharedItems count="2">
        <s v="OPERACIONALES DE VENTAS"/>
        <s v="OPERACIONALES DE ADMINISTRACION"/>
      </sharedItems>
    </cacheField>
    <cacheField name="CUENTA_N3" numFmtId="0">
      <sharedItems count="5">
        <s v="5235"/>
        <s v="5160"/>
        <s v="5205"/>
        <s v="5245"/>
        <s v="5299"/>
      </sharedItems>
    </cacheField>
    <cacheField name="NOMBRE_CUENTA_N3" numFmtId="0">
      <sharedItems count="5">
        <s v="SERVICIOS"/>
        <s v="DEPRECIACIONES"/>
        <s v="GASTOS DE PERSONAL"/>
        <s v="MANTENIMIENTO Y REPARACIONES"/>
        <s v="PROVISIONES"/>
      </sharedItems>
    </cacheField>
    <cacheField name="CUENTA_N4" numFmtId="0">
      <sharedItems count="6">
        <s v="523595"/>
        <s v="516010"/>
        <s v="520518"/>
        <s v="524515"/>
        <s v="520536"/>
        <s v="529910"/>
      </sharedItems>
    </cacheField>
    <cacheField name="NOMBRE_CUENTA_N4" numFmtId="0">
      <sharedItems count="6">
        <s v="OTROS"/>
        <s v="MAQUINARIA Y EQUIPO"/>
        <s v="COMISIONES"/>
        <s v="MANT.Y REPARAC.MAQUINARIA"/>
        <s v="PRIMA DE SERVICIOS"/>
        <s v="DEUDORES"/>
      </sharedItems>
    </cacheField>
    <cacheField name="CUENTA_N5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5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6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6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7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7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8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8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entro de Operacion" numFmtId="0">
      <sharedItems count="1">
        <s v="001"/>
      </sharedItems>
    </cacheField>
    <cacheField name="Nombre Centro de Operacion" numFmtId="0">
      <sharedItems count="1">
        <s v="EL SALVADOR"/>
      </sharedItems>
    </cacheField>
    <cacheField name="Unidad de Negocio" numFmtId="0">
      <sharedItems count="1">
        <s v="01"/>
      </sharedItems>
    </cacheField>
    <cacheField name="nombre Unidad de Negocio" numFmtId="0">
      <sharedItems count="1">
        <s v="MUSICAR"/>
      </sharedItems>
    </cacheField>
    <cacheField name="AÑO" numFmtId="0">
      <sharedItems containsSemiMixedTypes="0" containsString="0" containsNumber="1" containsInteger="1" minValue="2016" maxValue="2016" count="1">
        <n v="2016"/>
      </sharedItems>
    </cacheField>
    <cacheField name="VALOR_PRESUPUESTO" numFmtId="0">
      <sharedItems containsSemiMixedTypes="0" containsString="0" containsNumber="1" minValue="13.58" maxValue="2319.4899999999998" count="6">
        <n v="448.4"/>
        <n v="2319.4899999999998"/>
        <n v="615.13"/>
        <n v="302.10000000000002"/>
        <n v="153.78"/>
        <n v="13.5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47.442095023151" createdVersion="3" refreshedVersion="6" minRefreshableVersion="3" recordCount="3" xr:uid="{BAD37A11-D694-4F49-A6BE-BCAF05E20668}">
  <cacheSource type="external" connectionId="3"/>
  <cacheFields count="33">
    <cacheField name="PERIODO" numFmtId="0">
      <sharedItems containsSemiMixedTypes="0" containsString="0" containsNumber="1" containsInteger="1" minValue="201909" maxValue="201909" count="1">
        <n v="201909"/>
      </sharedItems>
    </cacheField>
    <cacheField name="Plan Presupuestal" numFmtId="0">
      <sharedItems count="1">
        <s v="001"/>
      </sharedItems>
    </cacheField>
    <cacheField name="Nombre Plan Presupuestal" numFmtId="0">
      <sharedItems count="1">
        <s v="REAL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pto Flujo de Efectivo" numFmtId="0">
      <sharedItems count="3">
        <s v="4102"/>
        <s v="7102"/>
        <s v="7105"/>
      </sharedItems>
    </cacheField>
    <cacheField name="Nombre Cpto Flujo Efectivo" numFmtId="0">
      <sharedItems count="3">
        <s v="INTERESES LARGO PLAZO"/>
        <s v="PAGO CUOTA CORRIENTE"/>
        <s v="PRESTAMOS ENTIDADES FINANCIERAS LP"/>
      </sharedItems>
    </cacheField>
    <cacheField name="Cpto Mayor Flujo Efectivo" numFmtId="0">
      <sharedItems count="2">
        <s v="4"/>
        <s v="7"/>
      </sharedItems>
    </cacheField>
    <cacheField name="CPTO_FE_N1" numFmtId="0">
      <sharedItems count="2">
        <s v="4"/>
        <s v="7"/>
      </sharedItems>
    </cacheField>
    <cacheField name="Nombre Cpto FE N1" numFmtId="0">
      <sharedItems count="2">
        <s v="MOVIMIENTO FINANCIERO"/>
        <s v="ACTIVIDADES DE FINANCIACION"/>
      </sharedItems>
    </cacheField>
    <cacheField name="CPTO_FE_N2" numFmtId="0">
      <sharedItems count="3">
        <s v="4102"/>
        <s v="7102"/>
        <s v="7105"/>
      </sharedItems>
    </cacheField>
    <cacheField name="Nombre Cpto FE N2" numFmtId="0">
      <sharedItems count="3">
        <s v="INTERESES LARGO PLAZO"/>
        <s v="PAGO CUOTA CORRIENTE"/>
        <s v="PRESTAMOS ENTIDADES FINANCIERAS LP"/>
      </sharedItems>
    </cacheField>
    <cacheField name="CPTO_FE_N3" numFmtId="0">
      <sharedItems count="3">
        <s v="4102"/>
        <s v="7102"/>
        <s v="7105"/>
      </sharedItems>
    </cacheField>
    <cacheField name="Nombre Cpto FE N3" numFmtId="0">
      <sharedItems count="3">
        <s v="INTERESES LARGO PLAZO"/>
        <s v="PAGO CUOTA CORRIENTE"/>
        <s v="PRESTAMOS ENTIDADES FINANCIERAS LP"/>
      </sharedItems>
    </cacheField>
    <cacheField name="CPTO_FE_N4" numFmtId="0">
      <sharedItems count="3">
        <s v="4102"/>
        <s v="7102"/>
        <s v="7105"/>
      </sharedItems>
    </cacheField>
    <cacheField name="Nombre Cpto FE N4" numFmtId="0">
      <sharedItems count="3">
        <s v="INTERESES LARGO PLAZO"/>
        <s v="PAGO CUOTA CORRIENTE"/>
        <s v="PRESTAMOS ENTIDADES FINANCIERAS LP"/>
      </sharedItems>
    </cacheField>
    <cacheField name="CPTO_FE_N5" numFmtId="0">
      <sharedItems count="3">
        <s v="4102"/>
        <s v="7102"/>
        <s v="7105"/>
      </sharedItems>
    </cacheField>
    <cacheField name="Nombre Cpto FE N5" numFmtId="0">
      <sharedItems count="3">
        <s v="INTERESES LARGO PLAZO"/>
        <s v="PAGO CUOTA CORRIENTE"/>
        <s v="PRESTAMOS ENTIDADES FINANCIERAS LP"/>
      </sharedItems>
    </cacheField>
    <cacheField name="CPTO_FE_N6" numFmtId="0">
      <sharedItems count="3">
        <s v="4102"/>
        <s v="7102"/>
        <s v="7105"/>
      </sharedItems>
    </cacheField>
    <cacheField name="Nombre Cpto FE N6" numFmtId="0">
      <sharedItems count="3">
        <s v="INTERESES LARGO PLAZO"/>
        <s v="PAGO CUOTA CORRIENTE"/>
        <s v="PRESTAMOS ENTIDADES FINANCIERAS LP"/>
      </sharedItems>
    </cacheField>
    <cacheField name="CPTO_FE_N7" numFmtId="0">
      <sharedItems count="3">
        <s v="4102"/>
        <s v="7102"/>
        <s v="7105"/>
      </sharedItems>
    </cacheField>
    <cacheField name="Nombre Cpto FE N7" numFmtId="0">
      <sharedItems count="3">
        <s v="INTERESES LARGO PLAZO"/>
        <s v="PAGO CUOTA CORRIENTE"/>
        <s v="PRESTAMOS ENTIDADES FINANCIERAS LP"/>
      </sharedItems>
    </cacheField>
    <cacheField name="CPTO_FE_N8" numFmtId="0">
      <sharedItems count="3">
        <s v="4102"/>
        <s v="7102"/>
        <s v="7105"/>
      </sharedItems>
    </cacheField>
    <cacheField name="Nombre Cpto FE N8" numFmtId="0">
      <sharedItems count="3">
        <s v="INTERESES LARGO PLAZO"/>
        <s v="PAGO CUOTA CORRIENTE"/>
        <s v="PRESTAMOS ENTIDADES FINANCIERAS LP"/>
      </sharedItems>
    </cacheField>
    <cacheField name="Centro de Operacion" numFmtId="0">
      <sharedItems count="1">
        <s v="450"/>
      </sharedItems>
    </cacheField>
    <cacheField name="Nombre Centro de Operacion" numFmtId="0">
      <sharedItems count="1">
        <s v="ADMINSTRATIVO"/>
      </sharedItems>
    </cacheField>
    <cacheField name="REGIONAL" numFmtId="0">
      <sharedItems count="1">
        <s v="00"/>
      </sharedItems>
    </cacheField>
    <cacheField name="nombre Regional" numFmtId="0">
      <sharedItems count="1">
        <s v="ADMINISTRATIVOS"/>
      </sharedItems>
    </cacheField>
    <cacheField name="Unidad de Negocio" numFmtId="0">
      <sharedItems count="1">
        <s v="00"/>
      </sharedItems>
    </cacheField>
    <cacheField name="nombre Unidad de Negocio" numFmtId="0">
      <sharedItems count="1">
        <s v="ADMINISTRATIVA FICIERA"/>
      </sharedItems>
    </cacheField>
    <cacheField name="FECHA" numFmtId="0">
      <sharedItems containsString="0" containsBlank="1" count="1">
        <m/>
      </sharedItems>
    </cacheField>
    <cacheField name="AÑO" numFmtId="0">
      <sharedItems containsSemiMixedTypes="0" containsString="0" containsNumber="1" containsInteger="1" minValue="2019" maxValue="2019" count="1">
        <n v="2019"/>
      </sharedItems>
    </cacheField>
    <cacheField name="Valor Presupuesto" numFmtId="0">
      <sharedItems containsSemiMixedTypes="0" containsString="0" containsNumber="1" containsInteger="1" minValue="15856000" maxValue="89381000" count="3">
        <n v="15856000"/>
        <n v="89381000"/>
        <n v="4200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4">
  <r>
    <x v="0"/>
    <x v="0"/>
    <x v="0"/>
    <x v="0"/>
    <x v="0"/>
    <x v="0"/>
    <x v="0"/>
    <n v="4273"/>
    <s v="411881957"/>
    <s v="SAJAN, INC"/>
    <s v="20190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CONTABILIACION ERRADA EN EL RECIBO DE CAJA"/>
    <n v="1234905"/>
    <n v="0"/>
    <n v="1234905"/>
    <x v="0"/>
    <x v="0"/>
    <x v="0"/>
    <n v="1234905"/>
    <n v="0"/>
    <n v="1234905"/>
    <x v="0"/>
    <x v="0"/>
    <x v="0"/>
    <n v="1234905"/>
    <n v="0"/>
    <n v="1234905"/>
    <x v="0"/>
    <x v="0"/>
    <x v="0"/>
    <x v="0"/>
    <x v="0"/>
  </r>
  <r>
    <x v="1"/>
    <x v="0"/>
    <x v="0"/>
    <x v="0"/>
    <x v="0"/>
    <x v="1"/>
    <x v="1"/>
    <n v="2377"/>
    <s v="860037707"/>
    <s v="SBS SEGUROS COLOMBIA S.A."/>
    <s v="20190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s v="860037707"/>
    <s v="SBS SEGURO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POLIZA QUE SE CANCELO DE LA CAMIONETA PARA GERENCIA"/>
    <n v="0"/>
    <n v="2315865.0699999998"/>
    <n v="-2315865.0699999998"/>
    <x v="0"/>
    <x v="0"/>
    <x v="0"/>
    <n v="0"/>
    <n v="2315865.0699999998"/>
    <n v="-2315865.0699999998"/>
    <x v="0"/>
    <x v="0"/>
    <x v="0"/>
    <n v="0"/>
    <n v="2315865.0699999998"/>
    <n v="-2315865.0699999998"/>
    <x v="0"/>
    <x v="0"/>
    <x v="0"/>
    <x v="0"/>
    <x v="0"/>
  </r>
  <r>
    <x v="1"/>
    <x v="0"/>
    <x v="0"/>
    <x v="0"/>
    <x v="0"/>
    <x v="2"/>
    <x v="2"/>
    <n v="19702"/>
    <s v="890399003"/>
    <s v="EMPRESAS MUNICIPALES DE CALI E.I.C.E.  E.S.P."/>
    <s v="201902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 PAGO SERVCIOS PUBLICOS DIR NAL / TEL 6689603/6683173/6672449/668388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22"/>
    <s v="830053800"/>
    <s v="TELMEX COLOMBIA SA"/>
    <s v="2019022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ELMEX - TRANSMISION AREA TECNICA -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36"/>
    <s v="830122566"/>
    <s v="COLOMBIA TELECOMUNICACIONES S.A.-ESP"/>
    <s v="201906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.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3"/>
    <x v="3"/>
    <n v="201"/>
    <s v="1045717933"/>
    <s v="PALMA GUTIERREZ KETTY JANETH"/>
    <s v="201907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473169"/>
    <s v="VEGA JIMENEZ ALBERTO TUL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RVICIO DE DESINSTALACION DE 3 AIRES ACONDICIONADOS E INSTALACION DE 2 POR TRASLADO CON CAMBIO DE GAS Y TUBERIA"/>
    <n v="0"/>
    <n v="80"/>
    <n v="-80"/>
    <x v="0"/>
    <x v="0"/>
    <x v="0"/>
    <n v="0"/>
    <n v="80"/>
    <n v="-80"/>
    <x v="0"/>
    <x v="0"/>
    <x v="0"/>
    <n v="0"/>
    <n v="80"/>
    <n v="-80"/>
    <x v="0"/>
    <x v="0"/>
    <x v="0"/>
    <x v="0"/>
    <x v="0"/>
  </r>
  <r>
    <x v="4"/>
    <x v="0"/>
    <x v="0"/>
    <x v="1"/>
    <x v="1"/>
    <x v="4"/>
    <x v="4"/>
    <n v="672"/>
    <s v="1143135964"/>
    <s v="CABALLERO GONZALEZ JORGE ELIECER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6"/>
    <n v="0"/>
    <n v="656"/>
    <x v="0"/>
    <x v="0"/>
    <x v="0"/>
    <n v="656"/>
    <n v="0"/>
    <n v="656"/>
    <x v="0"/>
    <x v="0"/>
    <x v="0"/>
    <n v="656"/>
    <n v="0"/>
    <n v="656"/>
    <x v="0"/>
    <x v="0"/>
    <x v="0"/>
    <x v="0"/>
    <x v="0"/>
  </r>
  <r>
    <x v="4"/>
    <x v="0"/>
    <x v="0"/>
    <x v="2"/>
    <x v="2"/>
    <x v="3"/>
    <x v="3"/>
    <n v="233"/>
    <s v="1020483062"/>
    <s v="QUINTERO ESPINAL JUAN DAVID"/>
    <s v="201908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3"/>
    <x v="3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PORQUE EL TRABAJADOR YA NO LABORA EN LA EMPRESA"/>
    <n v="3368"/>
    <n v="0"/>
    <n v="3368"/>
    <x v="0"/>
    <x v="0"/>
    <x v="0"/>
    <n v="3368"/>
    <n v="0"/>
    <n v="3368"/>
    <x v="0"/>
    <x v="0"/>
    <x v="0"/>
    <n v="3368"/>
    <n v="0"/>
    <n v="3368"/>
    <x v="0"/>
    <x v="0"/>
    <x v="0"/>
    <x v="0"/>
    <x v="0"/>
  </r>
  <r>
    <x v="4"/>
    <x v="0"/>
    <x v="0"/>
    <x v="1"/>
    <x v="1"/>
    <x v="4"/>
    <x v="4"/>
    <n v="677"/>
    <s v="8763635"/>
    <s v="MOLINA PACHECO LUIS EDUARDO"/>
    <s v="201908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98"/>
    <n v="0"/>
    <n v="698"/>
    <x v="0"/>
    <x v="0"/>
    <x v="0"/>
    <n v="698"/>
    <n v="0"/>
    <n v="698"/>
    <x v="0"/>
    <x v="0"/>
    <x v="0"/>
    <n v="698"/>
    <n v="0"/>
    <n v="698"/>
    <x v="0"/>
    <x v="0"/>
    <x v="0"/>
    <x v="0"/>
    <x v="0"/>
  </r>
  <r>
    <x v="4"/>
    <x v="0"/>
    <x v="0"/>
    <x v="0"/>
    <x v="0"/>
    <x v="2"/>
    <x v="2"/>
    <n v="20691"/>
    <s v="800153993"/>
    <s v="COMUNICACIONES CELULAR S A  COMCEL S A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CLARO - LOCUTOR VIRTUAL  -13/07/2019 - 12/08/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71"/>
    <s v="860047239"/>
    <s v="MUSICAR S.A.S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LA CTA.1588059900 COMPENSACION ACTIVOS FIJOS."/>
    <n v="843"/>
    <n v="0"/>
    <n v="843"/>
    <x v="0"/>
    <x v="0"/>
    <x v="0"/>
    <n v="843"/>
    <n v="0"/>
    <n v="843"/>
    <x v="0"/>
    <x v="0"/>
    <x v="0"/>
    <n v="843"/>
    <n v="0"/>
    <n v="843"/>
    <x v="0"/>
    <x v="0"/>
    <x v="0"/>
    <x v="0"/>
    <x v="0"/>
  </r>
  <r>
    <x v="2"/>
    <x v="0"/>
    <x v="0"/>
    <x v="0"/>
    <x v="0"/>
    <x v="5"/>
    <x v="5"/>
    <n v="431"/>
    <s v="1151939784"/>
    <s v="MOLINEROS MARTINEZ JOHANA ALEXANDRA"/>
    <s v="20190613"/>
    <x v="2"/>
    <x v="0"/>
    <x v="2"/>
    <x v="0"/>
    <x v="0"/>
    <x v="0"/>
    <x v="0"/>
    <x v="0"/>
    <x v="1"/>
    <x v="1"/>
    <x v="2"/>
    <x v="2"/>
    <x v="2"/>
    <x v="2"/>
    <x v="2"/>
    <x v="2"/>
    <x v="2"/>
    <x v="2"/>
    <x v="2"/>
    <x v="2"/>
    <x v="1"/>
    <x v="1"/>
    <x v="1"/>
    <x v="1"/>
    <x v="1"/>
    <x v="1"/>
    <s v="1151939784"/>
    <s v="MOLINEROS MARTINEZ JOHANA ALEXAND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CILIACION JOHANA MOLINEROS MARTINEZ"/>
    <n v="5786978"/>
    <n v="0"/>
    <n v="5786978"/>
    <x v="0"/>
    <x v="0"/>
    <x v="0"/>
    <n v="5786978"/>
    <n v="0"/>
    <n v="5786978"/>
    <x v="0"/>
    <x v="0"/>
    <x v="0"/>
    <n v="5786978"/>
    <n v="0"/>
    <n v="5786978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25023"/>
    <n v="0"/>
    <n v="25023"/>
    <x v="0"/>
    <x v="0"/>
    <x v="0"/>
    <n v="25023"/>
    <n v="0"/>
    <n v="25023"/>
    <x v="0"/>
    <x v="0"/>
    <x v="0"/>
    <n v="25023"/>
    <n v="0"/>
    <n v="25023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4846959.1100000003"/>
    <n v="0"/>
    <n v="4846959.1100000003"/>
    <x v="0"/>
    <x v="0"/>
    <x v="0"/>
    <n v="0"/>
    <n v="0"/>
    <n v="0"/>
    <x v="0"/>
    <x v="0"/>
    <x v="0"/>
    <x v="0"/>
    <x v="0"/>
  </r>
  <r>
    <x v="1"/>
    <x v="0"/>
    <x v="0"/>
    <x v="0"/>
    <x v="0"/>
    <x v="2"/>
    <x v="2"/>
    <n v="19681"/>
    <s v="890102018"/>
    <s v="MUNICIPIO DE BARRANQUILLA"/>
    <s v="20190222"/>
    <x v="4"/>
    <x v="0"/>
    <x v="4"/>
    <x v="0"/>
    <x v="0"/>
    <x v="0"/>
    <x v="0"/>
    <x v="0"/>
    <x v="0"/>
    <x v="0"/>
    <x v="4"/>
    <x v="4"/>
    <x v="4"/>
    <x v="4"/>
    <x v="4"/>
    <x v="4"/>
    <x v="4"/>
    <x v="4"/>
    <x v="4"/>
    <x v="4"/>
    <x v="2"/>
    <x v="2"/>
    <x v="0"/>
    <x v="0"/>
    <x v="0"/>
    <x v="0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ANUAL BARRANQUILLA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4"/>
    <x v="0"/>
    <x v="0"/>
    <x v="2"/>
    <x v="2"/>
    <x v="3"/>
    <x v="3"/>
    <n v="231"/>
    <s v="830046791"/>
    <s v="COFACE SERVICES COLOMBIA S.A."/>
    <s v="20190821"/>
    <x v="5"/>
    <x v="0"/>
    <x v="5"/>
    <x v="0"/>
    <x v="0"/>
    <x v="0"/>
    <x v="0"/>
    <x v="0"/>
    <x v="0"/>
    <x v="0"/>
    <x v="5"/>
    <x v="5"/>
    <x v="5"/>
    <x v="5"/>
    <x v="5"/>
    <x v="5"/>
    <x v="5"/>
    <x v="5"/>
    <x v="5"/>
    <x v="5"/>
    <x v="4"/>
    <x v="4"/>
    <x v="0"/>
    <x v="0"/>
    <x v="0"/>
    <x v="0"/>
    <s v="830046791"/>
    <s v="COFACE SERVICE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PARA CERTIFICACION COFACE CLIENTE TELEPERFORMANCE"/>
    <n v="1518"/>
    <n v="0"/>
    <n v="1518"/>
    <x v="0"/>
    <x v="0"/>
    <x v="0"/>
    <n v="1518"/>
    <n v="0"/>
    <n v="1518"/>
    <x v="0"/>
    <x v="0"/>
    <x v="0"/>
    <n v="1518"/>
    <n v="0"/>
    <n v="1518"/>
    <x v="0"/>
    <x v="0"/>
    <x v="0"/>
    <x v="0"/>
    <x v="0"/>
  </r>
  <r>
    <x v="3"/>
    <x v="0"/>
    <x v="0"/>
    <x v="0"/>
    <x v="0"/>
    <x v="7"/>
    <x v="7"/>
    <n v="25836"/>
    <s v="890903407"/>
    <s v="SEGUROS GENERALES SURAMERICANA S.A"/>
    <s v="20190703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1"/>
    <x v="1"/>
    <x v="1"/>
    <x v="1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"/>
    <n v="300"/>
    <n v="0"/>
    <n v="300"/>
    <x v="0"/>
    <x v="0"/>
    <x v="0"/>
    <n v="300"/>
    <n v="0"/>
    <n v="300"/>
    <x v="0"/>
    <x v="0"/>
    <x v="0"/>
    <n v="300"/>
    <n v="0"/>
    <n v="300"/>
    <x v="0"/>
    <x v="0"/>
    <x v="0"/>
    <x v="0"/>
    <x v="0"/>
  </r>
  <r>
    <x v="1"/>
    <x v="0"/>
    <x v="0"/>
    <x v="1"/>
    <x v="1"/>
    <x v="4"/>
    <x v="4"/>
    <n v="638"/>
    <s v="72187626"/>
    <s v="ULLOA ORTEGA LUIS FERNANDO"/>
    <s v="2019021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130"/>
    <n v="0"/>
    <n v="130"/>
    <x v="0"/>
    <x v="0"/>
    <x v="0"/>
    <n v="130"/>
    <n v="0"/>
    <n v="130"/>
    <x v="0"/>
    <x v="0"/>
    <x v="0"/>
    <n v="130"/>
    <n v="0"/>
    <n v="130"/>
    <x v="0"/>
    <x v="0"/>
    <x v="0"/>
    <x v="0"/>
    <x v="0"/>
  </r>
  <r>
    <x v="1"/>
    <x v="0"/>
    <x v="0"/>
    <x v="0"/>
    <x v="0"/>
    <x v="2"/>
    <x v="2"/>
    <n v="19761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BANCOLOMBIA - FEB 2019"/>
    <n v="6594.99"/>
    <n v="0"/>
    <n v="6594.99"/>
    <x v="0"/>
    <x v="0"/>
    <x v="0"/>
    <n v="6594.99"/>
    <n v="0"/>
    <n v="6594.99"/>
    <x v="0"/>
    <x v="0"/>
    <x v="0"/>
    <n v="6594.99"/>
    <n v="0"/>
    <n v="6594.99"/>
    <x v="0"/>
    <x v="0"/>
    <x v="0"/>
    <x v="0"/>
    <x v="0"/>
  </r>
  <r>
    <x v="5"/>
    <x v="0"/>
    <x v="0"/>
    <x v="0"/>
    <x v="0"/>
    <x v="2"/>
    <x v="2"/>
    <n v="19805"/>
    <s v="800197368"/>
    <s v="DIRECCION DE IMPUESTOS Y ADUANAS NACIONALES"/>
    <s v="201903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FEBRERO-2019."/>
    <n v="415.37"/>
    <n v="0"/>
    <n v="415.37"/>
    <x v="0"/>
    <x v="0"/>
    <x v="0"/>
    <n v="415.37"/>
    <n v="0"/>
    <n v="415.37"/>
    <x v="0"/>
    <x v="0"/>
    <x v="0"/>
    <n v="415.37"/>
    <n v="0"/>
    <n v="415.37"/>
    <x v="0"/>
    <x v="0"/>
    <x v="0"/>
    <x v="0"/>
    <x v="0"/>
  </r>
  <r>
    <x v="5"/>
    <x v="0"/>
    <x v="0"/>
    <x v="0"/>
    <x v="0"/>
    <x v="2"/>
    <x v="2"/>
    <n v="19884"/>
    <s v="900092385"/>
    <s v="EPM TELECOMUNICACIONES S.A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LINEA 01800 - (01/02/2019-28/02/2019)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8"/>
    <s v="830053800"/>
    <s v="TELMEX COLOMBIA SA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 - SERVICIO TRASMISIONES AREA TECNICA EN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9"/>
    <s v="890399003"/>
    <s v="EMPRESAS MUNICIPALES DE CALI E.I.C.E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SERVICIO TELEFONICO 6683884-6672449-6683173-6689603 Y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1"/>
    <x v="1"/>
    <x v="4"/>
    <x v="4"/>
    <n v="657"/>
    <s v="1143135964"/>
    <s v="CABALLERO GONZALEZ JORGE ELIECER"/>
    <s v="2019052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22"/>
    <n v="-322"/>
    <x v="0"/>
    <x v="0"/>
    <x v="0"/>
    <n v="0"/>
    <n v="322"/>
    <n v="-322"/>
    <x v="0"/>
    <x v="0"/>
    <x v="0"/>
    <n v="0"/>
    <n v="322"/>
    <n v="-322"/>
    <x v="0"/>
    <x v="0"/>
    <x v="0"/>
    <x v="0"/>
    <x v="0"/>
  </r>
  <r>
    <x v="6"/>
    <x v="0"/>
    <x v="0"/>
    <x v="1"/>
    <x v="1"/>
    <x v="4"/>
    <x v="4"/>
    <n v="659"/>
    <s v="72187626"/>
    <s v="ULLOA ORTEGA LUIS FERNANDO"/>
    <s v="201905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1120"/>
    <n v="-1120"/>
    <x v="0"/>
    <x v="0"/>
    <x v="0"/>
    <n v="0"/>
    <n v="1120"/>
    <n v="-1120"/>
    <x v="0"/>
    <x v="0"/>
    <x v="0"/>
    <n v="0"/>
    <n v="1120"/>
    <n v="-1120"/>
    <x v="0"/>
    <x v="0"/>
    <x v="0"/>
    <x v="0"/>
    <x v="0"/>
  </r>
  <r>
    <x v="6"/>
    <x v="0"/>
    <x v="0"/>
    <x v="0"/>
    <x v="0"/>
    <x v="2"/>
    <x v="2"/>
    <n v="20237"/>
    <s v="900092385"/>
    <s v="EPM TELECOMUNICACIONES S.A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LINEA 01800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241"/>
    <s v="890399003"/>
    <s v="EMPRESAS MUNICIPALES DE CALI E.I.C.E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MCALI -SERVICIOS PUBLICOS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1"/>
    <x v="1"/>
    <x v="4"/>
    <x v="4"/>
    <n v="661"/>
    <s v="1143441764"/>
    <s v="RODRIGUEZ PADILLA GIOVANNI ENRIQUE"/>
    <s v="201906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950"/>
    <n v="0"/>
    <n v="950"/>
    <x v="0"/>
    <x v="0"/>
    <x v="0"/>
    <n v="950"/>
    <n v="0"/>
    <n v="950"/>
    <x v="0"/>
    <x v="0"/>
    <x v="0"/>
    <n v="950"/>
    <n v="0"/>
    <n v="950"/>
    <x v="0"/>
    <x v="0"/>
    <x v="0"/>
    <x v="0"/>
    <x v="0"/>
  </r>
  <r>
    <x v="2"/>
    <x v="0"/>
    <x v="0"/>
    <x v="0"/>
    <x v="0"/>
    <x v="2"/>
    <x v="2"/>
    <n v="20396"/>
    <s v="860007660"/>
    <s v="HELM BANK S.A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ES DE JUNIO 2019"/>
    <n v="0.76"/>
    <n v="0"/>
    <n v="0.76"/>
    <x v="0"/>
    <x v="0"/>
    <x v="0"/>
    <n v="0.76"/>
    <n v="0"/>
    <n v="0.76"/>
    <x v="0"/>
    <x v="0"/>
    <x v="0"/>
    <n v="0.76"/>
    <n v="0"/>
    <n v="0.76"/>
    <x v="0"/>
    <x v="0"/>
    <x v="0"/>
    <x v="0"/>
    <x v="0"/>
  </r>
  <r>
    <x v="2"/>
    <x v="0"/>
    <x v="0"/>
    <x v="0"/>
    <x v="0"/>
    <x v="2"/>
    <x v="2"/>
    <n v="20443"/>
    <s v="995"/>
    <s v="GASTOS DE MENOR CUANTIA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RECLASIFICACION DE U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3"/>
    <x v="0"/>
    <x v="0"/>
    <x v="0"/>
    <x v="0"/>
    <x v="2"/>
    <x v="2"/>
    <n v="20475"/>
    <s v="890904996"/>
    <s v="EMPRESAS PUBLICAS DE MEDELLIN ESP"/>
    <s v="201907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PUBLICOS CP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467"/>
    <s v="512"/>
    <s v="PAGOS POR NOMINA"/>
    <s v="2019071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512"/>
    <s v="PAGOS POR NOM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ONCILIACION NOMINA MES DE JUNIO DE 2019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0"/>
    <x v="0"/>
    <x v="2"/>
    <x v="2"/>
    <n v="20516"/>
    <s v="900092385"/>
    <s v="EPM TELECOMUNICACIONES S.A.  E.S.P."/>
    <s v="201907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LINEA 0180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4"/>
    <x v="4"/>
    <n v="670"/>
    <s v="72187626"/>
    <s v="ULLOA ORTEGA LUIS FERNANDO"/>
    <s v="201907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8"/>
    <n v="-8"/>
    <x v="0"/>
    <x v="0"/>
    <x v="0"/>
    <n v="0"/>
    <n v="8"/>
    <n v="-8"/>
    <x v="0"/>
    <x v="0"/>
    <x v="0"/>
    <n v="0"/>
    <n v="8"/>
    <n v="-8"/>
    <x v="0"/>
    <x v="0"/>
    <x v="0"/>
    <x v="0"/>
    <x v="0"/>
  </r>
  <r>
    <x v="3"/>
    <x v="0"/>
    <x v="0"/>
    <x v="0"/>
    <x v="0"/>
    <x v="2"/>
    <x v="2"/>
    <n v="20530"/>
    <s v="900092385"/>
    <s v="EPM TELECOMUNICACIONES S.A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IGO UNE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4"/>
    <s v="860007660"/>
    <s v="HELM BANK S.A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46"/>
    <n v="0"/>
    <n v="0.46"/>
    <x v="0"/>
    <x v="0"/>
    <x v="0"/>
    <n v="0.46"/>
    <n v="0"/>
    <n v="0.46"/>
    <x v="0"/>
    <x v="0"/>
    <x v="0"/>
    <n v="0.46"/>
    <n v="0"/>
    <n v="0.46"/>
    <x v="0"/>
    <x v="0"/>
    <x v="0"/>
    <x v="0"/>
    <x v="0"/>
  </r>
  <r>
    <x v="4"/>
    <x v="0"/>
    <x v="0"/>
    <x v="0"/>
    <x v="0"/>
    <x v="2"/>
    <x v="2"/>
    <n v="20636"/>
    <s v="800153993"/>
    <s v="COMUNICACIONES CELULAR S A  COMCEL S A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ODEM CARTELERAS SUPER INTER (JUN-JUL 2019)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0"/>
    <x v="0"/>
    <x v="2"/>
    <x v="2"/>
    <n v="20678"/>
    <s v="860007660"/>
    <s v="HELM BANK S.A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4000000000000001"/>
    <n v="0"/>
    <n v="0.14000000000000001"/>
    <x v="0"/>
    <x v="0"/>
    <x v="0"/>
    <n v="0.14000000000000001"/>
    <n v="0"/>
    <n v="0.14000000000000001"/>
    <x v="0"/>
    <x v="0"/>
    <x v="0"/>
    <n v="0.14000000000000001"/>
    <n v="0"/>
    <n v="0.14000000000000001"/>
    <x v="0"/>
    <x v="0"/>
    <x v="0"/>
    <x v="0"/>
    <x v="0"/>
  </r>
  <r>
    <x v="4"/>
    <x v="0"/>
    <x v="0"/>
    <x v="0"/>
    <x v="0"/>
    <x v="2"/>
    <x v="2"/>
    <n v="20682"/>
    <s v="890905055"/>
    <s v="EMPRESAS VARIAS DE MEDELLIN E.S.P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5055"/>
    <s v="EMPRESAS VARIAS DE MEDELLIN E.S.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83"/>
    <s v="830037248"/>
    <s v="CODENSA S.A. ES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-ENERGIA -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4"/>
    <x v="0"/>
    <x v="0"/>
    <x v="0"/>
    <x v="0"/>
    <x v="2"/>
    <x v="2"/>
    <n v="20684"/>
    <s v="890399003"/>
    <s v="EMPRESAS MUNICIPALES DE CALI E.I.C.E.  E.S.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EMCALI - TEL 6683884-6672449-6683173-6689603 Y SERVICIOS PUBLICOS DIR NAL Y CO 4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0"/>
    <x v="0"/>
    <x v="2"/>
    <x v="2"/>
    <n v="19870"/>
    <s v="890200162"/>
    <s v="ACUEDUCTO METROPOLITANO DE BUCARAMANGA S.A. E.S.P."/>
    <s v="2019032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0162"/>
    <s v="ACUEDUCTO METROPOLITANO DE BUCARAMANGA S.A.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39"/>
    <s v="899999061"/>
    <s v="BOGOTA DISTRITO CAPITAL"/>
    <s v="201901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9999061"/>
    <s v="BOGOTA DISTRITO CAPI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D Y CCIO - NOV-DIC  2018- CO BOGOTA"/>
    <n v="439"/>
    <n v="0"/>
    <n v="439"/>
    <x v="0"/>
    <x v="0"/>
    <x v="0"/>
    <n v="439"/>
    <n v="0"/>
    <n v="439"/>
    <x v="0"/>
    <x v="0"/>
    <x v="0"/>
    <n v="439"/>
    <n v="0"/>
    <n v="439"/>
    <x v="0"/>
    <x v="0"/>
    <x v="0"/>
    <x v="0"/>
    <x v="0"/>
  </r>
  <r>
    <x v="0"/>
    <x v="0"/>
    <x v="0"/>
    <x v="0"/>
    <x v="0"/>
    <x v="2"/>
    <x v="2"/>
    <n v="19542"/>
    <s v="830122566"/>
    <s v="COLOMBIA TELECOMUNICACIONES S.A.-ESP"/>
    <s v="2019011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VARIOS C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0"/>
    <x v="0"/>
    <x v="0"/>
    <x v="1"/>
    <x v="1"/>
    <x v="4"/>
    <x v="4"/>
    <n v="634"/>
    <s v="1143135964"/>
    <s v="CABALLERO GONZALEZ JORGE ELIECER"/>
    <s v="201901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6"/>
    <n v="0"/>
    <n v="266"/>
    <x v="0"/>
    <x v="0"/>
    <x v="0"/>
    <n v="266"/>
    <n v="0"/>
    <n v="266"/>
    <x v="0"/>
    <x v="0"/>
    <x v="0"/>
    <n v="266"/>
    <n v="0"/>
    <n v="266"/>
    <x v="0"/>
    <x v="0"/>
    <x v="0"/>
    <x v="0"/>
    <x v="0"/>
  </r>
  <r>
    <x v="5"/>
    <x v="0"/>
    <x v="0"/>
    <x v="0"/>
    <x v="0"/>
    <x v="2"/>
    <x v="2"/>
    <n v="19825"/>
    <s v="890480184"/>
    <s v="DISTRITO TURISTICO Y CULTURAL DE CARTAGENA DE IND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480184"/>
    <s v="DISTRITO TURISTICO Y CULTURAL DE CARTAGENA DE IND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CARTAGENA ENE-FEB 2019"/>
    <n v="187"/>
    <n v="0"/>
    <n v="187"/>
    <x v="0"/>
    <x v="0"/>
    <x v="0"/>
    <n v="187"/>
    <n v="0"/>
    <n v="187"/>
    <x v="0"/>
    <x v="0"/>
    <x v="0"/>
    <n v="187"/>
    <n v="0"/>
    <n v="187"/>
    <x v="0"/>
    <x v="0"/>
    <x v="0"/>
    <x v="0"/>
    <x v="0"/>
  </r>
  <r>
    <x v="5"/>
    <x v="0"/>
    <x v="0"/>
    <x v="0"/>
    <x v="0"/>
    <x v="2"/>
    <x v="2"/>
    <n v="19821"/>
    <s v="890399011"/>
    <s v="MUNICIPIO DE SANTIAGO DE CAL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11"/>
    <s v="MUNICIPIO DE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ICA- CALI ( ENE-FEB 2019)"/>
    <n v="152"/>
    <n v="0"/>
    <n v="152"/>
    <x v="0"/>
    <x v="0"/>
    <x v="0"/>
    <n v="152"/>
    <n v="0"/>
    <n v="152"/>
    <x v="0"/>
    <x v="0"/>
    <x v="0"/>
    <n v="152"/>
    <n v="0"/>
    <n v="152"/>
    <x v="0"/>
    <x v="0"/>
    <x v="0"/>
    <x v="0"/>
    <x v="0"/>
  </r>
  <r>
    <x v="5"/>
    <x v="0"/>
    <x v="0"/>
    <x v="0"/>
    <x v="0"/>
    <x v="2"/>
    <x v="2"/>
    <n v="19822"/>
    <s v="890102018"/>
    <s v="MUNICIPIO DE BARRANQUILLA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BARRANQUILLA (ENE-FEB 2019)"/>
    <n v="408"/>
    <n v="0"/>
    <n v="408"/>
    <x v="0"/>
    <x v="0"/>
    <x v="0"/>
    <n v="408"/>
    <n v="0"/>
    <n v="408"/>
    <x v="0"/>
    <x v="0"/>
    <x v="0"/>
    <n v="408"/>
    <n v="0"/>
    <n v="408"/>
    <x v="0"/>
    <x v="0"/>
    <x v="0"/>
    <x v="0"/>
    <x v="0"/>
  </r>
  <r>
    <x v="5"/>
    <x v="0"/>
    <x v="0"/>
    <x v="1"/>
    <x v="1"/>
    <x v="4"/>
    <x v="4"/>
    <n v="645"/>
    <s v="22656341"/>
    <s v="ARIAS QUINTERO NELVIS ROCIO"/>
    <s v="201903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0"/>
    <n v="-20"/>
    <x v="0"/>
    <x v="0"/>
    <x v="0"/>
    <n v="0"/>
    <n v="20"/>
    <n v="-20"/>
    <x v="0"/>
    <x v="0"/>
    <x v="0"/>
    <n v="0"/>
    <n v="20"/>
    <n v="-20"/>
    <x v="0"/>
    <x v="0"/>
    <x v="0"/>
    <x v="0"/>
    <x v="0"/>
  </r>
  <r>
    <x v="7"/>
    <x v="0"/>
    <x v="0"/>
    <x v="0"/>
    <x v="0"/>
    <x v="2"/>
    <x v="2"/>
    <n v="19978"/>
    <s v="800153993"/>
    <s v="COMUNICACIONES CELULAR S A  COMCEL S A"/>
    <s v="2019040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VARIOS CO- COOMEVA CARTELER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70"/>
    <s v="830053800"/>
    <s v="TELMEX COLOMBIA SA"/>
    <s v="2019050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- ABRI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93"/>
    <s v="900397145"/>
    <s v="TILETRADE S.A."/>
    <s v="201905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 01 - (Saldo de Utilidad del año 2015-Utilidad del año 2017)- USD 3585.16 (TRM 3313.80)"/>
    <n v="0.21"/>
    <n v="0"/>
    <n v="0.21"/>
    <x v="0"/>
    <x v="0"/>
    <x v="0"/>
    <n v="0.21"/>
    <n v="0"/>
    <n v="0.21"/>
    <x v="0"/>
    <x v="0"/>
    <x v="0"/>
    <n v="0.21"/>
    <n v="0"/>
    <n v="0.21"/>
    <x v="0"/>
    <x v="0"/>
    <x v="0"/>
    <x v="0"/>
    <x v="0"/>
  </r>
  <r>
    <x v="2"/>
    <x v="0"/>
    <x v="0"/>
    <x v="0"/>
    <x v="0"/>
    <x v="2"/>
    <x v="2"/>
    <n v="20362"/>
    <s v="830037248"/>
    <s v="CODENSA S.A. ESP.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NERGIA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2"/>
    <x v="0"/>
    <x v="0"/>
    <x v="1"/>
    <x v="1"/>
    <x v="4"/>
    <x v="4"/>
    <n v="662"/>
    <s v="1143135964"/>
    <s v="CABALLERO GONZALEZ JORGE ELIECER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80"/>
    <n v="-280"/>
    <x v="0"/>
    <x v="0"/>
    <x v="0"/>
    <n v="0"/>
    <n v="280"/>
    <n v="-280"/>
    <x v="0"/>
    <x v="0"/>
    <x v="0"/>
    <n v="0"/>
    <n v="280"/>
    <n v="-280"/>
    <x v="0"/>
    <x v="0"/>
    <x v="0"/>
    <x v="0"/>
    <x v="0"/>
  </r>
  <r>
    <x v="3"/>
    <x v="0"/>
    <x v="0"/>
    <x v="1"/>
    <x v="1"/>
    <x v="4"/>
    <x v="4"/>
    <n v="667"/>
    <s v="72187626"/>
    <s v="ULLOA ORTEGA LUIS FERNANDO"/>
    <s v="201907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0"/>
    <n v="0"/>
    <n v="650"/>
    <x v="0"/>
    <x v="0"/>
    <x v="0"/>
    <n v="650"/>
    <n v="0"/>
    <n v="650"/>
    <x v="0"/>
    <x v="0"/>
    <x v="0"/>
    <n v="650"/>
    <n v="0"/>
    <n v="650"/>
    <x v="0"/>
    <x v="0"/>
    <x v="0"/>
    <x v="0"/>
    <x v="0"/>
  </r>
  <r>
    <x v="3"/>
    <x v="0"/>
    <x v="0"/>
    <x v="0"/>
    <x v="0"/>
    <x v="2"/>
    <x v="2"/>
    <n v="20537"/>
    <s v="890399003"/>
    <s v="EMPRESAS MUNICIPALES DE CALI E.I.C.E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TEL 6683884/6683173/6689603/6672449 Y SERVICIOS PUBLICOS DIR NAL"/>
    <n v="3"/>
    <n v="0"/>
    <n v="3"/>
    <x v="0"/>
    <x v="0"/>
    <x v="0"/>
    <n v="3"/>
    <n v="0"/>
    <n v="3"/>
    <x v="0"/>
    <x v="0"/>
    <x v="0"/>
    <n v="3"/>
    <n v="0"/>
    <n v="3"/>
    <x v="0"/>
    <x v="0"/>
    <x v="0"/>
    <x v="0"/>
    <x v="0"/>
  </r>
  <r>
    <x v="4"/>
    <x v="0"/>
    <x v="0"/>
    <x v="0"/>
    <x v="0"/>
    <x v="3"/>
    <x v="3"/>
    <n v="348"/>
    <s v="10131503"/>
    <s v="CANO RIOS JUAN CARLOS"/>
    <s v="201908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10131503"/>
    <s v="CANO RIOS JUAN CARL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ANTICIPO AP - 450 - 200 REGISTRO CAMARA DE COMERCI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5"/>
    <x v="0"/>
    <x v="0"/>
    <x v="0"/>
    <x v="0"/>
    <x v="2"/>
    <x v="2"/>
    <n v="19923"/>
    <s v="860047239"/>
    <s v="MUSICAR S.A.S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UENTA DE DIVIDENDOS AÑO 2018"/>
    <n v="109"/>
    <n v="0"/>
    <n v="109"/>
    <x v="0"/>
    <x v="0"/>
    <x v="0"/>
    <n v="109"/>
    <n v="0"/>
    <n v="109"/>
    <x v="0"/>
    <x v="0"/>
    <x v="0"/>
    <n v="109"/>
    <n v="0"/>
    <n v="109"/>
    <x v="0"/>
    <x v="0"/>
    <x v="0"/>
    <x v="0"/>
    <x v="0"/>
  </r>
  <r>
    <x v="7"/>
    <x v="0"/>
    <x v="0"/>
    <x v="0"/>
    <x v="0"/>
    <x v="2"/>
    <x v="2"/>
    <n v="19936"/>
    <s v="860047239"/>
    <s v="MUSICAR S.A.S"/>
    <s v="201904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MARZO-2019"/>
    <n v="161.6"/>
    <n v="0"/>
    <n v="161.6"/>
    <x v="0"/>
    <x v="0"/>
    <x v="0"/>
    <n v="161.6"/>
    <n v="0"/>
    <n v="161.6"/>
    <x v="0"/>
    <x v="0"/>
    <x v="0"/>
    <n v="161.6"/>
    <n v="0"/>
    <n v="161.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7191.9"/>
    <n v="0"/>
    <n v="7191.9000000000005"/>
    <x v="0"/>
    <x v="0"/>
    <x v="0"/>
    <n v="7191.9"/>
    <n v="0"/>
    <n v="7191.9000000000005"/>
    <x v="0"/>
    <x v="0"/>
    <x v="0"/>
    <n v="7191.9"/>
    <n v="0"/>
    <n v="7191.900000000000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06142312021030"/>
    <s v="MUSICAR EL SALVADOR S.A DE CV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796235"/>
    <n v="0"/>
    <n v="796235"/>
    <x v="0"/>
    <x v="0"/>
    <x v="0"/>
    <n v="796235"/>
    <n v="0"/>
    <n v="796235"/>
    <x v="0"/>
    <x v="0"/>
    <x v="0"/>
    <n v="796235"/>
    <n v="0"/>
    <n v="79623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3130"/>
    <n v="0"/>
    <n v="3130"/>
    <x v="0"/>
    <x v="0"/>
    <x v="0"/>
    <n v="3130"/>
    <n v="0"/>
    <n v="3130"/>
    <x v="0"/>
    <x v="0"/>
    <x v="0"/>
    <n v="3130"/>
    <n v="0"/>
    <n v="313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349.99"/>
    <n v="0"/>
    <n v="3349.9900000000002"/>
    <x v="0"/>
    <x v="0"/>
    <x v="0"/>
    <n v="3349.99"/>
    <n v="0"/>
    <n v="3349.9900000000002"/>
    <x v="0"/>
    <x v="0"/>
    <x v="0"/>
    <n v="3349.99"/>
    <n v="0"/>
    <n v="3349.9900000000002"/>
    <x v="0"/>
    <x v="0"/>
    <x v="0"/>
    <x v="0"/>
    <x v="0"/>
  </r>
  <r>
    <x v="3"/>
    <x v="0"/>
    <x v="0"/>
    <x v="3"/>
    <x v="3"/>
    <x v="4"/>
    <x v="4"/>
    <n v="145"/>
    <s v="1128280824"/>
    <s v="OSORIO SANCHEZ WILSON DARIO"/>
    <s v="201907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71595034"/>
    <s v="RIOS NARANJO MAR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ÓN DE 1%"/>
    <n v="3200"/>
    <n v="0"/>
    <n v="3200"/>
    <x v="0"/>
    <x v="0"/>
    <x v="0"/>
    <n v="3200"/>
    <n v="0"/>
    <n v="3200"/>
    <x v="0"/>
    <x v="0"/>
    <x v="0"/>
    <n v="3200"/>
    <n v="0"/>
    <n v="3200"/>
    <x v="0"/>
    <x v="0"/>
    <x v="0"/>
    <x v="0"/>
    <x v="0"/>
  </r>
  <r>
    <x v="4"/>
    <x v="0"/>
    <x v="0"/>
    <x v="0"/>
    <x v="0"/>
    <x v="3"/>
    <x v="3"/>
    <n v="349"/>
    <s v="1118283794"/>
    <s v="ROMERO SERNA LEIDY CATALINA"/>
    <s v="20190808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1118283794"/>
    <s v="ROMERO SERNA LEIDY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ON RENTA"/>
    <n v="93600"/>
    <n v="0"/>
    <n v="93600"/>
    <x v="0"/>
    <x v="0"/>
    <x v="0"/>
    <n v="93600"/>
    <n v="0"/>
    <n v="93600"/>
    <x v="0"/>
    <x v="0"/>
    <x v="0"/>
    <n v="93600"/>
    <n v="0"/>
    <n v="93600"/>
    <x v="0"/>
    <x v="0"/>
    <x v="0"/>
    <x v="0"/>
    <x v="0"/>
  </r>
  <r>
    <x v="4"/>
    <x v="0"/>
    <x v="0"/>
    <x v="3"/>
    <x v="3"/>
    <x v="3"/>
    <x v="3"/>
    <n v="167"/>
    <s v="71590620"/>
    <s v="RINCON CARO ODILIO DE JESUS"/>
    <s v="20190822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1037265346"/>
    <s v="RUIZ MORALES JUAN GUILLERM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LEVANTAMIENTO DE Y DIBUJO DE REDES C.C. AVENTURA"/>
    <n v="18000"/>
    <n v="0"/>
    <n v="18000"/>
    <x v="0"/>
    <x v="0"/>
    <x v="0"/>
    <n v="18000"/>
    <n v="0"/>
    <n v="18000"/>
    <x v="0"/>
    <x v="0"/>
    <x v="0"/>
    <n v="18000"/>
    <n v="0"/>
    <n v="180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032471"/>
    <s v="ARDILA CORTES NATHA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42140339"/>
    <s v="LILI JOHANA RUIZ GRAJ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900576027"/>
    <s v="LOMA LIND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144142603"/>
    <s v="MINA PEREZ Y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30400"/>
    <n v="0"/>
    <n v="30400"/>
    <x v="0"/>
    <x v="0"/>
    <x v="0"/>
    <n v="30400"/>
    <n v="0"/>
    <n v="30400"/>
    <x v="0"/>
    <x v="0"/>
    <x v="0"/>
    <n v="30400"/>
    <n v="0"/>
    <n v="304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142334"/>
    <s v="PACHAMAMA HOTEL SP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25650"/>
    <n v="0"/>
    <n v="25650"/>
    <x v="0"/>
    <x v="0"/>
    <x v="0"/>
    <n v="25650"/>
    <n v="0"/>
    <n v="25650"/>
    <x v="0"/>
    <x v="0"/>
    <x v="0"/>
    <n v="25650"/>
    <n v="0"/>
    <n v="2565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238756"/>
    <s v="ROMAN PERDOMO MONICA JULI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1"/>
    <x v="0"/>
    <x v="0"/>
    <x v="0"/>
    <x v="0"/>
    <x v="2"/>
    <x v="2"/>
    <n v="19682"/>
    <s v="890102018"/>
    <s v="MUNICIPIO DE BARRANQUILLA"/>
    <s v="201902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RRECION DEC 2016 BARRAQUILLA"/>
    <n v="392000"/>
    <n v="0"/>
    <n v="392000"/>
    <x v="0"/>
    <x v="0"/>
    <x v="0"/>
    <n v="392000"/>
    <n v="0"/>
    <n v="392000"/>
    <x v="0"/>
    <x v="0"/>
    <x v="0"/>
    <n v="392000"/>
    <n v="0"/>
    <n v="392000"/>
    <x v="0"/>
    <x v="0"/>
    <x v="0"/>
    <x v="0"/>
    <x v="0"/>
  </r>
  <r>
    <x v="6"/>
    <x v="0"/>
    <x v="0"/>
    <x v="0"/>
    <x v="0"/>
    <x v="2"/>
    <x v="2"/>
    <n v="20251"/>
    <s v="890905211"/>
    <s v="MUNICIPIO DE MEDELLIN - SECRETARIA DE MOVILIDAD"/>
    <s v="20190531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 PAGO IND Y CIO MEDELLIN - ABRIL Y MAYO 2019"/>
    <n v="26828"/>
    <n v="0"/>
    <n v="26828"/>
    <x v="0"/>
    <x v="0"/>
    <x v="0"/>
    <n v="26828"/>
    <n v="0"/>
    <n v="26828"/>
    <x v="0"/>
    <x v="0"/>
    <x v="0"/>
    <n v="26828"/>
    <n v="0"/>
    <n v="26828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ON AE-229 PAGO SANCION EXTEMPORANEIDAD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NDUSTRIA Y COMERCIO MES DE MARZO REGIONAL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4"/>
    <x v="0"/>
    <x v="0"/>
    <x v="4"/>
    <x v="4"/>
    <x v="3"/>
    <x v="3"/>
    <n v="232"/>
    <s v="1098657994"/>
    <s v="HERNANDEZ ROJAS JOHN EDISON"/>
    <s v="20190816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MPUESTO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0"/>
    <x v="0"/>
    <x v="0"/>
    <x v="2"/>
    <x v="2"/>
    <x v="9"/>
    <x v="9"/>
    <n v="1446"/>
    <s v="860049609"/>
    <s v="MILSEN S.A.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ANUAL $679.874"/>
    <n v="679874"/>
    <n v="0"/>
    <n v="679874"/>
    <x v="0"/>
    <x v="0"/>
    <x v="0"/>
    <n v="679874"/>
    <n v="0"/>
    <n v="679874"/>
    <x v="0"/>
    <x v="0"/>
    <x v="0"/>
    <n v="679874"/>
    <n v="0"/>
    <n v="679874"/>
    <x v="0"/>
    <x v="0"/>
    <x v="0"/>
    <x v="0"/>
    <x v="0"/>
  </r>
  <r>
    <x v="0"/>
    <x v="0"/>
    <x v="0"/>
    <x v="5"/>
    <x v="5"/>
    <x v="1"/>
    <x v="1"/>
    <n v="45487"/>
    <s v="800047266"/>
    <s v="QUIMICA COLOMBIANA LTDA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7266"/>
    <s v="QUIMICA COLOMBIA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766"/>
    <n v="0"/>
    <n v="1766"/>
    <x v="0"/>
    <x v="0"/>
    <x v="0"/>
    <n v="1766"/>
    <n v="0"/>
    <n v="1766"/>
    <x v="0"/>
    <x v="0"/>
    <x v="0"/>
    <n v="1766"/>
    <n v="0"/>
    <n v="1766"/>
    <x v="0"/>
    <x v="0"/>
    <x v="0"/>
    <x v="0"/>
    <x v="0"/>
  </r>
  <r>
    <x v="0"/>
    <x v="0"/>
    <x v="0"/>
    <x v="5"/>
    <x v="5"/>
    <x v="9"/>
    <x v="9"/>
    <n v="1198"/>
    <s v="805012610"/>
    <s v="FINES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62.778 En factura."/>
    <n v="62778"/>
    <n v="0"/>
    <n v="62778"/>
    <x v="0"/>
    <x v="0"/>
    <x v="0"/>
    <n v="62778"/>
    <n v="0"/>
    <n v="62778"/>
    <x v="0"/>
    <x v="0"/>
    <x v="0"/>
    <n v="62778"/>
    <n v="0"/>
    <n v="62778"/>
    <x v="0"/>
    <x v="0"/>
    <x v="0"/>
    <x v="0"/>
    <x v="0"/>
  </r>
  <r>
    <x v="0"/>
    <x v="0"/>
    <x v="0"/>
    <x v="5"/>
    <x v="5"/>
    <x v="1"/>
    <x v="1"/>
    <n v="45499"/>
    <s v="805009741"/>
    <s v="COOMEVA MEDICINA PREPAGAD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2"/>
    <x v="2"/>
    <x v="9"/>
    <x v="9"/>
    <n v="1449"/>
    <s v="860032450"/>
    <s v="POLLO FIESTA LTD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32450"/>
    <s v="POLLO FIESTA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4.5% POR SEMESTRE ANTICIPADO."/>
    <n v="30632"/>
    <n v="0"/>
    <n v="30632"/>
    <x v="0"/>
    <x v="0"/>
    <x v="0"/>
    <n v="30632"/>
    <n v="0"/>
    <n v="30632"/>
    <x v="0"/>
    <x v="0"/>
    <x v="0"/>
    <n v="30632"/>
    <n v="0"/>
    <n v="30632"/>
    <x v="0"/>
    <x v="0"/>
    <x v="0"/>
    <x v="0"/>
    <x v="0"/>
  </r>
  <r>
    <x v="0"/>
    <x v="0"/>
    <x v="0"/>
    <x v="6"/>
    <x v="6"/>
    <x v="9"/>
    <x v="9"/>
    <n v="1106"/>
    <s v="830073145"/>
    <s v="ADMINISTRADORA DE HOTELES NUEVA GRANADA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73145"/>
    <s v="ADMINISTRADORA DE HOTELES NUEVA GRAN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4 DESCUENTO  DE $ 23.579 POR PAGO ANTICIPADO"/>
    <n v="23579"/>
    <n v="0"/>
    <n v="23579"/>
    <x v="0"/>
    <x v="0"/>
    <x v="0"/>
    <n v="23579"/>
    <n v="0"/>
    <n v="23579"/>
    <x v="0"/>
    <x v="0"/>
    <x v="0"/>
    <n v="23579"/>
    <n v="0"/>
    <n v="23579"/>
    <x v="0"/>
    <x v="0"/>
    <x v="0"/>
    <x v="0"/>
    <x v="0"/>
  </r>
  <r>
    <x v="0"/>
    <x v="0"/>
    <x v="0"/>
    <x v="3"/>
    <x v="3"/>
    <x v="9"/>
    <x v="9"/>
    <n v="1079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8 - DCTO 9% AÑO ANTICIPADO $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3"/>
    <x v="3"/>
    <x v="9"/>
    <x v="9"/>
    <n v="1080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450 DCTO 9% PAGO ANTICIPADO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1"/>
    <x v="1"/>
    <x v="1"/>
    <x v="1"/>
    <n v="23996"/>
    <s v="890102508"/>
    <s v="SALES INMOBILIARIA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642"/>
    <s v="800196652"/>
    <s v="INSTITUTO CARDIOVASCULAR Y DE ESTUDIOS ESPECIALE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96652"/>
    <s v="INSTITUTO CARDIOVASCULAR Y DE ESTUDIOS ESPECI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"/>
    <n v="228"/>
    <n v="0"/>
    <n v="228"/>
    <x v="0"/>
    <x v="0"/>
    <x v="0"/>
    <n v="228"/>
    <n v="0"/>
    <n v="228"/>
    <x v="0"/>
    <x v="0"/>
    <x v="0"/>
    <n v="228"/>
    <n v="0"/>
    <n v="228"/>
    <x v="0"/>
    <x v="0"/>
    <x v="0"/>
    <x v="0"/>
    <x v="0"/>
  </r>
  <r>
    <x v="0"/>
    <x v="0"/>
    <x v="0"/>
    <x v="5"/>
    <x v="5"/>
    <x v="1"/>
    <x v="1"/>
    <n v="45647"/>
    <s v="890901218"/>
    <s v="TIENDAS DE ROPA INTIMA S.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1218"/>
    <s v="TIENDAS DE ROPA INTIM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3"/>
    <x v="3"/>
    <x v="1"/>
    <x v="1"/>
    <n v="37092"/>
    <s v="890900943"/>
    <s v="COLOMBIANA DE COMERCIO S.A. Y/O ALKOSTO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943"/>
    <s v="COLOMBIANA DE COMERCIO S.A. Y/O ALKOSTO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200"/>
    <n v="1239"/>
    <n v="0"/>
    <n v="1239"/>
    <x v="0"/>
    <x v="0"/>
    <x v="0"/>
    <n v="1239"/>
    <n v="0"/>
    <n v="1239"/>
    <x v="0"/>
    <x v="0"/>
    <x v="0"/>
    <n v="1239"/>
    <n v="0"/>
    <n v="1239"/>
    <x v="0"/>
    <x v="0"/>
    <x v="0"/>
    <x v="0"/>
    <x v="0"/>
  </r>
  <r>
    <x v="1"/>
    <x v="0"/>
    <x v="0"/>
    <x v="5"/>
    <x v="5"/>
    <x v="1"/>
    <x v="1"/>
    <n v="45693"/>
    <s v="860046201"/>
    <s v="FORTOX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5"/>
    <x v="5"/>
    <x v="1"/>
    <x v="1"/>
    <n v="45694"/>
    <s v="860037900"/>
    <s v="CONSTRUCTORA  BOLIVAR  CALI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5"/>
    <x v="5"/>
    <x v="9"/>
    <x v="9"/>
    <n v="1226"/>
    <s v="890300513"/>
    <s v="CLINICA DE OCCIDENTE S.A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513"/>
    <s v="CLINICA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del 2.25 %trimestre anticipado.$13.570."/>
    <n v="13570"/>
    <n v="0"/>
    <n v="13570"/>
    <x v="0"/>
    <x v="0"/>
    <x v="0"/>
    <n v="13570"/>
    <n v="0"/>
    <n v="13570"/>
    <x v="0"/>
    <x v="0"/>
    <x v="0"/>
    <n v="13570"/>
    <n v="0"/>
    <n v="13570"/>
    <x v="0"/>
    <x v="0"/>
    <x v="0"/>
    <x v="0"/>
    <x v="0"/>
  </r>
  <r>
    <x v="1"/>
    <x v="0"/>
    <x v="0"/>
    <x v="2"/>
    <x v="2"/>
    <x v="9"/>
    <x v="9"/>
    <n v="1463"/>
    <s v="800076770"/>
    <s v="CORRIENTE ALTERNA LTDA"/>
    <s v="201902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76770"/>
    <s v="CORRIENTE ALTER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4.5 % POR PAGO DE SEMESTRE ANTICIPADO."/>
    <n v="49881"/>
    <n v="0"/>
    <n v="49881"/>
    <x v="0"/>
    <x v="0"/>
    <x v="0"/>
    <n v="49881"/>
    <n v="0"/>
    <n v="49881"/>
    <x v="0"/>
    <x v="0"/>
    <x v="0"/>
    <n v="49881"/>
    <n v="0"/>
    <n v="49881"/>
    <x v="0"/>
    <x v="0"/>
    <x v="0"/>
    <x v="0"/>
    <x v="0"/>
  </r>
  <r>
    <x v="1"/>
    <x v="0"/>
    <x v="0"/>
    <x v="5"/>
    <x v="5"/>
    <x v="1"/>
    <x v="1"/>
    <n v="45940"/>
    <s v="805009741"/>
    <s v="COOMEVA MEDICINA PREPAGADA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OMEV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5"/>
    <x v="5"/>
    <x v="1"/>
    <x v="1"/>
    <n v="45926"/>
    <s v="890304375"/>
    <s v="INDUGRAFICAS S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1"/>
    <x v="0"/>
    <x v="0"/>
    <x v="5"/>
    <x v="5"/>
    <x v="9"/>
    <x v="9"/>
    <n v="1235"/>
    <s v="890315430"/>
    <s v="AGRICOLA COLOMBIANA S.A.-AGRICOL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5430"/>
    <s v="AGRICOLA COLOMBIANA S.A.-AGRI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DESCUENTO $32.944, RETEIVA $20.865"/>
    <n v="32944"/>
    <n v="0"/>
    <n v="32944"/>
    <x v="0"/>
    <x v="0"/>
    <x v="0"/>
    <n v="32944"/>
    <n v="0"/>
    <n v="32944"/>
    <x v="0"/>
    <x v="0"/>
    <x v="0"/>
    <n v="32944"/>
    <n v="0"/>
    <n v="32944"/>
    <x v="0"/>
    <x v="0"/>
    <x v="0"/>
    <x v="0"/>
    <x v="0"/>
  </r>
  <r>
    <x v="0"/>
    <x v="0"/>
    <x v="0"/>
    <x v="3"/>
    <x v="3"/>
    <x v="1"/>
    <x v="1"/>
    <n v="37029"/>
    <s v="800032634"/>
    <s v="CENTRO COMERCIAL METRO CENTRO 1"/>
    <s v="201901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00032634"/>
    <s v="CENTRO COMERCIAL METRO CENTRO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1"/>
    <n v="13120"/>
    <n v="0"/>
    <n v="13120"/>
    <x v="0"/>
    <x v="0"/>
    <x v="0"/>
    <n v="13120"/>
    <n v="0"/>
    <n v="13120"/>
    <x v="0"/>
    <x v="0"/>
    <x v="0"/>
    <n v="13120"/>
    <n v="0"/>
    <n v="13120"/>
    <x v="0"/>
    <x v="0"/>
    <x v="0"/>
    <x v="0"/>
    <x v="0"/>
  </r>
  <r>
    <x v="5"/>
    <x v="0"/>
    <x v="0"/>
    <x v="3"/>
    <x v="3"/>
    <x v="1"/>
    <x v="1"/>
    <n v="37258"/>
    <s v="811007125"/>
    <s v="RIO ASEO TOTAL"/>
    <s v="20190305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540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2"/>
    <x v="0"/>
    <x v="0"/>
    <x v="0"/>
    <x v="0"/>
    <x v="0"/>
    <x v="0"/>
    <n v="4316"/>
    <s v="900138858"/>
    <s v="BRECCIA SALUD S.A.S."/>
    <s v="20190619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900138858"/>
    <s v="BRECCIA SALUD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FUENTE"/>
    <n v="57233"/>
    <n v="0"/>
    <n v="57233"/>
    <x v="0"/>
    <x v="0"/>
    <x v="0"/>
    <n v="57233"/>
    <n v="0"/>
    <n v="57233"/>
    <x v="0"/>
    <x v="0"/>
    <x v="0"/>
    <n v="57233"/>
    <n v="0"/>
    <n v="57233"/>
    <x v="0"/>
    <x v="0"/>
    <x v="0"/>
    <x v="0"/>
    <x v="0"/>
  </r>
  <r>
    <x v="3"/>
    <x v="0"/>
    <x v="0"/>
    <x v="0"/>
    <x v="0"/>
    <x v="0"/>
    <x v="0"/>
    <n v="4342"/>
    <s v="900699086"/>
    <s v="CLINICA PALMA REAL S.A.S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3"/>
    <x v="0"/>
    <x v="0"/>
    <x v="0"/>
    <x v="0"/>
    <x v="2"/>
    <x v="2"/>
    <n v="20538"/>
    <s v="890905211"/>
    <s v="MUNICIPIO DE MEDELLIN - SECRETARIA DE MOVILIDAD"/>
    <s v="20190730"/>
    <x v="13"/>
    <x v="0"/>
    <x v="13"/>
    <x v="0"/>
    <x v="0"/>
    <x v="0"/>
    <x v="0"/>
    <x v="0"/>
    <x v="2"/>
    <x v="2"/>
    <x v="7"/>
    <x v="7"/>
    <x v="13"/>
    <x v="13"/>
    <x v="13"/>
    <x v="13"/>
    <x v="13"/>
    <x v="13"/>
    <x v="13"/>
    <x v="13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MPUESTOS CO 464 ( JUNIO/JULIO) 2019"/>
    <n v="26801"/>
    <n v="0"/>
    <n v="26801"/>
    <x v="0"/>
    <x v="0"/>
    <x v="0"/>
    <n v="26801"/>
    <n v="0"/>
    <n v="26801"/>
    <x v="0"/>
    <x v="0"/>
    <x v="0"/>
    <n v="26801"/>
    <n v="0"/>
    <n v="268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5"/>
    <x v="0"/>
    <x v="0"/>
    <x v="3"/>
    <x v="3"/>
    <x v="7"/>
    <x v="7"/>
    <n v="3485"/>
    <s v="890903407"/>
    <s v="SEGUROS GENERALES SURAMERICANA S.A"/>
    <s v="20190318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3"/>
    <x v="3"/>
    <x v="0"/>
    <x v="0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 - ESE HOSPITAL MENTAL DE ANTIOQUI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4"/>
    <s v="1143441764"/>
    <s v="RODRIGUEZ PADILLA GIOVANNI ENRIQUE"/>
    <s v="201903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520"/>
    <n v="-520"/>
    <x v="0"/>
    <x v="0"/>
    <x v="0"/>
    <n v="0"/>
    <n v="520"/>
    <n v="-520"/>
    <x v="0"/>
    <x v="0"/>
    <x v="0"/>
    <n v="0"/>
    <n v="520"/>
    <n v="-520"/>
    <x v="0"/>
    <x v="0"/>
    <x v="0"/>
    <x v="0"/>
    <x v="0"/>
  </r>
  <r>
    <x v="0"/>
    <x v="0"/>
    <x v="0"/>
    <x v="0"/>
    <x v="0"/>
    <x v="2"/>
    <x v="2"/>
    <n v="19555"/>
    <s v="830053800"/>
    <s v="TELMEX COLOMBIA SA"/>
    <s v="2019012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60"/>
    <s v="830122566"/>
    <s v="COLOMBIA TELECOMUNICACIONES S.A.-ESP"/>
    <s v="201901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S SERVICIOS PUBLICOS Y TEL VARIOS C.O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32"/>
    <s v="890399003"/>
    <s v="EMPRESAS MUNICIPALES DE CALI E.I.C.E.  E.S.P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SERVICIOS PUBLICOS DIR NAL Y CO CALI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28"/>
    <s v="890904996"/>
    <s v="EMPRESAS PUBLICAS DE MEDELLIN ESP"/>
    <s v="201903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SERVICIOS  CO 464-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2"/>
    <s v="72187626"/>
    <s v="ULLOA ORTEGA LUIS FERNANDO"/>
    <s v="2019031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68"/>
    <n v="-368"/>
    <x v="0"/>
    <x v="0"/>
    <x v="0"/>
    <n v="0"/>
    <n v="368"/>
    <n v="-368"/>
    <x v="0"/>
    <x v="0"/>
    <x v="0"/>
    <n v="0"/>
    <n v="368"/>
    <n v="-368"/>
    <x v="0"/>
    <x v="0"/>
    <x v="0"/>
    <x v="0"/>
    <x v="0"/>
  </r>
  <r>
    <x v="5"/>
    <x v="0"/>
    <x v="0"/>
    <x v="1"/>
    <x v="1"/>
    <x v="4"/>
    <x v="4"/>
    <n v="647"/>
    <s v="8763635"/>
    <s v="MOLINA PACHECO LUIS EDUARDO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"/>
    <n v="0"/>
    <n v="26"/>
    <x v="0"/>
    <x v="0"/>
    <x v="0"/>
    <n v="26"/>
    <n v="0"/>
    <n v="26"/>
    <x v="0"/>
    <x v="0"/>
    <x v="0"/>
    <n v="26"/>
    <n v="0"/>
    <n v="26"/>
    <x v="0"/>
    <x v="0"/>
    <x v="0"/>
    <x v="0"/>
    <x v="0"/>
  </r>
  <r>
    <x v="7"/>
    <x v="0"/>
    <x v="0"/>
    <x v="1"/>
    <x v="1"/>
    <x v="4"/>
    <x v="4"/>
    <n v="649"/>
    <s v="1143441764"/>
    <s v="RODRIGUEZ PADILLA GIOVANNI ENRIQUE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70"/>
    <n v="0"/>
    <n v="670"/>
    <x v="0"/>
    <x v="0"/>
    <x v="0"/>
    <n v="670"/>
    <n v="0"/>
    <n v="670"/>
    <x v="0"/>
    <x v="0"/>
    <x v="0"/>
    <n v="670"/>
    <n v="0"/>
    <n v="670"/>
    <x v="0"/>
    <x v="0"/>
    <x v="0"/>
    <x v="0"/>
    <x v="0"/>
  </r>
  <r>
    <x v="7"/>
    <x v="0"/>
    <x v="0"/>
    <x v="1"/>
    <x v="1"/>
    <x v="4"/>
    <x v="4"/>
    <n v="648"/>
    <s v="72187626"/>
    <s v="ULLOA ORTEGA LUIS FERNANDO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2187626"/>
    <s v="ULLOA ORTEGA LUIS FERNAN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914"/>
    <n v="-914"/>
    <x v="0"/>
    <x v="0"/>
    <x v="0"/>
    <n v="0"/>
    <n v="914"/>
    <n v="-914"/>
    <x v="0"/>
    <x v="0"/>
    <x v="0"/>
    <n v="0"/>
    <n v="914"/>
    <n v="-914"/>
    <x v="0"/>
    <x v="0"/>
    <x v="0"/>
    <x v="0"/>
    <x v="0"/>
  </r>
  <r>
    <x v="7"/>
    <x v="0"/>
    <x v="0"/>
    <x v="0"/>
    <x v="0"/>
    <x v="2"/>
    <x v="2"/>
    <n v="20056"/>
    <s v="890399003"/>
    <s v="EMPRESAS MUNICIPALES DE CALI E.I.C.E.  E.S.P."/>
    <s v="201904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146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ABRIL-2019."/>
    <n v="467.95"/>
    <n v="0"/>
    <n v="467.95"/>
    <x v="0"/>
    <x v="0"/>
    <x v="0"/>
    <n v="467.95"/>
    <n v="0"/>
    <n v="467.95"/>
    <x v="0"/>
    <x v="0"/>
    <x v="0"/>
    <n v="467.95"/>
    <n v="0"/>
    <n v="467.95"/>
    <x v="0"/>
    <x v="0"/>
    <x v="0"/>
    <x v="0"/>
    <x v="0"/>
  </r>
  <r>
    <x v="6"/>
    <x v="0"/>
    <x v="0"/>
    <x v="0"/>
    <x v="0"/>
    <x v="2"/>
    <x v="2"/>
    <n v="20153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VA IIBIMESTRE ABRIL-2019"/>
    <n v="152.61000000000001"/>
    <n v="0"/>
    <n v="152.61000000000001"/>
    <x v="0"/>
    <x v="0"/>
    <x v="0"/>
    <n v="152.61000000000001"/>
    <n v="0"/>
    <n v="152.61000000000001"/>
    <x v="0"/>
    <x v="0"/>
    <x v="0"/>
    <n v="152.61000000000001"/>
    <n v="0"/>
    <n v="152.61000000000001"/>
    <x v="0"/>
    <x v="0"/>
    <x v="0"/>
    <x v="0"/>
    <x v="0"/>
  </r>
  <r>
    <x v="6"/>
    <x v="0"/>
    <x v="0"/>
    <x v="1"/>
    <x v="1"/>
    <x v="4"/>
    <x v="4"/>
    <n v="653"/>
    <s v="72187626"/>
    <s v="ULLOA ORTEGA LUIS FERNANDO"/>
    <s v="2019050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774"/>
    <n v="-774"/>
    <x v="0"/>
    <x v="0"/>
    <x v="0"/>
    <n v="0"/>
    <n v="774"/>
    <n v="-774"/>
    <x v="0"/>
    <x v="0"/>
    <x v="0"/>
    <n v="0"/>
    <n v="774"/>
    <n v="-774"/>
    <x v="0"/>
    <x v="0"/>
    <x v="0"/>
    <x v="0"/>
    <x v="0"/>
  </r>
  <r>
    <x v="6"/>
    <x v="0"/>
    <x v="0"/>
    <x v="0"/>
    <x v="0"/>
    <x v="2"/>
    <x v="2"/>
    <n v="20223"/>
    <s v="830053800"/>
    <s v="TELMEX COLOMBIA SA"/>
    <s v="201905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- SERVICIO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42"/>
    <s v="860007660"/>
    <s v="HELM BANK S.A.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2"/>
    <n v="0"/>
    <n v="0.12"/>
    <x v="0"/>
    <x v="0"/>
    <x v="0"/>
    <n v="0.12"/>
    <n v="0"/>
    <n v="0.12"/>
    <x v="0"/>
    <x v="0"/>
    <x v="0"/>
    <n v="0.12"/>
    <n v="0"/>
    <n v="0.12"/>
    <x v="0"/>
    <x v="0"/>
    <x v="0"/>
    <x v="0"/>
    <x v="0"/>
  </r>
  <r>
    <x v="2"/>
    <x v="0"/>
    <x v="0"/>
    <x v="0"/>
    <x v="0"/>
    <x v="2"/>
    <x v="2"/>
    <n v="20346"/>
    <s v="800153993"/>
    <s v="COMUNICACIONES CELULAR S A  COMCEL S A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462 / INGENIERIA-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66"/>
    <s v="72136462"/>
    <s v="GARIZABALO MONTES RAFAEL ANGEL"/>
    <s v="201906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72136462"/>
    <s v="GARIZABALO MONTES RAFAEL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NOMINA MES ABRIL-2019"/>
    <n v="25038"/>
    <n v="0"/>
    <n v="25038"/>
    <x v="0"/>
    <x v="0"/>
    <x v="0"/>
    <n v="25038"/>
    <n v="0"/>
    <n v="25038"/>
    <x v="0"/>
    <x v="0"/>
    <x v="0"/>
    <n v="25038"/>
    <n v="0"/>
    <n v="25038"/>
    <x v="0"/>
    <x v="0"/>
    <x v="0"/>
    <x v="0"/>
    <x v="0"/>
  </r>
  <r>
    <x v="2"/>
    <x v="0"/>
    <x v="0"/>
    <x v="0"/>
    <x v="0"/>
    <x v="2"/>
    <x v="2"/>
    <n v="20379"/>
    <s v="890399003"/>
    <s v="EMPRESAS MUNICIPALES DE CALI E.I.C.E.  E.S.P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CO 460 Y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9"/>
    <s v="800153993"/>
    <s v="COMUNICACIONES CELULAR S A  COMCEL S A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SERVICIO CO 462 Y SERVICIO DIR NAL INGENIERIA Y 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47"/>
    <s v="830122566"/>
    <s v="COLOMBIA TELECOMUNICACIONES S.A.-ESP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CO 465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57"/>
    <s v="890399003"/>
    <s v="EMPRESAS MUNICIPALES DE CALI E.I.C.E.  E.S.P.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 Y CO 46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83"/>
    <s v="830114921"/>
    <s v="COLOMBIA MOVIL S.A. E S P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14921"/>
    <s v="COLOMBIA MOVIL S.A. E S 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LOCUTOR VIRTUAL CO 465"/>
    <n v="0"/>
    <n v="1"/>
    <n v="-1"/>
    <x v="0"/>
    <x v="0"/>
    <x v="0"/>
    <n v="0"/>
    <n v="1"/>
    <n v="-1"/>
    <x v="0"/>
    <x v="0"/>
    <x v="0"/>
    <n v="0"/>
    <n v="1"/>
    <n v="-1"/>
    <x v="0"/>
    <x v="0"/>
    <x v="0"/>
    <x v="0"/>
    <x v="0"/>
  </r>
  <r>
    <x v="1"/>
    <x v="0"/>
    <x v="0"/>
    <x v="0"/>
    <x v="0"/>
    <x v="2"/>
    <x v="2"/>
    <n v="19765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LEASING"/>
    <n v="299"/>
    <n v="0"/>
    <n v="299"/>
    <x v="0"/>
    <x v="0"/>
    <x v="0"/>
    <n v="299"/>
    <n v="0"/>
    <n v="299"/>
    <x v="0"/>
    <x v="0"/>
    <x v="0"/>
    <n v="299"/>
    <n v="0"/>
    <n v="299"/>
    <x v="0"/>
    <x v="0"/>
    <x v="0"/>
    <x v="0"/>
    <x v="0"/>
  </r>
  <r>
    <x v="5"/>
    <x v="0"/>
    <x v="0"/>
    <x v="0"/>
    <x v="0"/>
    <x v="2"/>
    <x v="2"/>
    <n v="19906"/>
    <s v="890201210"/>
    <s v="EMPRESA DE TELECOMUNICACIONES DE BUCARAMANGA S.A.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1210"/>
    <s v="EMPRESA DE TELECOMUNICACIONES DE BUCARAMANG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EFONICO CO 46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917"/>
    <s v="890399003"/>
    <s v="EMPRESAS MUNICIPALES DE CALI E.I.C.E.  E.S.P.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DE FACTURAS DE SERVICIOS DIR NAL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0"/>
    <x v="0"/>
    <x v="2"/>
    <x v="2"/>
    <n v="20266"/>
    <s v="830122566"/>
    <s v="COLOMBIA TELECOMUNICACIONES S.A.-ESP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MOVISTAR - LARGA DISTANCIA DIR NAL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26521"/>
    <n v="0"/>
    <n v="26521"/>
    <x v="0"/>
    <x v="0"/>
    <x v="0"/>
    <n v="26521"/>
    <n v="0"/>
    <n v="26521"/>
    <x v="0"/>
    <x v="0"/>
    <x v="0"/>
    <n v="26521"/>
    <n v="0"/>
    <n v="2652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64"/>
    <n v="0"/>
    <n v="1164"/>
    <x v="0"/>
    <x v="0"/>
    <x v="0"/>
    <n v="1164"/>
    <n v="0"/>
    <n v="1164"/>
    <x v="0"/>
    <x v="0"/>
    <x v="0"/>
    <n v="1164"/>
    <n v="0"/>
    <n v="11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3650"/>
    <n v="0"/>
    <n v="3650"/>
    <x v="0"/>
    <x v="0"/>
    <x v="0"/>
    <n v="3650"/>
    <n v="0"/>
    <n v="3650"/>
    <x v="0"/>
    <x v="0"/>
    <x v="0"/>
    <n v="3650"/>
    <n v="0"/>
    <n v="365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18220"/>
    <n v="0"/>
    <n v="118220"/>
    <x v="0"/>
    <x v="0"/>
    <x v="0"/>
    <n v="118220"/>
    <n v="0"/>
    <n v="118220"/>
    <x v="0"/>
    <x v="0"/>
    <x v="0"/>
    <n v="118220"/>
    <n v="0"/>
    <n v="118220"/>
    <x v="0"/>
    <x v="0"/>
    <x v="0"/>
    <x v="0"/>
    <x v="0"/>
  </r>
  <r>
    <x v="0"/>
    <x v="0"/>
    <x v="0"/>
    <x v="5"/>
    <x v="5"/>
    <x v="1"/>
    <x v="1"/>
    <n v="45417"/>
    <s v="860037900"/>
    <s v="CONSTRUCTORA  BOLIVAR  CALI S.A"/>
    <s v="201901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5549"/>
    <n v="0"/>
    <n v="5549"/>
    <x v="0"/>
    <x v="0"/>
    <x v="0"/>
    <n v="5549"/>
    <n v="0"/>
    <n v="5549"/>
    <x v="0"/>
    <x v="0"/>
    <x v="0"/>
    <n v="5549"/>
    <n v="0"/>
    <n v="5549"/>
    <x v="0"/>
    <x v="0"/>
    <x v="0"/>
    <x v="0"/>
    <x v="0"/>
  </r>
  <r>
    <x v="0"/>
    <x v="0"/>
    <x v="0"/>
    <x v="6"/>
    <x v="6"/>
    <x v="9"/>
    <x v="9"/>
    <n v="1100"/>
    <s v="800021913"/>
    <s v="G.GRAJALES AUTOSERVICIO S.A.S"/>
    <s v="201901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9 DESCUIENTO POR PAGO ANUAL ANTICIPADO DEL 9 % POR VALOR DE $ 108.180"/>
    <n v="108180"/>
    <n v="0"/>
    <n v="108180"/>
    <x v="0"/>
    <x v="0"/>
    <x v="0"/>
    <n v="108180"/>
    <n v="0"/>
    <n v="108180"/>
    <x v="0"/>
    <x v="0"/>
    <x v="0"/>
    <n v="108180"/>
    <n v="0"/>
    <n v="108180"/>
    <x v="0"/>
    <x v="0"/>
    <x v="0"/>
    <x v="0"/>
    <x v="0"/>
  </r>
  <r>
    <x v="0"/>
    <x v="0"/>
    <x v="0"/>
    <x v="5"/>
    <x v="5"/>
    <x v="1"/>
    <x v="1"/>
    <n v="45476"/>
    <s v="800054863"/>
    <s v="HEMISFERIO TOURS Y CIA LTD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588"/>
    <n v="0"/>
    <n v="9588"/>
    <x v="0"/>
    <x v="0"/>
    <x v="0"/>
    <n v="9588"/>
    <n v="0"/>
    <n v="9588"/>
    <x v="0"/>
    <x v="0"/>
    <x v="0"/>
    <n v="9588"/>
    <n v="0"/>
    <n v="9588"/>
    <x v="0"/>
    <x v="0"/>
    <x v="0"/>
    <x v="0"/>
    <x v="0"/>
  </r>
  <r>
    <x v="0"/>
    <x v="0"/>
    <x v="0"/>
    <x v="4"/>
    <x v="4"/>
    <x v="1"/>
    <x v="1"/>
    <n v="20063"/>
    <s v="800086042"/>
    <s v="INACAR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3879"/>
    <n v="6712"/>
    <n v="0"/>
    <n v="6712"/>
    <x v="0"/>
    <x v="0"/>
    <x v="0"/>
    <n v="6712"/>
    <n v="0"/>
    <n v="6712"/>
    <x v="0"/>
    <x v="0"/>
    <x v="0"/>
    <n v="6712"/>
    <n v="0"/>
    <n v="6712"/>
    <x v="0"/>
    <x v="0"/>
    <x v="0"/>
    <x v="0"/>
    <x v="0"/>
  </r>
  <r>
    <x v="0"/>
    <x v="0"/>
    <x v="0"/>
    <x v="1"/>
    <x v="1"/>
    <x v="1"/>
    <x v="1"/>
    <n v="23889"/>
    <s v="900205377"/>
    <s v="COMERCIALIZADORA AGROHIERROS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205377"/>
    <s v="COMERCIALIZADORA AGROHIERRO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5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431"/>
    <s v="890300012"/>
    <s v="COLPOZOS 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0"/>
    <x v="0"/>
    <x v="0"/>
    <x v="5"/>
    <x v="5"/>
    <x v="1"/>
    <x v="1"/>
    <n v="45434"/>
    <s v="817001528"/>
    <s v="PAVCO DE OCCIDENTE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0"/>
    <x v="0"/>
    <x v="0"/>
    <x v="5"/>
    <x v="5"/>
    <x v="1"/>
    <x v="1"/>
    <n v="45439"/>
    <s v="860046201"/>
    <s v="FORTOX S.A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5"/>
    <x v="5"/>
    <x v="9"/>
    <x v="9"/>
    <n v="1197"/>
    <s v="830510909"/>
    <s v="RIVERCOL S.A.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SEMESTRE ANTICIPADO DESCUENTO 4.5 % $68.589"/>
    <n v="68589"/>
    <n v="0"/>
    <n v="68589"/>
    <x v="0"/>
    <x v="0"/>
    <x v="0"/>
    <n v="68589"/>
    <n v="0"/>
    <n v="68589"/>
    <x v="0"/>
    <x v="0"/>
    <x v="0"/>
    <n v="68589"/>
    <n v="0"/>
    <n v="68589"/>
    <x v="0"/>
    <x v="0"/>
    <x v="0"/>
    <x v="0"/>
    <x v="0"/>
  </r>
  <r>
    <x v="0"/>
    <x v="0"/>
    <x v="0"/>
    <x v="1"/>
    <x v="1"/>
    <x v="1"/>
    <x v="1"/>
    <n v="23919"/>
    <s v="802016130"/>
    <s v="CENTRO COMERCIAL BUENAVIST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5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0"/>
    <x v="0"/>
    <x v="0"/>
    <x v="1"/>
    <x v="1"/>
    <x v="1"/>
    <x v="1"/>
    <n v="23921"/>
    <s v="806012958"/>
    <s v="IPS SALUD DEL CARIBE S.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79 - FVA-354892 - FVA-354897 - FVA-35490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0"/>
    <x v="0"/>
    <x v="0"/>
    <x v="4"/>
    <x v="4"/>
    <x v="1"/>
    <x v="1"/>
    <n v="20111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2"/>
    <n v="1301"/>
    <n v="0"/>
    <n v="1301"/>
    <x v="0"/>
    <x v="0"/>
    <x v="0"/>
    <n v="1301"/>
    <n v="0"/>
    <n v="1301"/>
    <x v="0"/>
    <x v="0"/>
    <x v="0"/>
    <n v="1301"/>
    <n v="0"/>
    <n v="1301"/>
    <x v="0"/>
    <x v="0"/>
    <x v="0"/>
    <x v="0"/>
    <x v="0"/>
  </r>
  <r>
    <x v="0"/>
    <x v="0"/>
    <x v="0"/>
    <x v="4"/>
    <x v="4"/>
    <x v="1"/>
    <x v="1"/>
    <n v="20112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5"/>
    <n v="2082"/>
    <n v="0"/>
    <n v="2082"/>
    <x v="0"/>
    <x v="0"/>
    <x v="0"/>
    <n v="2082"/>
    <n v="0"/>
    <n v="2082"/>
    <x v="0"/>
    <x v="0"/>
    <x v="0"/>
    <n v="2082"/>
    <n v="0"/>
    <n v="2082"/>
    <x v="0"/>
    <x v="0"/>
    <x v="0"/>
    <x v="0"/>
    <x v="0"/>
  </r>
  <r>
    <x v="0"/>
    <x v="0"/>
    <x v="0"/>
    <x v="4"/>
    <x v="4"/>
    <x v="1"/>
    <x v="1"/>
    <n v="20113"/>
    <s v="899999068"/>
    <s v="ECOPETROL S.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9999068"/>
    <s v="ECOPETR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470"/>
    <n v="26716"/>
    <n v="0"/>
    <n v="26716"/>
    <x v="0"/>
    <x v="0"/>
    <x v="0"/>
    <n v="26716"/>
    <n v="0"/>
    <n v="26716"/>
    <x v="0"/>
    <x v="0"/>
    <x v="0"/>
    <n v="26716"/>
    <n v="0"/>
    <n v="26716"/>
    <x v="0"/>
    <x v="0"/>
    <x v="0"/>
    <x v="0"/>
    <x v="0"/>
  </r>
  <r>
    <x v="0"/>
    <x v="0"/>
    <x v="0"/>
    <x v="5"/>
    <x v="5"/>
    <x v="1"/>
    <x v="1"/>
    <n v="45522"/>
    <s v="900203566"/>
    <s v="ABASTECEMOS  DE OCCIDENTE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0"/>
    <x v="0"/>
    <x v="0"/>
    <x v="6"/>
    <x v="6"/>
    <x v="9"/>
    <x v="9"/>
    <n v="1107"/>
    <s v="900729995"/>
    <s v="HOTELES DEL OTUN SAS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729995"/>
    <s v="HOTELES DEL OTUN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36-565-570 DESCUENTO DEL 9% POR PAGO ANTICIPADO"/>
    <n v="337883"/>
    <n v="0"/>
    <n v="337883"/>
    <x v="0"/>
    <x v="0"/>
    <x v="0"/>
    <n v="337883"/>
    <n v="0"/>
    <n v="337883"/>
    <x v="0"/>
    <x v="0"/>
    <x v="0"/>
    <n v="337883"/>
    <n v="0"/>
    <n v="337883"/>
    <x v="0"/>
    <x v="0"/>
    <x v="0"/>
    <x v="0"/>
    <x v="0"/>
  </r>
  <r>
    <x v="0"/>
    <x v="0"/>
    <x v="0"/>
    <x v="1"/>
    <x v="1"/>
    <x v="1"/>
    <x v="1"/>
    <n v="23992"/>
    <s v="32757237"/>
    <s v="MEDINA OLIVEROS FARATH DIVA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472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0"/>
    <x v="0"/>
    <x v="0"/>
    <x v="4"/>
    <x v="4"/>
    <x v="1"/>
    <x v="1"/>
    <n v="20144"/>
    <s v="890201881"/>
    <s v="AVIDESA MAC POLLO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881"/>
    <s v="AVIDESA MAC POLL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0"/>
    <n v="1790"/>
    <n v="0"/>
    <n v="1790"/>
    <x v="0"/>
    <x v="0"/>
    <x v="0"/>
    <n v="1790"/>
    <n v="0"/>
    <n v="1790"/>
    <x v="0"/>
    <x v="0"/>
    <x v="0"/>
    <n v="1790"/>
    <n v="0"/>
    <n v="1790"/>
    <x v="0"/>
    <x v="0"/>
    <x v="0"/>
    <x v="0"/>
    <x v="0"/>
  </r>
  <r>
    <x v="0"/>
    <x v="0"/>
    <x v="0"/>
    <x v="4"/>
    <x v="4"/>
    <x v="1"/>
    <x v="1"/>
    <n v="20148"/>
    <s v="890208890"/>
    <s v="ALDIA S.A.S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8890"/>
    <s v="ALD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2"/>
    <n v="6525"/>
    <n v="0"/>
    <n v="6525"/>
    <x v="0"/>
    <x v="0"/>
    <x v="0"/>
    <n v="6525"/>
    <n v="0"/>
    <n v="6525"/>
    <x v="0"/>
    <x v="0"/>
    <x v="0"/>
    <n v="6525"/>
    <n v="0"/>
    <n v="6525"/>
    <x v="0"/>
    <x v="0"/>
    <x v="0"/>
    <x v="0"/>
    <x v="0"/>
  </r>
  <r>
    <x v="0"/>
    <x v="0"/>
    <x v="0"/>
    <x v="1"/>
    <x v="1"/>
    <x v="1"/>
    <x v="1"/>
    <n v="24005"/>
    <s v="802016306"/>
    <s v="EXPOCONSTRUCCION 43 Y CIA LTD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66 - FVA-356530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0"/>
    <x v="0"/>
    <x v="0"/>
    <x v="1"/>
    <x v="1"/>
    <x v="1"/>
    <x v="1"/>
    <n v="24006"/>
    <s v="901062361"/>
    <s v="INVERSIONES MARCRI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A FVA-356565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0"/>
    <x v="0"/>
    <x v="0"/>
    <x v="5"/>
    <x v="5"/>
    <x v="1"/>
    <x v="1"/>
    <n v="45634"/>
    <s v="890942766"/>
    <s v="CONSTRUCTORA MONSERRATE DE COLOMB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42766"/>
    <s v="CONSTRUCTORA MONSERRATE DE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3830"/>
    <n v="0"/>
    <n v="3830"/>
    <x v="0"/>
    <x v="0"/>
    <x v="0"/>
    <n v="3830"/>
    <n v="0"/>
    <n v="3830"/>
    <x v="0"/>
    <x v="0"/>
    <x v="0"/>
    <n v="3830"/>
    <n v="0"/>
    <n v="3830"/>
    <x v="0"/>
    <x v="0"/>
    <x v="0"/>
    <x v="0"/>
    <x v="0"/>
  </r>
  <r>
    <x v="0"/>
    <x v="0"/>
    <x v="0"/>
    <x v="5"/>
    <x v="5"/>
    <x v="1"/>
    <x v="1"/>
    <n v="45638"/>
    <s v="890900842"/>
    <s v="C.C. F. COMFENALCO ANTIOQUI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842"/>
    <s v="C.C. F. COMFENALCO ANTIOQU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 SE APLICAA FACTUAR ESTE VALOR EN LA CUENTA."/>
    <n v="350"/>
    <n v="0"/>
    <n v="350"/>
    <x v="0"/>
    <x v="0"/>
    <x v="0"/>
    <n v="350"/>
    <n v="0"/>
    <n v="350"/>
    <x v="0"/>
    <x v="0"/>
    <x v="0"/>
    <n v="350"/>
    <n v="0"/>
    <n v="350"/>
    <x v="0"/>
    <x v="0"/>
    <x v="0"/>
    <x v="0"/>
    <x v="0"/>
  </r>
  <r>
    <x v="0"/>
    <x v="0"/>
    <x v="0"/>
    <x v="4"/>
    <x v="4"/>
    <x v="9"/>
    <x v="9"/>
    <n v="221"/>
    <s v="5670719"/>
    <s v="BAYONA SERRANO ANTONIO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5670719"/>
    <s v="BAYONA SERRANO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0, DESCUENTO DEL 9% POR PAGO ANUAL ANTICIPADO, VALOR DSTO DE $200.582"/>
    <n v="200582"/>
    <n v="0"/>
    <n v="200582"/>
    <x v="0"/>
    <x v="0"/>
    <x v="0"/>
    <n v="200582"/>
    <n v="0"/>
    <n v="200582"/>
    <x v="0"/>
    <x v="0"/>
    <x v="0"/>
    <n v="200582"/>
    <n v="0"/>
    <n v="200582"/>
    <x v="0"/>
    <x v="0"/>
    <x v="0"/>
    <x v="0"/>
    <x v="0"/>
  </r>
  <r>
    <x v="0"/>
    <x v="0"/>
    <x v="0"/>
    <x v="5"/>
    <x v="5"/>
    <x v="1"/>
    <x v="1"/>
    <n v="45618"/>
    <s v="900825179"/>
    <s v="ELIZABETH TRULLAS  C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0"/>
    <x v="0"/>
    <x v="0"/>
    <x v="5"/>
    <x v="5"/>
    <x v="1"/>
    <x v="1"/>
    <n v="45619"/>
    <s v="890318490"/>
    <s v="FERRETERIA TUBERIAS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0"/>
    <x v="0"/>
    <x v="0"/>
    <x v="5"/>
    <x v="5"/>
    <x v="1"/>
    <x v="1"/>
    <n v="45620"/>
    <s v="900569801"/>
    <s v="MARGARITA PEÑA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0"/>
    <x v="0"/>
    <x v="0"/>
    <x v="5"/>
    <x v="5"/>
    <x v="1"/>
    <x v="1"/>
    <n v="45621"/>
    <s v="890311006"/>
    <s v="FONDO DE EMPLEADOS DE LAS EMP.MPALES DE CALI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VOLUCION RETENCION MAL REALIZADA."/>
    <n v="250"/>
    <n v="0"/>
    <n v="250"/>
    <x v="0"/>
    <x v="0"/>
    <x v="0"/>
    <n v="250"/>
    <n v="0"/>
    <n v="250"/>
    <x v="0"/>
    <x v="0"/>
    <x v="0"/>
    <n v="250"/>
    <n v="0"/>
    <n v="250"/>
    <x v="0"/>
    <x v="0"/>
    <x v="0"/>
    <x v="0"/>
    <x v="0"/>
  </r>
  <r>
    <x v="0"/>
    <x v="0"/>
    <x v="0"/>
    <x v="5"/>
    <x v="5"/>
    <x v="1"/>
    <x v="1"/>
    <n v="45623"/>
    <s v="900192072"/>
    <s v="SEOUL MEDICINA ESTETICA INTEGRAL Y SPA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92072"/>
    <s v="SEOUL MEDICINA ESTETICA INTEGRAL Y SP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"/>
    <n v="0"/>
    <n v="10591"/>
    <x v="0"/>
    <x v="0"/>
    <x v="0"/>
    <n v="10591"/>
    <n v="0"/>
    <n v="10591"/>
    <x v="0"/>
    <x v="0"/>
    <x v="0"/>
    <n v="10591"/>
    <n v="0"/>
    <n v="10591"/>
    <x v="0"/>
    <x v="0"/>
    <x v="0"/>
    <x v="0"/>
    <x v="0"/>
  </r>
  <r>
    <x v="1"/>
    <x v="0"/>
    <x v="0"/>
    <x v="5"/>
    <x v="5"/>
    <x v="1"/>
    <x v="1"/>
    <n v="45705"/>
    <s v="805002583"/>
    <s v="FARMACIA DROGUERIA SAN JORGE LTDA"/>
    <s v="201902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2583"/>
    <s v="FARMACIA DROGUERIA SAN JORGE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3"/>
    <x v="3"/>
    <x v="1"/>
    <x v="1"/>
    <n v="37129"/>
    <s v="900041914"/>
    <s v="AVON COLOMBIA S.A.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41914"/>
    <s v="AVON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2323"/>
    <n v="399"/>
    <n v="0"/>
    <n v="399"/>
    <x v="0"/>
    <x v="0"/>
    <x v="0"/>
    <n v="399"/>
    <n v="0"/>
    <n v="399"/>
    <x v="0"/>
    <x v="0"/>
    <x v="0"/>
    <n v="399"/>
    <n v="0"/>
    <n v="399"/>
    <x v="0"/>
    <x v="0"/>
    <x v="0"/>
    <x v="0"/>
    <x v="0"/>
  </r>
  <r>
    <x v="1"/>
    <x v="0"/>
    <x v="0"/>
    <x v="6"/>
    <x v="6"/>
    <x v="9"/>
    <x v="9"/>
    <n v="1112"/>
    <s v="900434532"/>
    <s v="SPECIALIZED COLOMBIA S.A.S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434532"/>
    <s v="SPECIALIZED COLOMB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574 DESCUENTO DEL 9 % POR PAGO ANUAL ANTICIPADO POR VALOR DE 1.851.528 Y RETE IVA DEL 15% POR VALOR DE $ 586.317, Y FAC: 355708 DESCUENTO  9 % POR PAGO ANUAL ANTICIPADO DE $ 105.863 Y RETE IVA $80.573"/>
    <n v="1957391"/>
    <n v="0"/>
    <n v="1957391"/>
    <x v="0"/>
    <x v="0"/>
    <x v="0"/>
    <n v="1957391"/>
    <n v="0"/>
    <n v="1957391"/>
    <x v="0"/>
    <x v="0"/>
    <x v="0"/>
    <n v="1957391"/>
    <n v="0"/>
    <n v="1957391"/>
    <x v="0"/>
    <x v="0"/>
    <x v="0"/>
    <x v="0"/>
    <x v="0"/>
  </r>
  <r>
    <x v="1"/>
    <x v="0"/>
    <x v="0"/>
    <x v="5"/>
    <x v="5"/>
    <x v="1"/>
    <x v="1"/>
    <n v="45895"/>
    <s v="805006389"/>
    <s v="HOSPITAL EN CASA S.A.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6389"/>
    <s v="HOSPITAL EN CA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46479,348191,349921. BANCOOMEVA"/>
    <n v="3142"/>
    <n v="0"/>
    <n v="3142"/>
    <x v="0"/>
    <x v="0"/>
    <x v="0"/>
    <n v="3142"/>
    <n v="0"/>
    <n v="3142"/>
    <x v="0"/>
    <x v="0"/>
    <x v="0"/>
    <n v="3142"/>
    <n v="0"/>
    <n v="3142"/>
    <x v="0"/>
    <x v="0"/>
    <x v="0"/>
    <x v="0"/>
    <x v="0"/>
  </r>
  <r>
    <x v="1"/>
    <x v="0"/>
    <x v="0"/>
    <x v="2"/>
    <x v="2"/>
    <x v="9"/>
    <x v="9"/>
    <n v="1467"/>
    <s v="830111257"/>
    <s v="GRUPO EMPRESARIAL EN LINEA S.A."/>
    <s v="201902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111257"/>
    <s v="GRUPO EMPRESARIAL EN LIN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521241"/>
    <n v="0"/>
    <n v="521241"/>
    <x v="0"/>
    <x v="0"/>
    <x v="0"/>
    <n v="521241"/>
    <n v="0"/>
    <n v="521241"/>
    <x v="0"/>
    <x v="0"/>
    <x v="0"/>
    <n v="521241"/>
    <n v="0"/>
    <n v="521241"/>
    <x v="0"/>
    <x v="0"/>
    <x v="0"/>
    <x v="0"/>
    <x v="0"/>
  </r>
  <r>
    <x v="1"/>
    <x v="0"/>
    <x v="0"/>
    <x v="2"/>
    <x v="2"/>
    <x v="9"/>
    <x v="9"/>
    <n v="1470"/>
    <s v="800130907"/>
    <s v="SALUD TOTAL E.P.S-S S.A.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30907"/>
    <s v="SALUD TOTAL E.P.S-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CONCEPTO DE PRONTO PAGO 9% $1.799.872 Y USO PLATAFORMA COMPRANET $50.000"/>
    <n v="1799872"/>
    <n v="0"/>
    <n v="1799872"/>
    <x v="0"/>
    <x v="0"/>
    <x v="0"/>
    <n v="1799872"/>
    <n v="0"/>
    <n v="1799872"/>
    <x v="0"/>
    <x v="0"/>
    <x v="0"/>
    <n v="1799872"/>
    <n v="0"/>
    <n v="1799872"/>
    <x v="0"/>
    <x v="0"/>
    <x v="0"/>
    <x v="0"/>
    <x v="0"/>
  </r>
  <r>
    <x v="1"/>
    <x v="0"/>
    <x v="0"/>
    <x v="2"/>
    <x v="2"/>
    <x v="9"/>
    <x v="9"/>
    <n v="1472"/>
    <s v="860510431"/>
    <s v="ALVARO VELEZ Y CIA S.A.S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087 Y RTE ICA $4.960"/>
    <n v="8087"/>
    <n v="0"/>
    <n v="8087"/>
    <x v="0"/>
    <x v="0"/>
    <x v="0"/>
    <n v="8087"/>
    <n v="0"/>
    <n v="8087"/>
    <x v="0"/>
    <x v="0"/>
    <x v="0"/>
    <n v="8087"/>
    <n v="0"/>
    <n v="8087"/>
    <x v="0"/>
    <x v="0"/>
    <x v="0"/>
    <x v="0"/>
    <x v="0"/>
  </r>
  <r>
    <x v="1"/>
    <x v="0"/>
    <x v="0"/>
    <x v="1"/>
    <x v="1"/>
    <x v="1"/>
    <x v="1"/>
    <n v="24079"/>
    <s v="806012958"/>
    <s v="IPS SALUD DEL CARIBE S.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639 - FVA-356652 - FVA-356658 - FVA-35666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1"/>
    <x v="0"/>
    <x v="0"/>
    <x v="0"/>
    <x v="0"/>
    <x v="0"/>
    <x v="0"/>
    <n v="4278"/>
    <s v="900863024"/>
    <s v="SUPERMERCADO PUNTO &amp; FAM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863024"/>
    <s v="SUPERMERCADO PUNTO &amp; FAM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79"/>
    <s v="900112301"/>
    <s v="SIGMART INGENIERI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12765"/>
    <s v="COLOMBIAN PARADISE FLOWER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836"/>
    <n v="0"/>
    <n v="1836"/>
    <x v="0"/>
    <x v="0"/>
    <x v="0"/>
    <n v="1836"/>
    <n v="0"/>
    <n v="1836"/>
    <x v="0"/>
    <x v="0"/>
    <x v="0"/>
    <n v="1836"/>
    <n v="0"/>
    <n v="1836"/>
    <x v="0"/>
    <x v="0"/>
    <x v="0"/>
    <x v="0"/>
    <x v="0"/>
  </r>
  <r>
    <x v="1"/>
    <x v="0"/>
    <x v="0"/>
    <x v="5"/>
    <x v="5"/>
    <x v="1"/>
    <x v="1"/>
    <n v="45911"/>
    <s v="14606678"/>
    <s v="COLLAZOS ARROYO HAROLD ANDRE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4606678"/>
    <s v="COLLAZOS ARROYO HAROLD AND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0"/>
    <n v="0"/>
    <n v="100"/>
    <x v="0"/>
    <x v="0"/>
    <x v="0"/>
    <n v="100"/>
    <n v="0"/>
    <n v="100"/>
    <x v="0"/>
    <x v="0"/>
    <x v="0"/>
    <n v="100"/>
    <n v="0"/>
    <n v="100"/>
    <x v="0"/>
    <x v="0"/>
    <x v="0"/>
    <x v="0"/>
    <x v="0"/>
  </r>
  <r>
    <x v="1"/>
    <x v="0"/>
    <x v="0"/>
    <x v="5"/>
    <x v="5"/>
    <x v="1"/>
    <x v="1"/>
    <n v="45914"/>
    <s v="800069469"/>
    <s v="ARTEMISA S.A.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69469"/>
    <s v="ARTEMIS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81"/>
    <s v="900338137"/>
    <s v="INSTITUTO DE BELLEZA STELLA DURAN RESTREPO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5"/>
    <s v="INSTITUTO DE BELLEZA STELLA DURAN VENE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7697"/>
    <n v="0"/>
    <n v="7697"/>
    <x v="0"/>
    <x v="0"/>
    <x v="0"/>
    <n v="7697"/>
    <n v="0"/>
    <n v="7697"/>
    <x v="0"/>
    <x v="0"/>
    <x v="0"/>
    <n v="7697"/>
    <n v="0"/>
    <n v="7697"/>
    <x v="0"/>
    <x v="0"/>
    <x v="0"/>
    <x v="0"/>
    <x v="0"/>
  </r>
  <r>
    <x v="5"/>
    <x v="0"/>
    <x v="0"/>
    <x v="0"/>
    <x v="0"/>
    <x v="0"/>
    <x v="0"/>
    <n v="4283"/>
    <s v="805029384"/>
    <s v="BUENAVISTA CONSTRUCTORA Y PROMOTORA S.A.S"/>
    <s v="20190307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NCION APLICADA DE MAS EN PAGO AL CLIENTE COMO PROVEEDOR"/>
    <n v="38402"/>
    <n v="0"/>
    <n v="38402"/>
    <x v="0"/>
    <x v="0"/>
    <x v="0"/>
    <n v="38402"/>
    <n v="0"/>
    <n v="38402"/>
    <x v="0"/>
    <x v="0"/>
    <x v="0"/>
    <n v="38402"/>
    <n v="0"/>
    <n v="38402"/>
    <x v="0"/>
    <x v="0"/>
    <x v="0"/>
    <x v="0"/>
    <x v="0"/>
  </r>
  <r>
    <x v="3"/>
    <x v="0"/>
    <x v="0"/>
    <x v="0"/>
    <x v="0"/>
    <x v="0"/>
    <x v="0"/>
    <n v="4338"/>
    <s v="830017656"/>
    <s v="LAGOS DE MALIBU LTDA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1130654183"/>
    <s v="CUENCA ALVAEREZ ALVA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SALDOS GASTOS FINANCIEROS"/>
    <n v="72414"/>
    <n v="0"/>
    <n v="72414"/>
    <x v="0"/>
    <x v="0"/>
    <x v="0"/>
    <n v="72414"/>
    <n v="0"/>
    <n v="72414"/>
    <x v="0"/>
    <x v="0"/>
    <x v="0"/>
    <n v="72414"/>
    <n v="0"/>
    <n v="72414"/>
    <x v="0"/>
    <x v="0"/>
    <x v="0"/>
    <x v="0"/>
    <x v="0"/>
  </r>
  <r>
    <x v="7"/>
    <x v="0"/>
    <x v="0"/>
    <x v="0"/>
    <x v="0"/>
    <x v="2"/>
    <x v="2"/>
    <n v="19997"/>
    <s v="890106291"/>
    <s v="ALCALDIA DE SOLEDAD"/>
    <s v="201904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2"/>
    <x v="2"/>
    <x v="0"/>
    <x v="0"/>
    <x v="0"/>
    <x v="0"/>
    <s v="890106291"/>
    <s v="ALCALDIA DE SOLE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SOLEDAD ATLANTICO"/>
    <n v="524000"/>
    <n v="0"/>
    <n v="524000"/>
    <x v="0"/>
    <x v="0"/>
    <x v="0"/>
    <n v="524000"/>
    <n v="0"/>
    <n v="524000"/>
    <x v="0"/>
    <x v="0"/>
    <x v="0"/>
    <n v="524000"/>
    <n v="0"/>
    <n v="524000"/>
    <x v="0"/>
    <x v="0"/>
    <x v="0"/>
    <x v="0"/>
    <x v="0"/>
  </r>
  <r>
    <x v="0"/>
    <x v="0"/>
    <x v="0"/>
    <x v="3"/>
    <x v="3"/>
    <x v="1"/>
    <x v="1"/>
    <n v="36985"/>
    <s v="811040443"/>
    <s v="B Y B CONSTRUCTORES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49472"/>
    <n v="1209"/>
    <n v="0"/>
    <n v="1209"/>
    <x v="0"/>
    <x v="0"/>
    <x v="0"/>
    <n v="1209"/>
    <n v="0"/>
    <n v="1209"/>
    <x v="0"/>
    <x v="0"/>
    <x v="0"/>
    <n v="1209"/>
    <n v="0"/>
    <n v="1209"/>
    <x v="0"/>
    <x v="0"/>
    <x v="0"/>
    <x v="0"/>
    <x v="0"/>
  </r>
  <r>
    <x v="0"/>
    <x v="0"/>
    <x v="0"/>
    <x v="3"/>
    <x v="3"/>
    <x v="1"/>
    <x v="1"/>
    <n v="36988"/>
    <s v="811027681"/>
    <s v="URBANIZA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7681"/>
    <s v="URBANIZ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0658"/>
    <n v="7624"/>
    <n v="0"/>
    <n v="7624"/>
    <x v="0"/>
    <x v="0"/>
    <x v="0"/>
    <n v="7624"/>
    <n v="0"/>
    <n v="7624"/>
    <x v="0"/>
    <x v="0"/>
    <x v="0"/>
    <n v="7624"/>
    <n v="0"/>
    <n v="7624"/>
    <x v="0"/>
    <x v="0"/>
    <x v="0"/>
    <x v="0"/>
    <x v="0"/>
  </r>
  <r>
    <x v="0"/>
    <x v="0"/>
    <x v="0"/>
    <x v="0"/>
    <x v="0"/>
    <x v="0"/>
    <x v="0"/>
    <n v="4267"/>
    <s v="900017447"/>
    <s v="FALABELLA DE COLOMBIA S A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93117"/>
    <s v="ARQUITECTURA Y CONCRET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1098"/>
    <n v="0"/>
    <n v="11098"/>
    <x v="0"/>
    <x v="0"/>
    <x v="0"/>
    <n v="11098"/>
    <n v="0"/>
    <n v="11098"/>
    <x v="0"/>
    <x v="0"/>
    <x v="0"/>
    <n v="11098"/>
    <n v="0"/>
    <n v="11098"/>
    <x v="0"/>
    <x v="0"/>
    <x v="0"/>
    <x v="0"/>
    <x v="0"/>
  </r>
  <r>
    <x v="0"/>
    <x v="0"/>
    <x v="0"/>
    <x v="5"/>
    <x v="5"/>
    <x v="1"/>
    <x v="1"/>
    <n v="45652"/>
    <s v="830037843"/>
    <s v="WINNER GROUP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30037843"/>
    <s v="WINNER GROUP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1"/>
    <x v="0"/>
    <x v="0"/>
    <x v="5"/>
    <x v="5"/>
    <x v="9"/>
    <x v="9"/>
    <n v="1230"/>
    <s v="800074047"/>
    <s v="REPUESTOS CALI S.A.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9% AÑO ANTICIPADO, DESC EN FACTURA $174.280,OK"/>
    <n v="174280"/>
    <n v="0"/>
    <n v="174280"/>
    <x v="0"/>
    <x v="0"/>
    <x v="0"/>
    <n v="174280"/>
    <n v="0"/>
    <n v="174280"/>
    <x v="0"/>
    <x v="0"/>
    <x v="0"/>
    <n v="174280"/>
    <n v="0"/>
    <n v="174280"/>
    <x v="0"/>
    <x v="0"/>
    <x v="0"/>
    <x v="0"/>
    <x v="0"/>
  </r>
  <r>
    <x v="1"/>
    <x v="0"/>
    <x v="0"/>
    <x v="5"/>
    <x v="5"/>
    <x v="9"/>
    <x v="9"/>
    <n v="1232"/>
    <s v="890308111"/>
    <s v="EL MOLINO-EDUARDO MOLINARI PALACIN &amp; CIA S.EN.C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 9% EN FACTURA OK, $130.634"/>
    <n v="130634"/>
    <n v="0"/>
    <n v="130634"/>
    <x v="0"/>
    <x v="0"/>
    <x v="0"/>
    <n v="130634"/>
    <n v="0"/>
    <n v="130634"/>
    <x v="0"/>
    <x v="0"/>
    <x v="0"/>
    <n v="130634"/>
    <n v="0"/>
    <n v="130634"/>
    <x v="0"/>
    <x v="0"/>
    <x v="0"/>
    <x v="0"/>
    <x v="0"/>
  </r>
  <r>
    <x v="3"/>
    <x v="0"/>
    <x v="0"/>
    <x v="6"/>
    <x v="6"/>
    <x v="9"/>
    <x v="9"/>
    <n v="1157"/>
    <s v="900947448"/>
    <s v="CFCA INGENIERIA S.A.S"/>
    <s v="201907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6"/>
    <x v="6"/>
    <x v="0"/>
    <x v="0"/>
    <x v="0"/>
    <x v="0"/>
    <s v="900947448"/>
    <s v="CFCA INGENIER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42 CLIENTE PAGO $116.109 DEMAS POR IVA QUE NO SE DESCONTO"/>
    <n v="0"/>
    <n v="116109"/>
    <n v="-116109"/>
    <x v="0"/>
    <x v="0"/>
    <x v="0"/>
    <n v="0"/>
    <n v="116109"/>
    <n v="-116109"/>
    <x v="0"/>
    <x v="0"/>
    <x v="0"/>
    <n v="0"/>
    <n v="116109"/>
    <n v="-1161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8038.07"/>
    <n v="0"/>
    <n v="8038.0700000000006"/>
    <x v="0"/>
    <x v="0"/>
    <x v="0"/>
    <n v="8038.07"/>
    <n v="0"/>
    <n v="8038.0700000000006"/>
    <x v="0"/>
    <x v="0"/>
    <x v="0"/>
    <n v="8038.07"/>
    <n v="0"/>
    <n v="8038.07000000000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21323.19"/>
    <n v="0"/>
    <n v="21323.19"/>
    <x v="0"/>
    <x v="0"/>
    <x v="0"/>
    <n v="21323.19"/>
    <n v="0"/>
    <n v="21323.19"/>
    <x v="0"/>
    <x v="0"/>
    <x v="0"/>
    <n v="21323.19"/>
    <n v="0"/>
    <n v="21323.1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254.46"/>
    <n v="0"/>
    <n v="19254.46"/>
    <x v="0"/>
    <x v="0"/>
    <x v="0"/>
    <n v="19254.46"/>
    <n v="0"/>
    <n v="19254.46"/>
    <x v="0"/>
    <x v="0"/>
    <x v="0"/>
    <n v="19254.46"/>
    <n v="0"/>
    <n v="19254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128.12"/>
    <n v="0"/>
    <n v="19128.12"/>
    <x v="0"/>
    <x v="0"/>
    <x v="0"/>
    <n v="19128.12"/>
    <n v="0"/>
    <n v="19128.12"/>
    <x v="0"/>
    <x v="0"/>
    <x v="0"/>
    <n v="19128.12"/>
    <n v="0"/>
    <n v="19128.1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5633.97"/>
    <n v="0"/>
    <n v="15633.970000000001"/>
    <x v="0"/>
    <x v="0"/>
    <x v="0"/>
    <n v="15633.97"/>
    <n v="0"/>
    <n v="15633.970000000001"/>
    <x v="0"/>
    <x v="0"/>
    <x v="0"/>
    <n v="15633.97"/>
    <n v="0"/>
    <n v="15633.97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0064.459999999999"/>
    <n v="0"/>
    <n v="10064.460000000001"/>
    <x v="0"/>
    <x v="0"/>
    <x v="0"/>
    <n v="10064.459999999999"/>
    <n v="0"/>
    <n v="10064.460000000001"/>
    <x v="0"/>
    <x v="0"/>
    <x v="0"/>
    <n v="10064.459999999999"/>
    <n v="0"/>
    <n v="10064.460000000001"/>
    <x v="0"/>
    <x v="0"/>
    <x v="0"/>
    <x v="0"/>
    <x v="0"/>
  </r>
  <r>
    <x v="6"/>
    <x v="0"/>
    <x v="0"/>
    <x v="3"/>
    <x v="3"/>
    <x v="3"/>
    <x v="3"/>
    <n v="162"/>
    <s v="1128280824"/>
    <s v="OSORIO SANCHEZ WILSON DARIO"/>
    <s v="201905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8578076"/>
    <s v="VELEZ VARGAS ELBER EL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RANSPORTE DESINSTALACIÓN CLIENTE MAXIMO"/>
    <n v="3500"/>
    <n v="0"/>
    <n v="3500"/>
    <x v="0"/>
    <x v="0"/>
    <x v="0"/>
    <n v="3500"/>
    <n v="0"/>
    <n v="3500"/>
    <x v="0"/>
    <x v="0"/>
    <x v="0"/>
    <n v="3500"/>
    <n v="0"/>
    <n v="3500"/>
    <x v="0"/>
    <x v="0"/>
    <x v="0"/>
    <x v="0"/>
    <x v="0"/>
  </r>
  <r>
    <x v="2"/>
    <x v="0"/>
    <x v="0"/>
    <x v="0"/>
    <x v="0"/>
    <x v="3"/>
    <x v="3"/>
    <n v="347"/>
    <s v="16632990"/>
    <s v="MUNERA ANGUS JUAN GUILLERMO"/>
    <s v="20190605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00376423"/>
    <s v="RESTAURANTE TORTEL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LMUERZO DE TRABAJO ABOGADO LABORAL -MARCO CARRASQUILLA, ANA MARIA VALLEJO Y JUAN GUILLERMO MUNERA"/>
    <n v="6524"/>
    <n v="0"/>
    <n v="6524"/>
    <x v="0"/>
    <x v="0"/>
    <x v="0"/>
    <n v="6524"/>
    <n v="0"/>
    <n v="6524"/>
    <x v="0"/>
    <x v="0"/>
    <x v="0"/>
    <n v="6524"/>
    <n v="0"/>
    <n v="6524"/>
    <x v="0"/>
    <x v="0"/>
    <x v="0"/>
    <x v="0"/>
    <x v="0"/>
  </r>
  <r>
    <x v="0"/>
    <x v="0"/>
    <x v="0"/>
    <x v="4"/>
    <x v="4"/>
    <x v="1"/>
    <x v="1"/>
    <n v="20154"/>
    <s v="890211796"/>
    <s v="CENTRO COMERCIAL CANAVERAL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11796"/>
    <s v="CENTRO COMERCIAL CANAVER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8"/>
    <n v="1736"/>
    <n v="0"/>
    <n v="1736"/>
    <x v="0"/>
    <x v="0"/>
    <x v="0"/>
    <n v="1736"/>
    <n v="0"/>
    <n v="1736"/>
    <x v="0"/>
    <x v="0"/>
    <x v="0"/>
    <n v="1736"/>
    <n v="0"/>
    <n v="1736"/>
    <x v="0"/>
    <x v="0"/>
    <x v="0"/>
    <x v="0"/>
    <x v="0"/>
  </r>
  <r>
    <x v="1"/>
    <x v="0"/>
    <x v="0"/>
    <x v="5"/>
    <x v="5"/>
    <x v="1"/>
    <x v="1"/>
    <n v="45733"/>
    <s v="890300012"/>
    <s v="COLPOZOS 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1"/>
    <x v="0"/>
    <x v="0"/>
    <x v="5"/>
    <x v="5"/>
    <x v="1"/>
    <x v="1"/>
    <n v="45735"/>
    <s v="817001528"/>
    <s v="PAVCO DE OCCIDENTE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1"/>
    <x v="0"/>
    <x v="0"/>
    <x v="1"/>
    <x v="1"/>
    <x v="1"/>
    <x v="1"/>
    <n v="24091"/>
    <s v="892115006"/>
    <s v="CAJA DE COMP. FAMILIAR DE LA GUAJIR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30"/>
    <n v="3644"/>
    <n v="0"/>
    <n v="3644"/>
    <x v="0"/>
    <x v="0"/>
    <x v="0"/>
    <n v="3644"/>
    <n v="0"/>
    <n v="3644"/>
    <x v="0"/>
    <x v="0"/>
    <x v="0"/>
    <n v="3644"/>
    <n v="0"/>
    <n v="3644"/>
    <x v="0"/>
    <x v="0"/>
    <x v="0"/>
    <x v="0"/>
    <x v="0"/>
  </r>
  <r>
    <x v="0"/>
    <x v="0"/>
    <x v="0"/>
    <x v="3"/>
    <x v="3"/>
    <x v="1"/>
    <x v="1"/>
    <n v="36993"/>
    <s v="811007125"/>
    <s v="RIO ASEO TOTAL"/>
    <s v="20190110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0580_x000d__x000a_RETIENE ESTAMPILLAS $8.862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7"/>
    <x v="0"/>
    <x v="0"/>
    <x v="0"/>
    <x v="0"/>
    <x v="2"/>
    <x v="2"/>
    <n v="20039"/>
    <s v="900092385"/>
    <s v="EPM TELECOMUNICACIONES S.A.  E.S.P."/>
    <s v="201904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OS PUBLICOS VARIOS C.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213"/>
    <s v="890201222"/>
    <s v="MUNICIPIO DE BUCARAMANGA"/>
    <s v="20190529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7"/>
    <x v="7"/>
    <x v="0"/>
    <x v="0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EXTEMPORANEIDAD IMPUESTO INDUSTRIA Y COMERCIO BUCARAMANGA"/>
    <n v="342000"/>
    <n v="0"/>
    <n v="342000"/>
    <x v="0"/>
    <x v="0"/>
    <x v="0"/>
    <n v="342000"/>
    <n v="0"/>
    <n v="342000"/>
    <x v="0"/>
    <x v="0"/>
    <x v="0"/>
    <n v="342000"/>
    <n v="0"/>
    <n v="342000"/>
    <x v="0"/>
    <x v="0"/>
    <x v="0"/>
    <x v="0"/>
    <x v="0"/>
  </r>
  <r>
    <x v="0"/>
    <x v="0"/>
    <x v="0"/>
    <x v="5"/>
    <x v="5"/>
    <x v="1"/>
    <x v="1"/>
    <n v="45393"/>
    <s v="800048954"/>
    <s v="CLINICA VERSALLES S.A."/>
    <s v="201901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748"/>
    <n v="0"/>
    <n v="12748"/>
    <x v="0"/>
    <x v="0"/>
    <x v="0"/>
    <n v="12748"/>
    <n v="0"/>
    <n v="12748"/>
    <x v="0"/>
    <x v="0"/>
    <x v="0"/>
    <n v="12748"/>
    <n v="0"/>
    <n v="12748"/>
    <x v="0"/>
    <x v="0"/>
    <x v="0"/>
    <x v="0"/>
    <x v="0"/>
  </r>
  <r>
    <x v="0"/>
    <x v="0"/>
    <x v="0"/>
    <x v="1"/>
    <x v="1"/>
    <x v="1"/>
    <x v="1"/>
    <n v="23888"/>
    <s v="890107487"/>
    <s v="SUPERTIENDAS Y DROGUERIAS OLIMPICA S.A."/>
    <s v="201901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0"/>
    <x v="0"/>
    <x v="0"/>
    <x v="2"/>
    <x v="2"/>
    <x v="9"/>
    <x v="9"/>
    <n v="1454"/>
    <s v="800212060"/>
    <s v="PARQUE COMERCIAL LA COLINA 138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9% PAGO ANUAL $135.751"/>
    <n v="135751"/>
    <n v="0"/>
    <n v="135751"/>
    <x v="0"/>
    <x v="0"/>
    <x v="0"/>
    <n v="135751"/>
    <n v="0"/>
    <n v="135751"/>
    <x v="0"/>
    <x v="0"/>
    <x v="0"/>
    <n v="135751"/>
    <n v="0"/>
    <n v="135751"/>
    <x v="0"/>
    <x v="0"/>
    <x v="0"/>
    <x v="0"/>
    <x v="0"/>
  </r>
  <r>
    <x v="1"/>
    <x v="0"/>
    <x v="0"/>
    <x v="5"/>
    <x v="5"/>
    <x v="1"/>
    <x v="1"/>
    <n v="45792"/>
    <s v="800048954"/>
    <s v="CLINICA VERSALLES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500"/>
    <n v="0"/>
    <n v="6500"/>
    <x v="0"/>
    <x v="0"/>
    <x v="0"/>
    <n v="6500"/>
    <n v="0"/>
    <n v="6500"/>
    <x v="0"/>
    <x v="0"/>
    <x v="0"/>
    <n v="6500"/>
    <n v="0"/>
    <n v="6500"/>
    <x v="0"/>
    <x v="0"/>
    <x v="0"/>
    <x v="0"/>
    <x v="0"/>
  </r>
  <r>
    <x v="1"/>
    <x v="0"/>
    <x v="0"/>
    <x v="1"/>
    <x v="1"/>
    <x v="1"/>
    <x v="1"/>
    <n v="24058"/>
    <s v="890102508"/>
    <s v="SALES INMOBILIARIA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8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1"/>
    <x v="1"/>
    <x v="9"/>
    <x v="9"/>
    <n v="363"/>
    <s v="860007627"/>
    <s v="COMPAÑIA DE JESU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60007627"/>
    <s v="COMPAÑIA DE JESU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6, SE APLICA EL DESCUENTO FINANCIERO DEL 9% POR PAGO DE AÑO ANTICIPADO. APLICA RETENCION DE ICA POR VALOR DE $13.816"/>
    <n v="155432"/>
    <n v="0"/>
    <n v="155432"/>
    <x v="0"/>
    <x v="0"/>
    <x v="0"/>
    <n v="155432"/>
    <n v="0"/>
    <n v="155432"/>
    <x v="0"/>
    <x v="0"/>
    <x v="0"/>
    <n v="155432"/>
    <n v="0"/>
    <n v="155432"/>
    <x v="0"/>
    <x v="0"/>
    <x v="0"/>
    <x v="0"/>
    <x v="0"/>
  </r>
  <r>
    <x v="1"/>
    <x v="0"/>
    <x v="0"/>
    <x v="3"/>
    <x v="3"/>
    <x v="9"/>
    <x v="9"/>
    <n v="1088"/>
    <s v="890929647"/>
    <s v="QUIMICOS Y PLASTICOS INDUSTRIALES S.A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9647"/>
    <s v="QUIMICOS Y PLASTICOS INDUSTRIA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79 CANCELA CON DCTO DEL 9% POR PRONTO PAGO $112.938"/>
    <n v="112938"/>
    <n v="0"/>
    <n v="112938"/>
    <x v="0"/>
    <x v="0"/>
    <x v="0"/>
    <n v="112938"/>
    <n v="0"/>
    <n v="112938"/>
    <x v="0"/>
    <x v="0"/>
    <x v="0"/>
    <n v="112938"/>
    <n v="0"/>
    <n v="112938"/>
    <x v="0"/>
    <x v="0"/>
    <x v="0"/>
    <x v="0"/>
    <x v="0"/>
  </r>
  <r>
    <x v="1"/>
    <x v="0"/>
    <x v="0"/>
    <x v="3"/>
    <x v="3"/>
    <x v="1"/>
    <x v="1"/>
    <n v="37154"/>
    <s v="811046900"/>
    <s v="CENTRO CARDIOVASCULAR COLOMBIANO - CLINICA SANTA M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6900"/>
    <s v="CENTRO CARDIOVASCULAR COLOMBIANO - CLINICA SANTA 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"/>
    <n v="2629"/>
    <n v="0"/>
    <n v="2629"/>
    <x v="0"/>
    <x v="0"/>
    <x v="0"/>
    <n v="2629"/>
    <n v="0"/>
    <n v="2629"/>
    <x v="0"/>
    <x v="0"/>
    <x v="0"/>
    <n v="2629"/>
    <n v="0"/>
    <n v="262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75574.59"/>
    <n v="0"/>
    <n v="175574.59"/>
    <x v="0"/>
    <x v="0"/>
    <x v="0"/>
    <n v="175574.59"/>
    <n v="0"/>
    <n v="175574.59"/>
    <x v="0"/>
    <x v="0"/>
    <x v="0"/>
    <n v="175574.59"/>
    <n v="0"/>
    <n v="175574.5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81.98"/>
    <n v="0"/>
    <n v="381.98"/>
    <x v="0"/>
    <x v="0"/>
    <x v="0"/>
    <n v="381.98"/>
    <n v="0"/>
    <n v="381.98"/>
    <x v="0"/>
    <x v="0"/>
    <x v="0"/>
    <n v="381.98"/>
    <n v="0"/>
    <n v="381.98"/>
    <x v="0"/>
    <x v="0"/>
    <x v="0"/>
    <x v="0"/>
    <x v="0"/>
  </r>
  <r>
    <x v="0"/>
    <x v="0"/>
    <x v="0"/>
    <x v="6"/>
    <x v="6"/>
    <x v="9"/>
    <x v="9"/>
    <n v="1102"/>
    <s v="810003155"/>
    <s v="CENTRO DE NEGOCIOS SIGLO XXI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10003155"/>
    <s v="CENTRO DE NEGOCIOS SIGLO XX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55688 DESCUENTO DEL 9% POR PAGO ANUAL ANTICIPADO DE $82.808"/>
    <n v="82808"/>
    <n v="0"/>
    <n v="82808"/>
    <x v="0"/>
    <x v="0"/>
    <x v="0"/>
    <n v="82808"/>
    <n v="0"/>
    <n v="82808"/>
    <x v="0"/>
    <x v="0"/>
    <x v="0"/>
    <n v="82808"/>
    <n v="0"/>
    <n v="82808"/>
    <x v="0"/>
    <x v="0"/>
    <x v="0"/>
    <x v="0"/>
    <x v="0"/>
  </r>
  <r>
    <x v="0"/>
    <x v="0"/>
    <x v="0"/>
    <x v="5"/>
    <x v="5"/>
    <x v="1"/>
    <x v="1"/>
    <n v="45504"/>
    <s v="1509246"/>
    <s v="MORALES SANTACRUZ JESUS ANTONIO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0"/>
    <x v="0"/>
    <x v="0"/>
    <x v="5"/>
    <x v="5"/>
    <x v="1"/>
    <x v="1"/>
    <n v="45505"/>
    <s v="650187917"/>
    <s v="FREI  HEINRICH ERNEST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0"/>
    <x v="0"/>
    <x v="0"/>
    <x v="1"/>
    <x v="1"/>
    <x v="1"/>
    <x v="1"/>
    <n v="23937"/>
    <s v="892115006"/>
    <s v="CAJA DE COMP. FAMILIAR DE LA GUAJIR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0880  - FV5-651"/>
    <n v="3653"/>
    <n v="0"/>
    <n v="3653"/>
    <x v="0"/>
    <x v="0"/>
    <x v="0"/>
    <n v="3653"/>
    <n v="0"/>
    <n v="3653"/>
    <x v="0"/>
    <x v="0"/>
    <x v="0"/>
    <n v="3653"/>
    <n v="0"/>
    <n v="3653"/>
    <x v="0"/>
    <x v="0"/>
    <x v="0"/>
    <x v="0"/>
    <x v="0"/>
  </r>
  <r>
    <x v="0"/>
    <x v="0"/>
    <x v="0"/>
    <x v="1"/>
    <x v="1"/>
    <x v="1"/>
    <x v="1"/>
    <n v="23941"/>
    <s v="900061516"/>
    <s v="MUEBLES JAMAR S.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697 - FV5-716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0"/>
    <x v="0"/>
    <x v="0"/>
    <x v="3"/>
    <x v="3"/>
    <x v="9"/>
    <x v="9"/>
    <n v="1078"/>
    <s v="811015694"/>
    <s v="INVERSIONES QUINTERO GARCIA LIMITADA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5002 DESCUENTO COMERCIAL AÑO ANTICIPADO"/>
    <n v="139329"/>
    <n v="0"/>
    <n v="139329"/>
    <x v="0"/>
    <x v="0"/>
    <x v="0"/>
    <n v="139329"/>
    <n v="0"/>
    <n v="139329"/>
    <x v="0"/>
    <x v="0"/>
    <x v="0"/>
    <n v="139329"/>
    <n v="0"/>
    <n v="139329"/>
    <x v="0"/>
    <x v="0"/>
    <x v="0"/>
    <x v="0"/>
    <x v="0"/>
  </r>
  <r>
    <x v="0"/>
    <x v="0"/>
    <x v="0"/>
    <x v="3"/>
    <x v="3"/>
    <x v="1"/>
    <x v="1"/>
    <n v="37060"/>
    <s v="900059238"/>
    <s v="MAKRO SUPERMAYORISTA S.A.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9238"/>
    <s v="MAKRO SUPERMAYORIST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FV4- 980 - SOPORTE ENVIADO POR DAYRO ECHEVERRIA"/>
    <n v="59"/>
    <n v="0"/>
    <n v="59"/>
    <x v="0"/>
    <x v="0"/>
    <x v="0"/>
    <n v="59"/>
    <n v="0"/>
    <n v="59"/>
    <x v="0"/>
    <x v="0"/>
    <x v="0"/>
    <n v="59"/>
    <n v="0"/>
    <n v="59"/>
    <x v="0"/>
    <x v="0"/>
    <x v="0"/>
    <x v="0"/>
    <x v="0"/>
  </r>
  <r>
    <x v="0"/>
    <x v="0"/>
    <x v="0"/>
    <x v="5"/>
    <x v="5"/>
    <x v="1"/>
    <x v="1"/>
    <n v="45555"/>
    <s v="900081559"/>
    <s v="REDITOS EMPRESARIALES S.A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81559"/>
    <s v="REDITOS EMPRESA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87"/>
    <n v="0"/>
    <n v="2187"/>
    <x v="0"/>
    <x v="0"/>
    <x v="0"/>
    <n v="2187"/>
    <n v="0"/>
    <n v="2187"/>
    <x v="0"/>
    <x v="0"/>
    <x v="0"/>
    <n v="2187"/>
    <n v="0"/>
    <n v="2187"/>
    <x v="0"/>
    <x v="0"/>
    <x v="0"/>
    <x v="0"/>
    <x v="0"/>
  </r>
  <r>
    <x v="0"/>
    <x v="0"/>
    <x v="0"/>
    <x v="5"/>
    <x v="5"/>
    <x v="1"/>
    <x v="1"/>
    <n v="45558"/>
    <s v="811003486"/>
    <s v="QUIPUX SAS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 355031, CO MEDELLIN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0"/>
    <x v="0"/>
    <x v="0"/>
    <x v="5"/>
    <x v="5"/>
    <x v="9"/>
    <x v="9"/>
    <n v="1202"/>
    <s v="805024070"/>
    <s v="MGI VIA CONSULTORIA S.A.S.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4070"/>
    <s v="MGI VIA CONSULTOR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AÑO ANTICIPADO, 9% EN FACTURA $104.993"/>
    <n v="104993"/>
    <n v="0"/>
    <n v="104993"/>
    <x v="0"/>
    <x v="0"/>
    <x v="0"/>
    <n v="104993"/>
    <n v="0"/>
    <n v="104993"/>
    <x v="0"/>
    <x v="0"/>
    <x v="0"/>
    <n v="104993"/>
    <n v="0"/>
    <n v="104993"/>
    <x v="0"/>
    <x v="0"/>
    <x v="0"/>
    <x v="0"/>
    <x v="0"/>
  </r>
  <r>
    <x v="0"/>
    <x v="0"/>
    <x v="0"/>
    <x v="5"/>
    <x v="5"/>
    <x v="1"/>
    <x v="1"/>
    <n v="45591"/>
    <s v="811021363"/>
    <s v="UNIPLES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1363"/>
    <s v="UNIP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9"/>
    <x v="9"/>
    <n v="1205"/>
    <s v="811028725"/>
    <s v="DISTRIMEDICAL S.A.S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DESCUENTO DEL 4.5% EN FACTURA SEMESTRE ANTICIPADO$58.514"/>
    <n v="58514"/>
    <n v="0"/>
    <n v="58514"/>
    <x v="0"/>
    <x v="0"/>
    <x v="0"/>
    <n v="58514"/>
    <n v="0"/>
    <n v="58514"/>
    <x v="0"/>
    <x v="0"/>
    <x v="0"/>
    <n v="58514"/>
    <n v="0"/>
    <n v="58514"/>
    <x v="0"/>
    <x v="0"/>
    <x v="0"/>
    <x v="0"/>
    <x v="0"/>
  </r>
  <r>
    <x v="0"/>
    <x v="0"/>
    <x v="0"/>
    <x v="5"/>
    <x v="5"/>
    <x v="1"/>
    <x v="1"/>
    <n v="45599"/>
    <s v="900535544"/>
    <s v="PREMIER INVESMENT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35544"/>
    <s v="PREMIER INVESMENT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ULTIMA CUOTA ACUERDO ANTERIOR."/>
    <n v="2824"/>
    <n v="0"/>
    <n v="2824"/>
    <x v="0"/>
    <x v="0"/>
    <x v="0"/>
    <n v="2824"/>
    <n v="0"/>
    <n v="2824"/>
    <x v="0"/>
    <x v="0"/>
    <x v="0"/>
    <n v="2824"/>
    <n v="0"/>
    <n v="2824"/>
    <x v="0"/>
    <x v="0"/>
    <x v="0"/>
    <x v="0"/>
    <x v="0"/>
  </r>
  <r>
    <x v="1"/>
    <x v="0"/>
    <x v="0"/>
    <x v="3"/>
    <x v="3"/>
    <x v="9"/>
    <x v="9"/>
    <n v="1082"/>
    <s v="890923354"/>
    <s v="CENTRO CCIAL CAMINO REAL"/>
    <s v="201902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3354"/>
    <s v="CENTRO CCIAL CAMINO RE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938, SE APLICA PRONTO PAGO DE $ 1.575.005 EL CLIENTE PAGA ANUAL CON UN DCTO DEL 9%"/>
    <n v="1575005"/>
    <n v="0"/>
    <n v="1575005"/>
    <x v="0"/>
    <x v="0"/>
    <x v="0"/>
    <n v="1575005"/>
    <n v="0"/>
    <n v="1575005"/>
    <x v="0"/>
    <x v="0"/>
    <x v="0"/>
    <n v="1575005"/>
    <n v="0"/>
    <n v="1575005"/>
    <x v="0"/>
    <x v="0"/>
    <x v="0"/>
    <x v="0"/>
    <x v="0"/>
  </r>
  <r>
    <x v="1"/>
    <x v="0"/>
    <x v="0"/>
    <x v="3"/>
    <x v="3"/>
    <x v="1"/>
    <x v="1"/>
    <n v="37116"/>
    <s v="811013715"/>
    <s v="LINEA ADHESIVA S.A"/>
    <s v="201902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005 SE REALIZA DCTO POR PRONTO PAGO DE $ 51.008"/>
    <n v="51008"/>
    <n v="0"/>
    <n v="51008"/>
    <x v="0"/>
    <x v="0"/>
    <x v="0"/>
    <n v="51008"/>
    <n v="0"/>
    <n v="51008"/>
    <x v="0"/>
    <x v="0"/>
    <x v="0"/>
    <n v="51008"/>
    <n v="0"/>
    <n v="51008"/>
    <x v="0"/>
    <x v="0"/>
    <x v="0"/>
    <x v="0"/>
    <x v="0"/>
  </r>
  <r>
    <x v="7"/>
    <x v="0"/>
    <x v="0"/>
    <x v="3"/>
    <x v="3"/>
    <x v="9"/>
    <x v="9"/>
    <n v="1117"/>
    <s v="890906347"/>
    <s v="E.S.E HOSP MANUEL URIBE ANGEL"/>
    <s v="20190412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90906347"/>
    <s v="E.S.E HOSP MANUEL URIBE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970-354587-354586_x000d__x000a_RETEIVA $ 49.561_x000d__x000a_"/>
    <n v="4999"/>
    <n v="0"/>
    <n v="4999"/>
    <x v="0"/>
    <x v="0"/>
    <x v="0"/>
    <n v="4999"/>
    <n v="0"/>
    <n v="4999"/>
    <x v="0"/>
    <x v="0"/>
    <x v="0"/>
    <n v="4999"/>
    <n v="0"/>
    <n v="4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1"/>
    <x v="0"/>
    <x v="0"/>
    <x v="2"/>
    <x v="2"/>
    <x v="9"/>
    <x v="9"/>
    <n v="1482"/>
    <s v="860002964"/>
    <s v="BANCO DE BOGOTA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RET/ICA $ 8.218 Y $ 92.872 POR PAGO ANTICIPADO"/>
    <n v="92872"/>
    <n v="0"/>
    <n v="92872"/>
    <x v="0"/>
    <x v="0"/>
    <x v="0"/>
    <n v="92872"/>
    <n v="0"/>
    <n v="92872"/>
    <x v="0"/>
    <x v="0"/>
    <x v="0"/>
    <n v="92872"/>
    <n v="0"/>
    <n v="92872"/>
    <x v="0"/>
    <x v="0"/>
    <x v="0"/>
    <x v="0"/>
    <x v="0"/>
  </r>
  <r>
    <x v="1"/>
    <x v="0"/>
    <x v="0"/>
    <x v="5"/>
    <x v="5"/>
    <x v="1"/>
    <x v="1"/>
    <n v="45999"/>
    <s v="650187917"/>
    <s v="FREI  HEINRICH ERNEST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5"/>
    <x v="0"/>
    <x v="0"/>
    <x v="3"/>
    <x v="3"/>
    <x v="1"/>
    <x v="1"/>
    <n v="37269"/>
    <s v="860048371"/>
    <s v="PROTEICOL S.A.S"/>
    <s v="201903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8371"/>
    <s v="PROTEICO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S # 355946-355947"/>
    <n v="13417"/>
    <n v="0"/>
    <n v="13417"/>
    <x v="0"/>
    <x v="0"/>
    <x v="0"/>
    <n v="13417"/>
    <n v="0"/>
    <n v="13417"/>
    <x v="0"/>
    <x v="0"/>
    <x v="0"/>
    <n v="13417"/>
    <n v="0"/>
    <n v="13417"/>
    <x v="0"/>
    <x v="0"/>
    <x v="0"/>
    <x v="0"/>
    <x v="0"/>
  </r>
  <r>
    <x v="5"/>
    <x v="0"/>
    <x v="0"/>
    <x v="0"/>
    <x v="0"/>
    <x v="0"/>
    <x v="0"/>
    <n v="4285"/>
    <s v="891410922"/>
    <s v="CENTRO COMERCIAL ALCIDES AREVALO (PEREIR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0922"/>
    <s v="CENTRO COMERCIAL ALCIDES AREVALO (PEREI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5"/>
    <x v="5"/>
    <x v="1"/>
    <x v="1"/>
    <n v="46117"/>
    <s v="805009741"/>
    <s v="COOMEVA MEDICINA PREPAGAD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357167,357131,356898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1"/>
    <x v="1"/>
    <n v="24230"/>
    <s v="802016130"/>
    <s v="CENTRO COMERCIAL BUENAVIST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78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5"/>
    <x v="0"/>
    <x v="0"/>
    <x v="1"/>
    <x v="1"/>
    <x v="1"/>
    <x v="1"/>
    <n v="24231"/>
    <s v="806012958"/>
    <s v="IPS SALUD DEL CARIBE S.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527 - FVA-357540 - FVA-357545 - FVA-357550 - FV6-1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5"/>
    <x v="0"/>
    <x v="0"/>
    <x v="5"/>
    <x v="5"/>
    <x v="1"/>
    <x v="1"/>
    <n v="46236"/>
    <s v="900569801"/>
    <s v="MARGARITA PEÑA S.A.S.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5"/>
    <x v="0"/>
    <x v="0"/>
    <x v="5"/>
    <x v="5"/>
    <x v="1"/>
    <x v="1"/>
    <n v="46237"/>
    <s v="1509246"/>
    <s v="MORALES SANTACRUZ JESUS ANTONIO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5"/>
    <x v="0"/>
    <x v="0"/>
    <x v="5"/>
    <x v="5"/>
    <x v="1"/>
    <x v="1"/>
    <n v="46260"/>
    <s v="34318168"/>
    <s v="ERAZO TORRES ZULMA VIVIAN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4318168"/>
    <s v="ERAZO TORRES ZULMA VIVIA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00"/>
    <n v="0"/>
    <n v="500"/>
    <x v="0"/>
    <x v="0"/>
    <x v="0"/>
    <n v="500"/>
    <n v="0"/>
    <n v="500"/>
    <x v="0"/>
    <x v="0"/>
    <x v="0"/>
    <n v="500"/>
    <n v="0"/>
    <n v="500"/>
    <x v="0"/>
    <x v="0"/>
    <x v="0"/>
    <x v="0"/>
    <x v="0"/>
  </r>
  <r>
    <x v="5"/>
    <x v="0"/>
    <x v="0"/>
    <x v="5"/>
    <x v="5"/>
    <x v="9"/>
    <x v="9"/>
    <n v="1258"/>
    <s v="830011670"/>
    <s v="COPSERVIR LTD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011670"/>
    <s v="COPSERVIR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463.970"/>
    <n v="463970"/>
    <n v="0"/>
    <n v="463970"/>
    <x v="0"/>
    <x v="0"/>
    <x v="0"/>
    <n v="463970"/>
    <n v="0"/>
    <n v="463970"/>
    <x v="0"/>
    <x v="0"/>
    <x v="0"/>
    <n v="463970"/>
    <n v="0"/>
    <n v="463970"/>
    <x v="0"/>
    <x v="0"/>
    <x v="0"/>
    <x v="0"/>
    <x v="0"/>
  </r>
  <r>
    <x v="5"/>
    <x v="0"/>
    <x v="0"/>
    <x v="1"/>
    <x v="1"/>
    <x v="1"/>
    <x v="1"/>
    <n v="24278"/>
    <s v="901062361"/>
    <s v="INVERSIONES MARCRI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283"/>
    <s v="900699086"/>
    <s v="CLINICA PALMA REAL S.A.S"/>
    <s v="2019040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7"/>
    <x v="0"/>
    <x v="0"/>
    <x v="5"/>
    <x v="5"/>
    <x v="1"/>
    <x v="1"/>
    <n v="46311"/>
    <s v="860037900"/>
    <s v="CONSTRUCTORA  BOLIVAR  CALI S.A"/>
    <s v="201904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71,472,473,475,476,865."/>
    <n v="2717"/>
    <n v="0"/>
    <n v="2717"/>
    <x v="0"/>
    <x v="0"/>
    <x v="0"/>
    <n v="2717"/>
    <n v="0"/>
    <n v="2717"/>
    <x v="0"/>
    <x v="0"/>
    <x v="0"/>
    <n v="2717"/>
    <n v="0"/>
    <n v="2717"/>
    <x v="0"/>
    <x v="0"/>
    <x v="0"/>
    <x v="0"/>
    <x v="0"/>
  </r>
  <r>
    <x v="7"/>
    <x v="0"/>
    <x v="0"/>
    <x v="2"/>
    <x v="2"/>
    <x v="9"/>
    <x v="9"/>
    <n v="1525"/>
    <s v="860025639"/>
    <s v="MITSUBISHI ELECTRIC DE COLOMBIA LIMITA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5639"/>
    <s v="MITSUBISHI ELECTRIC DE COLOMB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DE AÑO ANTICIPADO APLICA EL %9."/>
    <n v="300705"/>
    <n v="0"/>
    <n v="300705"/>
    <x v="0"/>
    <x v="0"/>
    <x v="0"/>
    <n v="300705"/>
    <n v="0"/>
    <n v="300705"/>
    <x v="0"/>
    <x v="0"/>
    <x v="0"/>
    <n v="300705"/>
    <n v="0"/>
    <n v="300705"/>
    <x v="0"/>
    <x v="0"/>
    <x v="0"/>
    <x v="0"/>
    <x v="0"/>
  </r>
  <r>
    <x v="7"/>
    <x v="0"/>
    <x v="0"/>
    <x v="1"/>
    <x v="1"/>
    <x v="1"/>
    <x v="1"/>
    <n v="24404"/>
    <s v="901062361"/>
    <s v="INVERSIONES MARCRI S.A.S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8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528"/>
    <s v="900569801"/>
    <s v="MARGARITA PEÑA S.A.S.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6"/>
    <x v="0"/>
    <x v="0"/>
    <x v="1"/>
    <x v="1"/>
    <x v="1"/>
    <x v="1"/>
    <n v="24466"/>
    <s v="890102508"/>
    <s v="SALES INMOBILIARI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2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667"/>
    <s v="800048954"/>
    <s v="CLINICA VERSALLES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6"/>
    <x v="0"/>
    <x v="0"/>
    <x v="5"/>
    <x v="5"/>
    <x v="9"/>
    <x v="9"/>
    <n v="1293"/>
    <s v="805011901"/>
    <s v="LASKIN S.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PAGO AÑO ANTICIPADO %9, $244.218"/>
    <n v="244218"/>
    <n v="0"/>
    <n v="244218"/>
    <x v="0"/>
    <x v="0"/>
    <x v="0"/>
    <n v="244218"/>
    <n v="0"/>
    <n v="244218"/>
    <x v="0"/>
    <x v="0"/>
    <x v="0"/>
    <n v="244218"/>
    <n v="0"/>
    <n v="244218"/>
    <x v="0"/>
    <x v="0"/>
    <x v="0"/>
    <x v="0"/>
    <x v="0"/>
  </r>
  <r>
    <x v="6"/>
    <x v="0"/>
    <x v="0"/>
    <x v="5"/>
    <x v="5"/>
    <x v="1"/>
    <x v="1"/>
    <n v="46712"/>
    <s v="890304375"/>
    <s v="INDUGRAFICAS S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6"/>
    <x v="0"/>
    <x v="0"/>
    <x v="1"/>
    <x v="1"/>
    <x v="1"/>
    <x v="1"/>
    <n v="24488"/>
    <s v="1140900157"/>
    <s v="BOZON ALBA VALENTINA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9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6"/>
    <x v="0"/>
    <x v="0"/>
    <x v="3"/>
    <x v="3"/>
    <x v="1"/>
    <x v="1"/>
    <n v="37749"/>
    <s v="900163527"/>
    <s v="CENTRO COMERCIAL SAN NICOLAS PROPIEDAD HORIZONTAL"/>
    <s v="201905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572_x000d__x000a_SE LE OTORGA DCTO COMERCIAL POR PRONTO PAGO  DE $ 71.111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6"/>
    <x v="0"/>
    <x v="0"/>
    <x v="5"/>
    <x v="5"/>
    <x v="1"/>
    <x v="1"/>
    <n v="46741"/>
    <s v="900424306"/>
    <s v="SEGO ENTERPRISE SOLUTIONS SAS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424306"/>
    <s v="SEGO ENTERPRISE SOLUTION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6"/>
    <x v="0"/>
    <x v="0"/>
    <x v="5"/>
    <x v="5"/>
    <x v="1"/>
    <x v="1"/>
    <n v="46742"/>
    <s v="890311006"/>
    <s v="FONDO DE EMPLEADOS DE LAS EMP.MPALES DE CALI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6"/>
    <x v="0"/>
    <x v="0"/>
    <x v="5"/>
    <x v="5"/>
    <x v="9"/>
    <x v="9"/>
    <n v="1296"/>
    <s v="31945039"/>
    <s v="VILLAREAL MORALES ONEIDA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45039"/>
    <s v="VILLAREAL MORALES ONEI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6"/>
    <x v="0"/>
    <x v="0"/>
    <x v="1"/>
    <x v="1"/>
    <x v="1"/>
    <x v="1"/>
    <n v="24502"/>
    <s v="802016306"/>
    <s v="EXPOCONSTRUCCION 43 Y CIA LTDA"/>
    <s v="201905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2"/>
    <n v="35"/>
    <n v="0"/>
    <n v="35"/>
    <x v="0"/>
    <x v="0"/>
    <x v="0"/>
    <n v="35"/>
    <n v="0"/>
    <n v="35"/>
    <x v="0"/>
    <x v="0"/>
    <x v="0"/>
    <n v="35"/>
    <n v="0"/>
    <n v="35"/>
    <x v="0"/>
    <x v="0"/>
    <x v="0"/>
    <x v="0"/>
    <x v="0"/>
  </r>
  <r>
    <x v="6"/>
    <x v="0"/>
    <x v="0"/>
    <x v="5"/>
    <x v="5"/>
    <x v="1"/>
    <x v="1"/>
    <n v="46800"/>
    <s v="860046201"/>
    <s v="FORTOX S.A"/>
    <s v="201905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5"/>
    <x v="5"/>
    <x v="1"/>
    <x v="1"/>
    <n v="46803"/>
    <s v="900825179"/>
    <s v="ELIZABETH TRULLAS  CIA S.A.S"/>
    <s v="201905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6"/>
    <x v="0"/>
    <x v="0"/>
    <x v="5"/>
    <x v="5"/>
    <x v="1"/>
    <x v="1"/>
    <n v="46826"/>
    <s v="900569801"/>
    <s v="MARGARITA PEÑA S.A.S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6849"/>
    <s v="900077291"/>
    <s v="INVERSIONES BENAVIDES SOLARTE SCS"/>
    <s v="201906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6876"/>
    <s v="890304375"/>
    <s v="INDUGRAFICAS SA.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2"/>
    <x v="0"/>
    <x v="0"/>
    <x v="5"/>
    <x v="5"/>
    <x v="1"/>
    <x v="1"/>
    <n v="46904"/>
    <s v="890318490"/>
    <s v="FERRETERIA TUBERIAS S.A.S.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2"/>
    <x v="0"/>
    <x v="0"/>
    <x v="5"/>
    <x v="5"/>
    <x v="1"/>
    <x v="1"/>
    <n v="46905"/>
    <s v="42087065"/>
    <s v="RUEDA OCAMPO CLAUDIA PATRICIA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2"/>
    <x v="0"/>
    <x v="0"/>
    <x v="2"/>
    <x v="2"/>
    <x v="9"/>
    <x v="9"/>
    <n v="1574"/>
    <s v="860020058"/>
    <s v="DISTRIBUIDORA TOYOTA S.A.S.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0058"/>
    <s v="DISTRIBUIDORA TOYOT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MESTRE 4.5% $61.668"/>
    <n v="61668"/>
    <n v="0"/>
    <n v="61668"/>
    <x v="0"/>
    <x v="0"/>
    <x v="0"/>
    <n v="61668"/>
    <n v="0"/>
    <n v="61668"/>
    <x v="0"/>
    <x v="0"/>
    <x v="0"/>
    <n v="61668"/>
    <n v="0"/>
    <n v="61668"/>
    <x v="0"/>
    <x v="0"/>
    <x v="0"/>
    <x v="0"/>
    <x v="0"/>
  </r>
  <r>
    <x v="2"/>
    <x v="0"/>
    <x v="0"/>
    <x v="5"/>
    <x v="5"/>
    <x v="9"/>
    <x v="9"/>
    <n v="1306"/>
    <s v="800096895"/>
    <s v="GRUPO CARDIOLOGICO DE OCCIDENTE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96895"/>
    <s v="GRUPO CARDIOLOGICO DE OCCIDENT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en factura ok., $146.243"/>
    <n v="146243"/>
    <n v="0"/>
    <n v="146243"/>
    <x v="0"/>
    <x v="0"/>
    <x v="0"/>
    <n v="146243"/>
    <n v="0"/>
    <n v="146243"/>
    <x v="0"/>
    <x v="0"/>
    <x v="0"/>
    <n v="146243"/>
    <n v="0"/>
    <n v="146243"/>
    <x v="0"/>
    <x v="0"/>
    <x v="0"/>
    <x v="0"/>
    <x v="0"/>
  </r>
  <r>
    <x v="2"/>
    <x v="0"/>
    <x v="0"/>
    <x v="5"/>
    <x v="5"/>
    <x v="9"/>
    <x v="9"/>
    <n v="1310"/>
    <s v="830510909"/>
    <s v="RIVERCOL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 ANTICIPADO 4.5 % $61.244"/>
    <n v="61244"/>
    <n v="0"/>
    <n v="61244"/>
    <x v="0"/>
    <x v="0"/>
    <x v="0"/>
    <n v="61244"/>
    <n v="0"/>
    <n v="61244"/>
    <x v="0"/>
    <x v="0"/>
    <x v="0"/>
    <n v="61244"/>
    <n v="0"/>
    <n v="61244"/>
    <x v="0"/>
    <x v="0"/>
    <x v="0"/>
    <x v="0"/>
    <x v="0"/>
  </r>
  <r>
    <x v="2"/>
    <x v="0"/>
    <x v="0"/>
    <x v="5"/>
    <x v="5"/>
    <x v="9"/>
    <x v="9"/>
    <n v="1311"/>
    <s v="890303797"/>
    <s v="UNIVERSIDAD SANTIAGO DE CALI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3797"/>
    <s v="UNIVERSIDAD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, 9% OK, $291.585"/>
    <n v="291585"/>
    <n v="0"/>
    <n v="291585"/>
    <x v="0"/>
    <x v="0"/>
    <x v="0"/>
    <n v="291585"/>
    <n v="0"/>
    <n v="291585"/>
    <x v="0"/>
    <x v="0"/>
    <x v="0"/>
    <n v="291585"/>
    <n v="0"/>
    <n v="291585"/>
    <x v="0"/>
    <x v="0"/>
    <x v="0"/>
    <x v="0"/>
    <x v="0"/>
  </r>
  <r>
    <x v="2"/>
    <x v="0"/>
    <x v="0"/>
    <x v="5"/>
    <x v="5"/>
    <x v="9"/>
    <x v="9"/>
    <n v="1312"/>
    <s v="805007342"/>
    <s v="FONDO DE GARANTIAS S.A. CONFE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7342"/>
    <s v="FONDO DE GARANTIAS S.A. CONF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$395.216"/>
    <n v="395216"/>
    <n v="0"/>
    <n v="395216"/>
    <x v="0"/>
    <x v="0"/>
    <x v="0"/>
    <n v="395216"/>
    <n v="0"/>
    <n v="395216"/>
    <x v="0"/>
    <x v="0"/>
    <x v="0"/>
    <n v="395216"/>
    <n v="0"/>
    <n v="395216"/>
    <x v="0"/>
    <x v="0"/>
    <x v="0"/>
    <x v="0"/>
    <x v="0"/>
  </r>
  <r>
    <x v="2"/>
    <x v="0"/>
    <x v="0"/>
    <x v="5"/>
    <x v="5"/>
    <x v="1"/>
    <x v="1"/>
    <n v="46930"/>
    <s v="817001528"/>
    <s v="PAVCO DE OCCIDENTE SA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2"/>
    <x v="0"/>
    <x v="0"/>
    <x v="5"/>
    <x v="5"/>
    <x v="9"/>
    <x v="9"/>
    <n v="1309"/>
    <s v="805012610"/>
    <s v="FINESA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ESCUENTO %9  OK,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0"/>
    <x v="0"/>
    <x v="0"/>
    <x v="0"/>
    <x v="0"/>
    <x v="2"/>
    <x v="2"/>
    <n v="19431"/>
    <s v="860007660"/>
    <s v="HELM BANK S.A."/>
    <s v="201901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K 4225 -"/>
    <n v="274281.71999999997"/>
    <n v="0"/>
    <n v="274281.72000000003"/>
    <x v="0"/>
    <x v="0"/>
    <x v="0"/>
    <n v="274281.71999999997"/>
    <n v="0"/>
    <n v="274281.72000000003"/>
    <x v="0"/>
    <x v="0"/>
    <x v="0"/>
    <n v="274281.71999999997"/>
    <n v="0"/>
    <n v="274281.72000000003"/>
    <x v="0"/>
    <x v="0"/>
    <x v="0"/>
    <x v="0"/>
    <x v="0"/>
  </r>
  <r>
    <x v="0"/>
    <x v="0"/>
    <x v="0"/>
    <x v="0"/>
    <x v="0"/>
    <x v="2"/>
    <x v="2"/>
    <n v="19611"/>
    <s v="860002964"/>
    <s v="BANCO DE BOGOT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246057"/>
    <n v="0"/>
    <n v="246057"/>
    <x v="0"/>
    <x v="0"/>
    <x v="0"/>
    <n v="246057"/>
    <n v="0"/>
    <n v="246057"/>
    <x v="0"/>
    <x v="0"/>
    <x v="0"/>
    <n v="246057"/>
    <n v="0"/>
    <n v="246057"/>
    <x v="0"/>
    <x v="0"/>
    <x v="0"/>
    <x v="0"/>
    <x v="0"/>
  </r>
  <r>
    <x v="0"/>
    <x v="0"/>
    <x v="0"/>
    <x v="0"/>
    <x v="0"/>
    <x v="2"/>
    <x v="2"/>
    <n v="19612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- ENERO 2019"/>
    <n v="26796.03"/>
    <n v="0"/>
    <n v="26796.03"/>
    <x v="0"/>
    <x v="0"/>
    <x v="0"/>
    <n v="26796.03"/>
    <n v="0"/>
    <n v="26796.03"/>
    <x v="0"/>
    <x v="0"/>
    <x v="0"/>
    <n v="26796.03"/>
    <n v="0"/>
    <n v="26796.03"/>
    <x v="0"/>
    <x v="0"/>
    <x v="0"/>
    <x v="0"/>
    <x v="0"/>
  </r>
  <r>
    <x v="0"/>
    <x v="0"/>
    <x v="0"/>
    <x v="0"/>
    <x v="0"/>
    <x v="2"/>
    <x v="2"/>
    <n v="19633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18426"/>
    <n v="0"/>
    <n v="18426"/>
    <x v="0"/>
    <x v="0"/>
    <x v="0"/>
    <n v="18426"/>
    <n v="0"/>
    <n v="18426"/>
    <x v="0"/>
    <x v="0"/>
    <x v="0"/>
    <n v="18426"/>
    <n v="0"/>
    <n v="18426"/>
    <x v="0"/>
    <x v="0"/>
    <x v="0"/>
    <x v="0"/>
    <x v="0"/>
  </r>
  <r>
    <x v="0"/>
    <x v="0"/>
    <x v="0"/>
    <x v="0"/>
    <x v="0"/>
    <x v="2"/>
    <x v="2"/>
    <n v="19635"/>
    <s v="900406150"/>
    <s v="BANCO COOMEV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9"/>
    <n v="116232.29"/>
    <n v="0"/>
    <n v="116232.29000000001"/>
    <x v="0"/>
    <x v="0"/>
    <x v="0"/>
    <n v="116232.29"/>
    <n v="0"/>
    <n v="116232.29000000001"/>
    <x v="0"/>
    <x v="0"/>
    <x v="0"/>
    <n v="116232.29"/>
    <n v="0"/>
    <n v="116232.29000000001"/>
    <x v="0"/>
    <x v="0"/>
    <x v="0"/>
    <x v="0"/>
    <x v="0"/>
  </r>
  <r>
    <x v="0"/>
    <x v="0"/>
    <x v="0"/>
    <x v="0"/>
    <x v="0"/>
    <x v="2"/>
    <x v="2"/>
    <n v="19620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OCCIDENTE"/>
    <n v="261000"/>
    <n v="0"/>
    <n v="261000"/>
    <x v="0"/>
    <x v="0"/>
    <x v="0"/>
    <n v="261000"/>
    <n v="0"/>
    <n v="261000"/>
    <x v="0"/>
    <x v="0"/>
    <x v="0"/>
    <n v="261000"/>
    <n v="0"/>
    <n v="261000"/>
    <x v="0"/>
    <x v="0"/>
    <x v="0"/>
    <x v="0"/>
    <x v="0"/>
  </r>
  <r>
    <x v="0"/>
    <x v="0"/>
    <x v="0"/>
    <x v="0"/>
    <x v="0"/>
    <x v="2"/>
    <x v="2"/>
    <n v="19572"/>
    <s v="890311940"/>
    <s v="TURISMO MARVAN SA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NCOLOMBIA"/>
    <n v="3993.14"/>
    <n v="0"/>
    <n v="3993.14"/>
    <x v="0"/>
    <x v="0"/>
    <x v="0"/>
    <n v="3993.14"/>
    <n v="0"/>
    <n v="3993.14"/>
    <x v="0"/>
    <x v="0"/>
    <x v="0"/>
    <n v="3993.14"/>
    <n v="0"/>
    <n v="3993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5"/>
    <x v="5"/>
    <x v="1"/>
    <x v="1"/>
    <n v="45947"/>
    <s v="800004599"/>
    <s v="COMERCIALIZADORA MARDEN LTD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04599"/>
    <s v="COMERCIALIZADORA MARDEN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1"/>
    <x v="0"/>
    <x v="0"/>
    <x v="5"/>
    <x v="5"/>
    <x v="9"/>
    <x v="9"/>
    <n v="1236"/>
    <s v="800024390"/>
    <s v="DIME CLINICA NEUROCARDIOVASCULAR S.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24390"/>
    <s v="DIME CLINICA NEUROCARDIOVASCUL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243.540"/>
    <n v="243540"/>
    <n v="0"/>
    <n v="243540"/>
    <x v="0"/>
    <x v="0"/>
    <x v="0"/>
    <n v="243540"/>
    <n v="0"/>
    <n v="243540"/>
    <x v="0"/>
    <x v="0"/>
    <x v="0"/>
    <n v="243540"/>
    <n v="0"/>
    <n v="243540"/>
    <x v="0"/>
    <x v="0"/>
    <x v="0"/>
    <x v="0"/>
    <x v="0"/>
  </r>
  <r>
    <x v="1"/>
    <x v="0"/>
    <x v="0"/>
    <x v="1"/>
    <x v="1"/>
    <x v="1"/>
    <x v="1"/>
    <n v="24128"/>
    <s v="32757237"/>
    <s v="MEDINA OLIVEROS FARATH DIV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25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1"/>
    <x v="0"/>
    <x v="0"/>
    <x v="1"/>
    <x v="1"/>
    <x v="1"/>
    <x v="1"/>
    <n v="24134"/>
    <s v="802010909"/>
    <s v="INVERSIONES WONGFOEN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2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1"/>
    <x v="1"/>
    <x v="1"/>
    <x v="1"/>
    <n v="24137"/>
    <s v="802016130"/>
    <s v="CENTRO COMERCIAL BUENAVISTA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1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1"/>
    <x v="0"/>
    <x v="0"/>
    <x v="5"/>
    <x v="5"/>
    <x v="1"/>
    <x v="1"/>
    <n v="45963"/>
    <s v="900569801"/>
    <s v="MARGARITA PEÑA S.A.S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341"/>
    <n v="0"/>
    <n v="4341"/>
    <x v="0"/>
    <x v="0"/>
    <x v="0"/>
    <n v="4341"/>
    <n v="0"/>
    <n v="4341"/>
    <x v="0"/>
    <x v="0"/>
    <x v="0"/>
    <n v="4341"/>
    <n v="0"/>
    <n v="4341"/>
    <x v="0"/>
    <x v="0"/>
    <x v="0"/>
    <x v="0"/>
    <x v="0"/>
  </r>
  <r>
    <x v="1"/>
    <x v="0"/>
    <x v="0"/>
    <x v="5"/>
    <x v="5"/>
    <x v="1"/>
    <x v="1"/>
    <n v="45964"/>
    <s v="900825179"/>
    <s v="ELIZABETH TRULLAS  CIA S.A.S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1"/>
    <x v="0"/>
    <x v="0"/>
    <x v="5"/>
    <x v="5"/>
    <x v="1"/>
    <x v="1"/>
    <n v="45974"/>
    <s v="1509246"/>
    <s v="MORALES SANTACRUZ JESUS ANTONIO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1"/>
    <x v="0"/>
    <x v="0"/>
    <x v="5"/>
    <x v="5"/>
    <x v="1"/>
    <x v="1"/>
    <n v="45975"/>
    <s v="890318490"/>
    <s v="FERRETERIA TUBERIAS S.A.S.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1"/>
    <x v="1"/>
    <n v="46046"/>
    <s v="890304375"/>
    <s v="INDUGRAFICAS SA.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5"/>
    <x v="0"/>
    <x v="0"/>
    <x v="0"/>
    <x v="0"/>
    <x v="0"/>
    <x v="0"/>
    <n v="4286"/>
    <s v="890915992"/>
    <s v="INUBERCO"/>
    <s v="201903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5992"/>
    <s v="INUBERC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DEJADO DE APLICAR SOBRE FACTURA DEL AÑO 2018"/>
    <n v="21398"/>
    <n v="0"/>
    <n v="21398"/>
    <x v="0"/>
    <x v="0"/>
    <x v="0"/>
    <n v="21398"/>
    <n v="0"/>
    <n v="21398"/>
    <x v="0"/>
    <x v="0"/>
    <x v="0"/>
    <n v="21398"/>
    <n v="0"/>
    <n v="21398"/>
    <x v="0"/>
    <x v="0"/>
    <x v="0"/>
    <x v="0"/>
    <x v="0"/>
  </r>
  <r>
    <x v="5"/>
    <x v="0"/>
    <x v="0"/>
    <x v="1"/>
    <x v="1"/>
    <x v="1"/>
    <x v="1"/>
    <n v="24173"/>
    <s v="901062361"/>
    <s v="INVERSIONES MARCRI S.A.S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9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1167"/>
    <s v="CENTRO DE DISEÑO PORTOB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10956"/>
    <n v="0"/>
    <n v="10956"/>
    <x v="0"/>
    <x v="0"/>
    <x v="0"/>
    <n v="10956"/>
    <n v="0"/>
    <n v="10956"/>
    <x v="0"/>
    <x v="0"/>
    <x v="0"/>
    <n v="10956"/>
    <n v="0"/>
    <n v="10956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10268"/>
    <s v="AJOVE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360"/>
    <n v="0"/>
    <n v="360"/>
    <x v="0"/>
    <x v="0"/>
    <x v="0"/>
    <n v="360"/>
    <n v="0"/>
    <n v="360"/>
    <x v="0"/>
    <x v="0"/>
    <x v="0"/>
    <n v="360"/>
    <n v="0"/>
    <n v="360"/>
    <x v="0"/>
    <x v="0"/>
    <x v="0"/>
    <x v="0"/>
    <x v="0"/>
  </r>
  <r>
    <x v="5"/>
    <x v="0"/>
    <x v="0"/>
    <x v="5"/>
    <x v="5"/>
    <x v="1"/>
    <x v="1"/>
    <n v="46077"/>
    <s v="800054863"/>
    <s v="HEMISFERIO TOURS Y CIA LTD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450"/>
    <n v="0"/>
    <n v="4450"/>
    <x v="0"/>
    <x v="0"/>
    <x v="0"/>
    <n v="4450"/>
    <n v="0"/>
    <n v="4450"/>
    <x v="0"/>
    <x v="0"/>
    <x v="0"/>
    <n v="4450"/>
    <n v="0"/>
    <n v="4450"/>
    <x v="0"/>
    <x v="0"/>
    <x v="0"/>
    <x v="0"/>
    <x v="0"/>
  </r>
  <r>
    <x v="5"/>
    <x v="0"/>
    <x v="0"/>
    <x v="1"/>
    <x v="1"/>
    <x v="1"/>
    <x v="1"/>
    <n v="24181"/>
    <s v="900061516"/>
    <s v="MUEBLES JAMAR S.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3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5"/>
    <x v="5"/>
    <x v="9"/>
    <x v="9"/>
    <n v="1246"/>
    <s v="900393834"/>
    <s v="INVERSIONES OB S.A.S"/>
    <s v="201903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93834"/>
    <s v="INVERSIONES OB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$ 29.700"/>
    <n v="29700"/>
    <n v="0"/>
    <n v="29700"/>
    <x v="0"/>
    <x v="0"/>
    <x v="0"/>
    <n v="29700"/>
    <n v="0"/>
    <n v="29700"/>
    <x v="0"/>
    <x v="0"/>
    <x v="0"/>
    <n v="29700"/>
    <n v="0"/>
    <n v="29700"/>
    <x v="0"/>
    <x v="0"/>
    <x v="0"/>
    <x v="0"/>
    <x v="0"/>
  </r>
  <r>
    <x v="5"/>
    <x v="0"/>
    <x v="0"/>
    <x v="1"/>
    <x v="1"/>
    <x v="1"/>
    <x v="1"/>
    <n v="24193"/>
    <s v="890102508"/>
    <s v="SALES INMOBILIARI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1"/>
    <x v="1"/>
    <n v="2381"/>
    <s v="98533053"/>
    <s v="PUETAMAN GUERRERO JAN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8533053"/>
    <s v="PUETAMAN GUERRERO J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918"/>
    <n v="0"/>
    <n v="5918"/>
    <x v="0"/>
    <x v="0"/>
    <x v="0"/>
    <n v="5918"/>
    <n v="0"/>
    <n v="5918"/>
    <x v="0"/>
    <x v="0"/>
    <x v="0"/>
    <n v="5918"/>
    <n v="0"/>
    <n v="5918"/>
    <x v="0"/>
    <x v="0"/>
    <x v="0"/>
    <x v="0"/>
    <x v="0"/>
  </r>
  <r>
    <x v="5"/>
    <x v="0"/>
    <x v="0"/>
    <x v="6"/>
    <x v="6"/>
    <x v="9"/>
    <x v="9"/>
    <n v="1123"/>
    <s v="830053812"/>
    <s v="ALIANZA FIDUCIARIA S.A. FIDEICOMISO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53812"/>
    <s v="ALIANZA FIDUCIARIA S.A. FIDEICOMIS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353624-353625 DESCUENTO DEL 4.5 POR PAGO SEMESTRE ANTICIPADO"/>
    <n v="56858"/>
    <n v="0"/>
    <n v="56858"/>
    <x v="0"/>
    <x v="0"/>
    <x v="0"/>
    <n v="56858"/>
    <n v="0"/>
    <n v="56858"/>
    <x v="0"/>
    <x v="0"/>
    <x v="0"/>
    <n v="56858"/>
    <n v="0"/>
    <n v="56858"/>
    <x v="0"/>
    <x v="0"/>
    <x v="0"/>
    <x v="0"/>
    <x v="0"/>
  </r>
  <r>
    <x v="5"/>
    <x v="0"/>
    <x v="0"/>
    <x v="5"/>
    <x v="5"/>
    <x v="1"/>
    <x v="1"/>
    <n v="46175"/>
    <s v="900825179"/>
    <s v="ELIZABETH TRULLAS  CIA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5"/>
    <x v="0"/>
    <x v="0"/>
    <x v="5"/>
    <x v="5"/>
    <x v="1"/>
    <x v="1"/>
    <n v="46176"/>
    <s v="890318490"/>
    <s v="FERRETERIA TUBERIAS S.A.S.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9"/>
    <x v="9"/>
    <n v="1255"/>
    <s v="890304049"/>
    <s v="ARQUIDIOCESIS DE CALI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 9% $494.922"/>
    <n v="494922"/>
    <n v="0"/>
    <n v="494922"/>
    <x v="0"/>
    <x v="0"/>
    <x v="0"/>
    <n v="494922"/>
    <n v="0"/>
    <n v="494922"/>
    <x v="0"/>
    <x v="0"/>
    <x v="0"/>
    <n v="494922"/>
    <n v="0"/>
    <n v="494922"/>
    <x v="0"/>
    <x v="0"/>
    <x v="0"/>
    <x v="0"/>
    <x v="0"/>
  </r>
  <r>
    <x v="5"/>
    <x v="0"/>
    <x v="0"/>
    <x v="0"/>
    <x v="0"/>
    <x v="1"/>
    <x v="1"/>
    <n v="2386"/>
    <s v="900294946"/>
    <s v="BC COMERCIALIZADORA S.A.S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94946"/>
    <s v="BC COMERCIALIZAD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164461"/>
    <n v="0"/>
    <n v="164461"/>
    <x v="0"/>
    <x v="0"/>
    <x v="0"/>
    <n v="164461"/>
    <n v="0"/>
    <n v="164461"/>
    <x v="0"/>
    <x v="0"/>
    <x v="0"/>
    <n v="164461"/>
    <n v="0"/>
    <n v="164461"/>
    <x v="0"/>
    <x v="0"/>
    <x v="0"/>
    <x v="0"/>
    <x v="0"/>
  </r>
  <r>
    <x v="5"/>
    <x v="0"/>
    <x v="0"/>
    <x v="2"/>
    <x v="2"/>
    <x v="9"/>
    <x v="9"/>
    <n v="1506"/>
    <s v="860003113"/>
    <s v="SANITARIAS E HIDRAULICAS S.A.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3113"/>
    <s v="SANITARIAS E HIDRAULICA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por semestre anticipado aplica el 4.5 %"/>
    <n v="42720"/>
    <n v="0"/>
    <n v="42720"/>
    <x v="0"/>
    <x v="0"/>
    <x v="0"/>
    <n v="42720"/>
    <n v="0"/>
    <n v="42720"/>
    <x v="0"/>
    <x v="0"/>
    <x v="0"/>
    <n v="42720"/>
    <n v="0"/>
    <n v="42720"/>
    <x v="0"/>
    <x v="0"/>
    <x v="0"/>
    <x v="0"/>
    <x v="0"/>
  </r>
  <r>
    <x v="5"/>
    <x v="0"/>
    <x v="0"/>
    <x v="5"/>
    <x v="5"/>
    <x v="1"/>
    <x v="1"/>
    <n v="46225"/>
    <s v="31993745"/>
    <s v="RENGIFO MONTEALEGRE MARIA DEL PILAR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93745"/>
    <s v="RENGIFO MONTEALEGRE MARIA DEL PIL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7"/>
    <x v="0"/>
    <x v="0"/>
    <x v="0"/>
    <x v="0"/>
    <x v="0"/>
    <x v="0"/>
    <n v="4290"/>
    <s v="901046241"/>
    <s v="DECO SHOP S.A.S"/>
    <s v="2019040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046241"/>
    <s v="DECO SHOP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PAGO VOLUNTARIO CARTERA EN ABOGADO"/>
    <n v="224481"/>
    <n v="0"/>
    <n v="224481"/>
    <x v="0"/>
    <x v="0"/>
    <x v="0"/>
    <n v="224481"/>
    <n v="0"/>
    <n v="224481"/>
    <x v="0"/>
    <x v="0"/>
    <x v="0"/>
    <n v="224481"/>
    <n v="0"/>
    <n v="224481"/>
    <x v="0"/>
    <x v="0"/>
    <x v="0"/>
    <x v="0"/>
    <x v="0"/>
  </r>
  <r>
    <x v="7"/>
    <x v="0"/>
    <x v="0"/>
    <x v="1"/>
    <x v="1"/>
    <x v="1"/>
    <x v="1"/>
    <n v="24279"/>
    <s v="890107487"/>
    <s v="SUPERTIENDAS Y DROGUERIAS OLIMPICA S.A."/>
    <s v="201904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2502"/>
    <n v="0"/>
    <n v="2502"/>
    <x v="0"/>
    <x v="0"/>
    <x v="0"/>
    <n v="2502"/>
    <n v="0"/>
    <n v="2502"/>
    <x v="0"/>
    <x v="0"/>
    <x v="0"/>
    <n v="2502"/>
    <n v="0"/>
    <n v="2502"/>
    <x v="0"/>
    <x v="0"/>
    <x v="0"/>
    <x v="0"/>
    <x v="0"/>
  </r>
  <r>
    <x v="7"/>
    <x v="0"/>
    <x v="0"/>
    <x v="1"/>
    <x v="1"/>
    <x v="1"/>
    <x v="1"/>
    <n v="24303"/>
    <s v="32757237"/>
    <s v="MEDINA OLIVEROS FARATH DIV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87"/>
    <n v="7"/>
    <n v="0"/>
    <n v="7"/>
    <x v="0"/>
    <x v="0"/>
    <x v="0"/>
    <n v="7"/>
    <n v="0"/>
    <n v="7"/>
    <x v="0"/>
    <x v="0"/>
    <x v="0"/>
    <n v="7"/>
    <n v="0"/>
    <n v="7"/>
    <x v="0"/>
    <x v="0"/>
    <x v="0"/>
    <x v="0"/>
    <x v="0"/>
  </r>
  <r>
    <x v="7"/>
    <x v="0"/>
    <x v="0"/>
    <x v="1"/>
    <x v="1"/>
    <x v="1"/>
    <x v="1"/>
    <n v="24304"/>
    <s v="802016306"/>
    <s v="EXPOCONSTRUCCION 43 Y CIA LTD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12 - FVA-360002"/>
    <n v="17"/>
    <n v="0"/>
    <n v="17"/>
    <x v="0"/>
    <x v="0"/>
    <x v="0"/>
    <n v="17"/>
    <n v="0"/>
    <n v="17"/>
    <x v="0"/>
    <x v="0"/>
    <x v="0"/>
    <n v="17"/>
    <n v="0"/>
    <n v="17"/>
    <x v="0"/>
    <x v="0"/>
    <x v="0"/>
    <x v="0"/>
    <x v="0"/>
  </r>
  <r>
    <x v="7"/>
    <x v="0"/>
    <x v="0"/>
    <x v="1"/>
    <x v="1"/>
    <x v="1"/>
    <x v="1"/>
    <n v="24307"/>
    <s v="890102508"/>
    <s v="SALES INMOBILIARIA S.A.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485"/>
    <s v="811040443"/>
    <s v="B Y B CONSTRUCTORES S.A."/>
    <s v="201904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614"/>
    <n v="1258"/>
    <n v="0"/>
    <n v="1258"/>
    <x v="0"/>
    <x v="0"/>
    <x v="0"/>
    <n v="1258"/>
    <n v="0"/>
    <n v="1258"/>
    <x v="0"/>
    <x v="0"/>
    <x v="0"/>
    <n v="1258"/>
    <n v="0"/>
    <n v="1258"/>
    <x v="0"/>
    <x v="0"/>
    <x v="0"/>
    <x v="0"/>
    <x v="0"/>
  </r>
  <r>
    <x v="6"/>
    <x v="0"/>
    <x v="0"/>
    <x v="6"/>
    <x v="6"/>
    <x v="9"/>
    <x v="9"/>
    <n v="1135"/>
    <s v="25016809"/>
    <s v="MARTINEZ HURTADO NUBIA"/>
    <s v="201905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25016809"/>
    <s v="MARTINEZ HURTADO NU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 #358839 DESCUENTO  POR PAGO SEMESTRAL  POR VALOR DE $17.250"/>
    <n v="17250"/>
    <n v="0"/>
    <n v="17250"/>
    <x v="0"/>
    <x v="0"/>
    <x v="0"/>
    <n v="17250"/>
    <n v="0"/>
    <n v="17250"/>
    <x v="0"/>
    <x v="0"/>
    <x v="0"/>
    <n v="17250"/>
    <n v="0"/>
    <n v="17250"/>
    <x v="0"/>
    <x v="0"/>
    <x v="0"/>
    <x v="0"/>
    <x v="0"/>
  </r>
  <r>
    <x v="7"/>
    <x v="0"/>
    <x v="0"/>
    <x v="1"/>
    <x v="1"/>
    <x v="1"/>
    <x v="1"/>
    <n v="24322"/>
    <s v="802016130"/>
    <s v="CENTRO COMERCIAL BUENAVIST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7"/>
    <x v="0"/>
    <x v="0"/>
    <x v="1"/>
    <x v="1"/>
    <x v="1"/>
    <x v="1"/>
    <n v="24326"/>
    <s v="900061516"/>
    <s v="MUEBLES JAMAR S.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44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1"/>
    <x v="1"/>
    <x v="1"/>
    <x v="1"/>
    <n v="24318"/>
    <s v="802010909"/>
    <s v="INVERSIONES WONGFOEN S.A.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1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7"/>
    <x v="0"/>
    <x v="0"/>
    <x v="1"/>
    <x v="1"/>
    <x v="1"/>
    <x v="1"/>
    <n v="24340"/>
    <s v="806012958"/>
    <s v="IPS SALUD DEL CARIBE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9917 - FVA-359930 - FVA-359935 - FVA-359940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7"/>
    <x v="0"/>
    <x v="0"/>
    <x v="5"/>
    <x v="5"/>
    <x v="1"/>
    <x v="1"/>
    <n v="46378"/>
    <s v="805017506"/>
    <s v="CUTI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7506"/>
    <s v="CUTI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5"/>
    <x v="5"/>
    <x v="1"/>
    <x v="1"/>
    <n v="46380"/>
    <s v="800048954"/>
    <s v="CLINICA VERSALLE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7"/>
    <x v="0"/>
    <x v="0"/>
    <x v="5"/>
    <x v="5"/>
    <x v="1"/>
    <x v="1"/>
    <n v="46399"/>
    <s v="1509246"/>
    <s v="MORALES SANTACRUZ JESUS ANTONIO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7"/>
    <x v="0"/>
    <x v="0"/>
    <x v="5"/>
    <x v="5"/>
    <x v="1"/>
    <x v="1"/>
    <n v="46402"/>
    <s v="800054863"/>
    <s v="HEMISFERIO TOURS Y CIA LT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987"/>
    <n v="0"/>
    <n v="10987"/>
    <x v="0"/>
    <x v="0"/>
    <x v="0"/>
    <n v="10987"/>
    <n v="0"/>
    <n v="10987"/>
    <x v="0"/>
    <x v="0"/>
    <x v="0"/>
    <n v="10987"/>
    <n v="0"/>
    <n v="10987"/>
    <x v="0"/>
    <x v="0"/>
    <x v="0"/>
    <x v="0"/>
    <x v="0"/>
  </r>
  <r>
    <x v="7"/>
    <x v="0"/>
    <x v="0"/>
    <x v="5"/>
    <x v="5"/>
    <x v="1"/>
    <x v="1"/>
    <n v="46407"/>
    <s v="805009741"/>
    <s v="COOMEVA MEDICINA PREPAGADA S.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766,479,722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579"/>
    <s v="800203877"/>
    <s v="INSTITUTO GASTROCLINICO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203877"/>
    <s v="INSTITUTO GASTROCLINI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24_x000d__x000a_SE APLICA DCTO POR PRONTO PAGO POR $41.478"/>
    <n v="41478"/>
    <n v="0"/>
    <n v="41478"/>
    <x v="0"/>
    <x v="0"/>
    <x v="0"/>
    <n v="41478"/>
    <n v="0"/>
    <n v="41478"/>
    <x v="0"/>
    <x v="0"/>
    <x v="0"/>
    <n v="41478"/>
    <n v="0"/>
    <n v="41478"/>
    <x v="0"/>
    <x v="0"/>
    <x v="0"/>
    <x v="0"/>
    <x v="0"/>
  </r>
  <r>
    <x v="7"/>
    <x v="0"/>
    <x v="0"/>
    <x v="5"/>
    <x v="5"/>
    <x v="1"/>
    <x v="1"/>
    <n v="46480"/>
    <s v="900203566"/>
    <s v="ABASTECEMOS  DE OCCIDENTE S.A."/>
    <s v="201904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7"/>
    <x v="0"/>
    <x v="0"/>
    <x v="5"/>
    <x v="5"/>
    <x v="9"/>
    <x v="9"/>
    <n v="1276"/>
    <s v="890304049"/>
    <s v="ARQUIDIOCESIS DE CALI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PAGO AÑO ANTICIPADO, 9% OK, $214.590"/>
    <n v="214590"/>
    <n v="0"/>
    <n v="214590"/>
    <x v="0"/>
    <x v="0"/>
    <x v="0"/>
    <n v="214590"/>
    <n v="0"/>
    <n v="214590"/>
    <x v="0"/>
    <x v="0"/>
    <x v="0"/>
    <n v="214590"/>
    <n v="0"/>
    <n v="214590"/>
    <x v="0"/>
    <x v="0"/>
    <x v="0"/>
    <x v="0"/>
    <x v="0"/>
  </r>
  <r>
    <x v="7"/>
    <x v="0"/>
    <x v="0"/>
    <x v="5"/>
    <x v="5"/>
    <x v="1"/>
    <x v="1"/>
    <n v="46526"/>
    <s v="31933117"/>
    <s v="ARANGO ARBELAEZ MARIA  AUDOLIBIA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33117"/>
    <s v="ARANGO ARBELAEZ MARIA  AUDOLI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6"/>
    <x v="6"/>
    <x v="9"/>
    <x v="9"/>
    <n v="1136"/>
    <s v="890802036"/>
    <s v="HOSPITAL SAN MARCOS CHINCHIN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2036"/>
    <s v="HOSPITAL SAN MARCOS CHINCH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10.360594. DESCUENTO POR ESTAMPILLAS $45.300"/>
    <n v="45300"/>
    <n v="0"/>
    <n v="45300"/>
    <x v="0"/>
    <x v="0"/>
    <x v="0"/>
    <n v="45300"/>
    <n v="0"/>
    <n v="45300"/>
    <x v="0"/>
    <x v="0"/>
    <x v="0"/>
    <n v="45300"/>
    <n v="0"/>
    <n v="45300"/>
    <x v="0"/>
    <x v="0"/>
    <x v="0"/>
    <x v="0"/>
    <x v="0"/>
  </r>
  <r>
    <x v="7"/>
    <x v="0"/>
    <x v="0"/>
    <x v="4"/>
    <x v="4"/>
    <x v="9"/>
    <x v="9"/>
    <n v="232"/>
    <s v="890201280"/>
    <s v="COOPERATIVA DE AHORRO Y CREDITO DE PROFESORE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280"/>
    <s v="COOPERATIVA DE AHORRO Y CREDITO DE PROFESO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0788, FACTURACION ANUAL DE TODOS LOS PUNTOS DE VENTA, EL CLIENTE SE TOMA EL DESCUENTO DEL 9%, VALOR REAL DE LA FACT 26.371.156"/>
    <n v="1994452"/>
    <n v="0"/>
    <n v="1994452"/>
    <x v="0"/>
    <x v="0"/>
    <x v="0"/>
    <n v="1994452"/>
    <n v="0"/>
    <n v="1994452"/>
    <x v="0"/>
    <x v="0"/>
    <x v="0"/>
    <n v="1994452"/>
    <n v="0"/>
    <n v="1994452"/>
    <x v="0"/>
    <x v="0"/>
    <x v="0"/>
    <x v="0"/>
    <x v="0"/>
  </r>
  <r>
    <x v="6"/>
    <x v="0"/>
    <x v="0"/>
    <x v="2"/>
    <x v="2"/>
    <x v="9"/>
    <x v="9"/>
    <n v="1537"/>
    <s v="800058267"/>
    <s v="CENTRO METROPOLITANO PROPIEDAD HORIZONTAL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58267"/>
    <s v="CENTRO METROPOLITANO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DESCUNETO DEL 9 % POR PAGO DE AÑO ANTICIPADO.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6"/>
    <x v="0"/>
    <x v="0"/>
    <x v="1"/>
    <x v="1"/>
    <x v="1"/>
    <x v="1"/>
    <n v="24425"/>
    <s v="32757237"/>
    <s v="MEDINA OLIVEROS FARATH DIVA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370 - FVA-359959"/>
    <n v="9"/>
    <n v="0"/>
    <n v="9"/>
    <x v="0"/>
    <x v="0"/>
    <x v="0"/>
    <n v="9"/>
    <n v="0"/>
    <n v="9"/>
    <x v="0"/>
    <x v="0"/>
    <x v="0"/>
    <n v="9"/>
    <n v="0"/>
    <n v="9"/>
    <x v="0"/>
    <x v="0"/>
    <x v="0"/>
    <x v="0"/>
    <x v="0"/>
  </r>
  <r>
    <x v="6"/>
    <x v="0"/>
    <x v="0"/>
    <x v="2"/>
    <x v="2"/>
    <x v="9"/>
    <x v="9"/>
    <n v="1540"/>
    <s v="900215071"/>
    <s v="BANCO DE LAS MICROFINANZAS - BANCAMIA S.A."/>
    <s v="201905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5071"/>
    <s v="BANCO DE LAS MICROFINANZAS - BANCAM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 Y RTE/ICA $ 34.692"/>
    <n v="214812"/>
    <n v="0"/>
    <n v="214812"/>
    <x v="0"/>
    <x v="0"/>
    <x v="0"/>
    <n v="214812"/>
    <n v="0"/>
    <n v="214812"/>
    <x v="0"/>
    <x v="0"/>
    <x v="0"/>
    <n v="214812"/>
    <n v="0"/>
    <n v="214812"/>
    <x v="0"/>
    <x v="0"/>
    <x v="0"/>
    <x v="0"/>
    <x v="0"/>
  </r>
  <r>
    <x v="6"/>
    <x v="0"/>
    <x v="0"/>
    <x v="5"/>
    <x v="5"/>
    <x v="1"/>
    <x v="1"/>
    <n v="46573"/>
    <s v="817001528"/>
    <s v="PAVCO DE OCCIDENTE SAS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6"/>
    <x v="0"/>
    <x v="0"/>
    <x v="5"/>
    <x v="5"/>
    <x v="1"/>
    <x v="1"/>
    <n v="46613"/>
    <s v="890305224"/>
    <s v="CORPORACION CLUB CAMPESTRE FARALLONES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5224"/>
    <s v="CORPORACION CLUB CAMPESTRE FARALLON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"/>
    <n v="0"/>
    <n v="24"/>
    <x v="0"/>
    <x v="0"/>
    <x v="0"/>
    <n v="24"/>
    <n v="0"/>
    <n v="24"/>
    <x v="0"/>
    <x v="0"/>
    <x v="0"/>
    <n v="24"/>
    <n v="0"/>
    <n v="24"/>
    <x v="0"/>
    <x v="0"/>
    <x v="0"/>
    <x v="0"/>
    <x v="0"/>
  </r>
  <r>
    <x v="6"/>
    <x v="0"/>
    <x v="0"/>
    <x v="1"/>
    <x v="1"/>
    <x v="1"/>
    <x v="1"/>
    <n v="24452"/>
    <s v="802019287"/>
    <s v="ERICH HELLER &amp; CIA EN COMANDITA SIMPLE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9287"/>
    <s v="ERICH HELLER &amp; CIA EN COMANDITA SIMPL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1"/>
    <n v="3114"/>
    <n v="0"/>
    <n v="3114"/>
    <x v="0"/>
    <x v="0"/>
    <x v="0"/>
    <n v="3114"/>
    <n v="0"/>
    <n v="3114"/>
    <x v="0"/>
    <x v="0"/>
    <x v="0"/>
    <n v="3114"/>
    <n v="0"/>
    <n v="3114"/>
    <x v="0"/>
    <x v="0"/>
    <x v="0"/>
    <x v="0"/>
    <x v="0"/>
  </r>
  <r>
    <x v="6"/>
    <x v="0"/>
    <x v="0"/>
    <x v="3"/>
    <x v="3"/>
    <x v="1"/>
    <x v="1"/>
    <n v="37692"/>
    <s v="811015694"/>
    <s v="INVERSIONES QUINTERO GARCIA LIMITADA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1_x000d__x000a_SE APLICA DCTO COMERCIAL DEL 4.5%"/>
    <n v="84899"/>
    <n v="0"/>
    <n v="84899"/>
    <x v="0"/>
    <x v="0"/>
    <x v="0"/>
    <n v="84899"/>
    <n v="0"/>
    <n v="84899"/>
    <x v="0"/>
    <x v="0"/>
    <x v="0"/>
    <n v="84899"/>
    <n v="0"/>
    <n v="84899"/>
    <x v="0"/>
    <x v="0"/>
    <x v="0"/>
    <x v="0"/>
    <x v="0"/>
  </r>
  <r>
    <x v="6"/>
    <x v="0"/>
    <x v="0"/>
    <x v="5"/>
    <x v="5"/>
    <x v="1"/>
    <x v="1"/>
    <n v="46641"/>
    <s v="1509246"/>
    <s v="MORALES SANTACRUZ JESUS ANTONIO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23"/>
    <n v="0"/>
    <n v="2123"/>
    <x v="0"/>
    <x v="0"/>
    <x v="0"/>
    <n v="2123"/>
    <n v="0"/>
    <n v="2123"/>
    <x v="0"/>
    <x v="0"/>
    <x v="0"/>
    <n v="2123"/>
    <n v="0"/>
    <n v="2123"/>
    <x v="0"/>
    <x v="0"/>
    <x v="0"/>
    <x v="0"/>
    <x v="0"/>
  </r>
  <r>
    <x v="6"/>
    <x v="0"/>
    <x v="0"/>
    <x v="5"/>
    <x v="5"/>
    <x v="1"/>
    <x v="1"/>
    <n v="46642"/>
    <s v="890318490"/>
    <s v="FERRETERIA TUBERIAS S.A.S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6"/>
    <x v="0"/>
    <x v="0"/>
    <x v="5"/>
    <x v="5"/>
    <x v="1"/>
    <x v="1"/>
    <n v="46643"/>
    <s v="42087065"/>
    <s v="RUEDA OCAMPO CLAUDIA PATRICIA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6"/>
    <x v="0"/>
    <x v="0"/>
    <x v="1"/>
    <x v="1"/>
    <x v="1"/>
    <x v="1"/>
    <n v="24470"/>
    <s v="890107487"/>
    <s v="SUPERTIENDAS Y DROGUERIAS OLIMPIC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ENVIADA POR EL CLIENTE"/>
    <n v="23"/>
    <n v="0"/>
    <n v="23"/>
    <x v="0"/>
    <x v="0"/>
    <x v="0"/>
    <n v="23"/>
    <n v="0"/>
    <n v="23"/>
    <x v="0"/>
    <x v="0"/>
    <x v="0"/>
    <n v="23"/>
    <n v="0"/>
    <n v="23"/>
    <x v="0"/>
    <x v="0"/>
    <x v="0"/>
    <x v="0"/>
    <x v="0"/>
  </r>
  <r>
    <x v="6"/>
    <x v="0"/>
    <x v="0"/>
    <x v="2"/>
    <x v="2"/>
    <x v="9"/>
    <x v="9"/>
    <n v="1546"/>
    <s v="860049609"/>
    <s v="MILSEN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175.635"/>
    <n v="175635"/>
    <n v="0"/>
    <n v="175635"/>
    <x v="0"/>
    <x v="0"/>
    <x v="0"/>
    <n v="175635"/>
    <n v="0"/>
    <n v="175635"/>
    <x v="0"/>
    <x v="0"/>
    <x v="0"/>
    <n v="175635"/>
    <n v="0"/>
    <n v="175635"/>
    <x v="0"/>
    <x v="0"/>
    <x v="0"/>
    <x v="0"/>
    <x v="0"/>
  </r>
  <r>
    <x v="6"/>
    <x v="0"/>
    <x v="0"/>
    <x v="2"/>
    <x v="2"/>
    <x v="9"/>
    <x v="9"/>
    <n v="1547"/>
    <s v="860510431"/>
    <s v="ALVARO VELEZ Y CIA S.A.S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RONTO PAGO TRIMESTRAL 2.25% $8.34,  RTE ICA $5.118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6"/>
    <x v="0"/>
    <x v="0"/>
    <x v="2"/>
    <x v="2"/>
    <x v="9"/>
    <x v="9"/>
    <n v="1548"/>
    <s v="860000189"/>
    <s v="CARCO S.A."/>
    <s v="201905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0189"/>
    <s v="CAR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NO APLICA EL DESCUENTO Y ESTA SOLICITANDO EL REINTEGRO."/>
    <n v="150050"/>
    <n v="0"/>
    <n v="150050"/>
    <x v="0"/>
    <x v="0"/>
    <x v="0"/>
    <n v="150050"/>
    <n v="0"/>
    <n v="150050"/>
    <x v="0"/>
    <x v="0"/>
    <x v="0"/>
    <n v="150050"/>
    <n v="0"/>
    <n v="150050"/>
    <x v="0"/>
    <x v="0"/>
    <x v="0"/>
    <x v="0"/>
    <x v="0"/>
  </r>
  <r>
    <x v="6"/>
    <x v="0"/>
    <x v="0"/>
    <x v="0"/>
    <x v="0"/>
    <x v="1"/>
    <x v="1"/>
    <n v="2393"/>
    <s v="43185725"/>
    <s v="SALAZAR ARISTIZABAL SULAY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43185725"/>
    <s v="SALAZAR ARISTIZABAL SUL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1898"/>
    <n v="0"/>
    <n v="1898"/>
    <x v="0"/>
    <x v="0"/>
    <x v="0"/>
    <n v="1898"/>
    <n v="0"/>
    <n v="1898"/>
    <x v="0"/>
    <x v="0"/>
    <x v="0"/>
    <n v="1898"/>
    <n v="0"/>
    <n v="1898"/>
    <x v="0"/>
    <x v="0"/>
    <x v="0"/>
    <x v="0"/>
    <x v="0"/>
  </r>
  <r>
    <x v="6"/>
    <x v="0"/>
    <x v="0"/>
    <x v="6"/>
    <x v="6"/>
    <x v="9"/>
    <x v="9"/>
    <n v="1138"/>
    <s v="800178245"/>
    <s v="COOPERATIVA  DE PROMOCION SOCIAL COOPSOCIAL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178245"/>
    <s v="COOPERATIVA  DE PROMOCION SOCIAL COOPSOCI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38 DESCUENTO POR VALOR DE $109.242 POR PAGO ANUAL ANTICIPADO"/>
    <n v="109242"/>
    <n v="0"/>
    <n v="109242"/>
    <x v="0"/>
    <x v="0"/>
    <x v="0"/>
    <n v="109242"/>
    <n v="0"/>
    <n v="109242"/>
    <x v="0"/>
    <x v="0"/>
    <x v="0"/>
    <n v="109242"/>
    <n v="0"/>
    <n v="109242"/>
    <x v="0"/>
    <x v="0"/>
    <x v="0"/>
    <x v="0"/>
    <x v="0"/>
  </r>
  <r>
    <x v="6"/>
    <x v="0"/>
    <x v="0"/>
    <x v="5"/>
    <x v="5"/>
    <x v="1"/>
    <x v="1"/>
    <n v="46787"/>
    <s v="805009741"/>
    <s v="COOMEVA MEDICINA PREPAGADA S.A."/>
    <s v="201905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828"/>
    <s v="650187917"/>
    <s v="FREI  HEINRICH ERNEST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2"/>
    <x v="0"/>
    <x v="0"/>
    <x v="1"/>
    <x v="1"/>
    <x v="1"/>
    <x v="1"/>
    <n v="24577"/>
    <s v="900061516"/>
    <s v="MUEBLES JAMAR S.A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72 - FV5-773 - FV5-774 - FV5-77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5"/>
    <x v="5"/>
    <x v="1"/>
    <x v="1"/>
    <n v="46885"/>
    <s v="1130643632"/>
    <s v="ZAPATA VILLARIAGA KATERIN"/>
    <s v="201906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54"/>
    <n v="0"/>
    <n v="254"/>
    <x v="0"/>
    <x v="0"/>
    <x v="0"/>
    <n v="254"/>
    <n v="0"/>
    <n v="254"/>
    <x v="0"/>
    <x v="0"/>
    <x v="0"/>
    <n v="254"/>
    <n v="0"/>
    <n v="254"/>
    <x v="0"/>
    <x v="0"/>
    <x v="0"/>
    <x v="0"/>
    <x v="0"/>
  </r>
  <r>
    <x v="0"/>
    <x v="0"/>
    <x v="0"/>
    <x v="0"/>
    <x v="0"/>
    <x v="2"/>
    <x v="2"/>
    <n v="19417"/>
    <s v="860035827"/>
    <s v="BANCO AV VILLAS"/>
    <s v="201901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50833"/>
    <n v="0"/>
    <n v="850833"/>
    <x v="0"/>
    <x v="0"/>
    <x v="0"/>
    <n v="850833"/>
    <n v="0"/>
    <n v="850833"/>
    <x v="0"/>
    <x v="0"/>
    <x v="0"/>
    <n v="850833"/>
    <n v="0"/>
    <n v="850833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3"/>
    <x v="3"/>
    <x v="1"/>
    <x v="1"/>
    <n v="37253"/>
    <s v="811003486"/>
    <s v="QUIPUX SAS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7680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5"/>
    <x v="0"/>
    <x v="0"/>
    <x v="1"/>
    <x v="1"/>
    <x v="1"/>
    <x v="1"/>
    <n v="24269"/>
    <s v="900494780"/>
    <s v="DISEÑARTE S.D.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494780"/>
    <s v="DISEÑARTE S.D.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04"/>
    <n v="6"/>
    <n v="0"/>
    <n v="6"/>
    <x v="0"/>
    <x v="0"/>
    <x v="0"/>
    <n v="6"/>
    <n v="0"/>
    <n v="6"/>
    <x v="0"/>
    <x v="0"/>
    <x v="0"/>
    <n v="6"/>
    <n v="0"/>
    <n v="6"/>
    <x v="0"/>
    <x v="0"/>
    <x v="0"/>
    <x v="0"/>
    <x v="0"/>
  </r>
  <r>
    <x v="6"/>
    <x v="0"/>
    <x v="0"/>
    <x v="4"/>
    <x v="4"/>
    <x v="9"/>
    <x v="9"/>
    <n v="235"/>
    <s v="800086042"/>
    <s v="INACAR S.A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2132, DESCTO POR RETE FTE, 22.508, RETE IVA 16.037 Y RETE ICA 5.436"/>
    <n v="5436"/>
    <n v="0"/>
    <n v="5436"/>
    <x v="0"/>
    <x v="0"/>
    <x v="0"/>
    <n v="5436"/>
    <n v="0"/>
    <n v="5436"/>
    <x v="0"/>
    <x v="0"/>
    <x v="0"/>
    <n v="5436"/>
    <n v="0"/>
    <n v="5436"/>
    <x v="0"/>
    <x v="0"/>
    <x v="0"/>
    <x v="0"/>
    <x v="0"/>
  </r>
  <r>
    <x v="1"/>
    <x v="0"/>
    <x v="0"/>
    <x v="4"/>
    <x v="4"/>
    <x v="1"/>
    <x v="1"/>
    <n v="20298"/>
    <s v="804001890"/>
    <s v="UNIVERSIDAD DE SANTANDER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01890"/>
    <s v="UNIVERSIDAD DE SANTAND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7341-357342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6"/>
    <x v="6"/>
    <x v="9"/>
    <x v="9"/>
    <n v="1116"/>
    <s v="891900539"/>
    <s v="CAMARA DE COMERCIO DE CARTAGO"/>
    <s v="201903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900539"/>
    <s v="CAMARA DE COMERCIO DE CARTAG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597 DESCUENTO DEL 9 %POR PAGO ANUAL ANTICIPADO  $1899.840"/>
    <n v="1899840"/>
    <n v="0"/>
    <n v="1899840"/>
    <x v="0"/>
    <x v="0"/>
    <x v="0"/>
    <n v="1899840"/>
    <n v="0"/>
    <n v="1899840"/>
    <x v="0"/>
    <x v="0"/>
    <x v="0"/>
    <n v="1899840"/>
    <n v="0"/>
    <n v="1899840"/>
    <x v="0"/>
    <x v="0"/>
    <x v="0"/>
    <x v="0"/>
    <x v="0"/>
  </r>
  <r>
    <x v="5"/>
    <x v="0"/>
    <x v="0"/>
    <x v="1"/>
    <x v="1"/>
    <x v="1"/>
    <x v="1"/>
    <n v="24156"/>
    <s v="900054062"/>
    <s v="EDIFICIO MEGA CENTRO COMERCIAL Y DE SERVICIOS BUENAVISTA SANTA MART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4062"/>
    <s v="EDIFICIO MEGA CENTRO COMERCIAL Y DE SERVICIOS BUENAVISTA SANTA MAR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90"/>
    <n v="30"/>
    <n v="0"/>
    <n v="30"/>
    <x v="0"/>
    <x v="0"/>
    <x v="0"/>
    <n v="30"/>
    <n v="0"/>
    <n v="30"/>
    <x v="0"/>
    <x v="0"/>
    <x v="0"/>
    <n v="30"/>
    <n v="0"/>
    <n v="30"/>
    <x v="0"/>
    <x v="0"/>
    <x v="0"/>
    <x v="0"/>
    <x v="0"/>
  </r>
  <r>
    <x v="5"/>
    <x v="0"/>
    <x v="0"/>
    <x v="6"/>
    <x v="6"/>
    <x v="9"/>
    <x v="9"/>
    <n v="1121"/>
    <s v="891411381"/>
    <s v="LAB.CLINICO PATOLOGICO LOPEZ CORREA S.A.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1381"/>
    <s v="LAB.CLINICO PATOLOGICO LOPEZ CORR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358838 DESCUENTO DEL 9 % POR  PAGO ANTICIPADO  POR VALOR DE 139.114"/>
    <n v="139114"/>
    <n v="0"/>
    <n v="139114"/>
    <x v="0"/>
    <x v="0"/>
    <x v="0"/>
    <n v="139114"/>
    <n v="0"/>
    <n v="139114"/>
    <x v="0"/>
    <x v="0"/>
    <x v="0"/>
    <n v="139114"/>
    <n v="0"/>
    <n v="139114"/>
    <x v="0"/>
    <x v="0"/>
    <x v="0"/>
    <x v="0"/>
    <x v="0"/>
  </r>
  <r>
    <x v="5"/>
    <x v="0"/>
    <x v="0"/>
    <x v="6"/>
    <x v="6"/>
    <x v="9"/>
    <x v="9"/>
    <n v="1120"/>
    <s v="800021913"/>
    <s v="G.GRAJALES AUTOSERVICIO S.A.S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8828 DESCUENTO DE 9% POR PAGO ANTICIPADO DE $ 105.532"/>
    <n v="105532"/>
    <n v="0"/>
    <n v="105532"/>
    <x v="0"/>
    <x v="0"/>
    <x v="0"/>
    <n v="105532"/>
    <n v="0"/>
    <n v="105532"/>
    <x v="0"/>
    <x v="0"/>
    <x v="0"/>
    <n v="105532"/>
    <n v="0"/>
    <n v="105532"/>
    <x v="0"/>
    <x v="0"/>
    <x v="0"/>
    <x v="0"/>
    <x v="0"/>
  </r>
  <r>
    <x v="5"/>
    <x v="0"/>
    <x v="0"/>
    <x v="3"/>
    <x v="3"/>
    <x v="1"/>
    <x v="1"/>
    <n v="37408"/>
    <s v="800017259"/>
    <s v="PASAJE COMERCIAL EL BOULEVARD DE JUNIN P-H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9706 DCTO PRONT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7"/>
    <x v="0"/>
    <x v="0"/>
    <x v="5"/>
    <x v="5"/>
    <x v="1"/>
    <x v="1"/>
    <n v="46374"/>
    <s v="860046201"/>
    <s v="FORTOX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932.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7"/>
    <x v="0"/>
    <x v="0"/>
    <x v="3"/>
    <x v="3"/>
    <x v="1"/>
    <x v="1"/>
    <n v="37543"/>
    <s v="800010866"/>
    <s v="EXPERTOS SEGURIDAD LTD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0866"/>
    <s v="EXPERTOS SEGURIDAD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719"/>
    <n v="10419"/>
    <n v="0"/>
    <n v="10419"/>
    <x v="0"/>
    <x v="0"/>
    <x v="0"/>
    <n v="10419"/>
    <n v="0"/>
    <n v="10419"/>
    <x v="0"/>
    <x v="0"/>
    <x v="0"/>
    <n v="10419"/>
    <n v="0"/>
    <n v="10419"/>
    <x v="0"/>
    <x v="0"/>
    <x v="0"/>
    <x v="0"/>
    <x v="0"/>
  </r>
  <r>
    <x v="7"/>
    <x v="0"/>
    <x v="0"/>
    <x v="3"/>
    <x v="3"/>
    <x v="1"/>
    <x v="1"/>
    <n v="37589"/>
    <s v="811013715"/>
    <s v="LINEA ADHESIVA S.A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4_x000d__x000a_APLICA DCTO PRONTO PAGO DEL 2.25%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6"/>
    <x v="0"/>
    <x v="0"/>
    <x v="1"/>
    <x v="1"/>
    <x v="1"/>
    <x v="1"/>
    <n v="24445"/>
    <s v="806012958"/>
    <s v="IPS SALUD DEL CARIBE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64 - FVA-360977 - FVA-360983 - FVA-360987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6"/>
    <x v="0"/>
    <x v="0"/>
    <x v="1"/>
    <x v="1"/>
    <x v="1"/>
    <x v="1"/>
    <n v="24450"/>
    <s v="900061516"/>
    <s v="MUEBLES JAMAR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5"/>
    <x v="5"/>
    <x v="1"/>
    <x v="1"/>
    <n v="46817"/>
    <s v="1130643632"/>
    <s v="ZAPATA VILLARIAGA KATERIN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"/>
    <n v="0"/>
    <n v="54"/>
    <x v="0"/>
    <x v="0"/>
    <x v="0"/>
    <n v="54"/>
    <n v="0"/>
    <n v="54"/>
    <x v="0"/>
    <x v="0"/>
    <x v="0"/>
    <n v="54"/>
    <n v="0"/>
    <n v="54"/>
    <x v="0"/>
    <x v="0"/>
    <x v="0"/>
    <x v="0"/>
    <x v="0"/>
  </r>
  <r>
    <x v="2"/>
    <x v="0"/>
    <x v="0"/>
    <x v="5"/>
    <x v="5"/>
    <x v="9"/>
    <x v="9"/>
    <n v="1308"/>
    <s v="800074047"/>
    <s v="REPUESTOS CALI S.A.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9% $155.520 OK."/>
    <n v="155520"/>
    <n v="0"/>
    <n v="155520"/>
    <x v="0"/>
    <x v="0"/>
    <x v="0"/>
    <n v="155520"/>
    <n v="0"/>
    <n v="155520"/>
    <x v="0"/>
    <x v="0"/>
    <x v="0"/>
    <n v="155520"/>
    <n v="0"/>
    <n v="155520"/>
    <x v="0"/>
    <x v="0"/>
    <x v="0"/>
    <x v="0"/>
    <x v="0"/>
  </r>
  <r>
    <x v="2"/>
    <x v="0"/>
    <x v="0"/>
    <x v="3"/>
    <x v="3"/>
    <x v="9"/>
    <x v="9"/>
    <n v="1157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3_x000d__x000a_DCTO ANUAL ANTICIPADO 9%"/>
    <n v="186853"/>
    <n v="0"/>
    <n v="186853"/>
    <x v="0"/>
    <x v="0"/>
    <x v="0"/>
    <n v="186853"/>
    <n v="0"/>
    <n v="186853"/>
    <x v="0"/>
    <x v="0"/>
    <x v="0"/>
    <n v="186853"/>
    <n v="0"/>
    <n v="186853"/>
    <x v="0"/>
    <x v="0"/>
    <x v="0"/>
    <x v="0"/>
    <x v="0"/>
  </r>
  <r>
    <x v="2"/>
    <x v="0"/>
    <x v="0"/>
    <x v="3"/>
    <x v="3"/>
    <x v="9"/>
    <x v="9"/>
    <n v="1158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2_x000d__x000a_DCTO CCIAL ANUAL ANTICIPADO 9%"/>
    <n v="104507"/>
    <n v="0"/>
    <n v="104507"/>
    <x v="0"/>
    <x v="0"/>
    <x v="0"/>
    <n v="104507"/>
    <n v="0"/>
    <n v="104507"/>
    <x v="0"/>
    <x v="0"/>
    <x v="0"/>
    <n v="104507"/>
    <n v="0"/>
    <n v="104507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8378"/>
    <n v="0"/>
    <n v="318378"/>
    <x v="0"/>
    <x v="0"/>
    <x v="0"/>
    <n v="318378"/>
    <n v="0"/>
    <n v="318378"/>
    <x v="0"/>
    <x v="0"/>
    <x v="0"/>
    <n v="318378"/>
    <n v="0"/>
    <n v="318378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2295"/>
    <n v="0"/>
    <n v="52295"/>
    <x v="0"/>
    <x v="0"/>
    <x v="0"/>
    <n v="52295"/>
    <n v="0"/>
    <n v="52295"/>
    <x v="0"/>
    <x v="0"/>
    <x v="0"/>
    <n v="52295"/>
    <n v="0"/>
    <n v="5229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Dispersion Nomina"/>
    <n v="1963.15"/>
    <n v="0"/>
    <n v="1963.15"/>
    <x v="0"/>
    <x v="0"/>
    <x v="0"/>
    <n v="1963.15"/>
    <n v="0"/>
    <n v="1963.15"/>
    <x v="0"/>
    <x v="0"/>
    <x v="0"/>
    <n v="1963.15"/>
    <n v="0"/>
    <n v="1963.1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436"/>
    <n v="0"/>
    <n v="3436"/>
    <x v="0"/>
    <x v="0"/>
    <x v="0"/>
    <n v="3436"/>
    <n v="0"/>
    <n v="3436"/>
    <x v="0"/>
    <x v="0"/>
    <x v="0"/>
    <n v="3436"/>
    <n v="0"/>
    <n v="3436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2"/>
    <x v="2"/>
    <n v="19574"/>
    <s v="440100003729"/>
    <s v="TOTALCHOICE HOSTING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100003729"/>
    <s v="TOTALCHOICE HOS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OAGO DE TARJETA DE CREDITO 2581"/>
    <n v="47229.36"/>
    <n v="0"/>
    <n v="47229.36"/>
    <x v="0"/>
    <x v="0"/>
    <x v="0"/>
    <n v="47229.36"/>
    <n v="0"/>
    <n v="47229.36"/>
    <x v="0"/>
    <x v="0"/>
    <x v="0"/>
    <n v="47229.36"/>
    <n v="0"/>
    <n v="47229.36"/>
    <x v="0"/>
    <x v="0"/>
    <x v="0"/>
    <x v="0"/>
    <x v="0"/>
  </r>
  <r>
    <x v="0"/>
    <x v="0"/>
    <x v="0"/>
    <x v="0"/>
    <x v="0"/>
    <x v="2"/>
    <x v="2"/>
    <n v="19575"/>
    <s v="890916575"/>
    <s v="DISTRIBUIDORA DE VINOS Y LICORES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16575"/>
    <s v="DISTRIBUIDORA DE VINOS Y LIC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3015  BANCOLOMBIA"/>
    <n v="17019.810000000001"/>
    <n v="0"/>
    <n v="17019.810000000001"/>
    <x v="0"/>
    <x v="0"/>
    <x v="0"/>
    <n v="17019.810000000001"/>
    <n v="0"/>
    <n v="17019.810000000001"/>
    <x v="0"/>
    <x v="0"/>
    <x v="0"/>
    <n v="17019.810000000001"/>
    <n v="0"/>
    <n v="17019.81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3732.32"/>
    <n v="0"/>
    <n v="13732.32"/>
    <x v="0"/>
    <x v="0"/>
    <x v="0"/>
    <n v="13732.32"/>
    <n v="0"/>
    <n v="13732.32"/>
    <x v="0"/>
    <x v="0"/>
    <x v="0"/>
    <n v="13732.32"/>
    <n v="0"/>
    <n v="13732.3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5741.5"/>
    <n v="0"/>
    <n v="25741.5"/>
    <x v="0"/>
    <x v="0"/>
    <x v="0"/>
    <n v="25741.5"/>
    <n v="0"/>
    <n v="25741.5"/>
    <x v="0"/>
    <x v="0"/>
    <x v="0"/>
    <n v="25741.5"/>
    <n v="0"/>
    <n v="25741.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5"/>
    <x v="5"/>
    <x v="9"/>
    <x v="9"/>
    <n v="1265"/>
    <s v="805011901"/>
    <s v="LASKIN S.A.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82.299"/>
    <n v="82299"/>
    <n v="0"/>
    <n v="82299"/>
    <x v="0"/>
    <x v="0"/>
    <x v="0"/>
    <n v="82299"/>
    <n v="0"/>
    <n v="82299"/>
    <x v="0"/>
    <x v="0"/>
    <x v="0"/>
    <n v="82299"/>
    <n v="0"/>
    <n v="82299"/>
    <x v="0"/>
    <x v="0"/>
    <x v="0"/>
    <x v="0"/>
    <x v="0"/>
  </r>
  <r>
    <x v="5"/>
    <x v="0"/>
    <x v="0"/>
    <x v="5"/>
    <x v="5"/>
    <x v="1"/>
    <x v="1"/>
    <n v="46025"/>
    <s v="805029384"/>
    <s v="BUENAVISTA CONSTRUCTORA Y PROMOTORA S.A.S"/>
    <s v="201903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204"/>
    <n v="0"/>
    <n v="10204"/>
    <x v="0"/>
    <x v="0"/>
    <x v="0"/>
    <n v="10204"/>
    <n v="0"/>
    <n v="10204"/>
    <x v="0"/>
    <x v="0"/>
    <x v="0"/>
    <n v="10204"/>
    <n v="0"/>
    <n v="10204"/>
    <x v="0"/>
    <x v="0"/>
    <x v="0"/>
    <x v="0"/>
    <x v="0"/>
  </r>
  <r>
    <x v="5"/>
    <x v="0"/>
    <x v="0"/>
    <x v="5"/>
    <x v="5"/>
    <x v="1"/>
    <x v="1"/>
    <n v="46069"/>
    <s v="860037900"/>
    <s v="CONSTRUCTORA  BOLIVAR  CALI S.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02"/>
    <n v="0"/>
    <n v="5402"/>
    <x v="0"/>
    <x v="0"/>
    <x v="0"/>
    <n v="5402"/>
    <n v="0"/>
    <n v="5402"/>
    <x v="0"/>
    <x v="0"/>
    <x v="0"/>
    <n v="5402"/>
    <n v="0"/>
    <n v="5402"/>
    <x v="0"/>
    <x v="0"/>
    <x v="0"/>
    <x v="0"/>
    <x v="0"/>
  </r>
  <r>
    <x v="5"/>
    <x v="0"/>
    <x v="0"/>
    <x v="0"/>
    <x v="0"/>
    <x v="0"/>
    <x v="0"/>
    <n v="4289"/>
    <s v="800107179"/>
    <s v="INSTITUTO DEL CORAZON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07179"/>
    <s v="INSTITUTO DEL CORAZON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8987"/>
    <n v="0"/>
    <n v="8987"/>
    <x v="0"/>
    <x v="0"/>
    <x v="0"/>
    <n v="8987"/>
    <n v="0"/>
    <n v="8987"/>
    <x v="0"/>
    <x v="0"/>
    <x v="0"/>
    <n v="8987"/>
    <n v="0"/>
    <n v="8987"/>
    <x v="0"/>
    <x v="0"/>
    <x v="0"/>
    <x v="0"/>
    <x v="0"/>
  </r>
  <r>
    <x v="5"/>
    <x v="0"/>
    <x v="0"/>
    <x v="5"/>
    <x v="5"/>
    <x v="9"/>
    <x v="9"/>
    <n v="1249"/>
    <s v="900115530"/>
    <s v="HUMBERTO QUINTERO O Y CIA S.C.A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15530"/>
    <s v="HUMBERTO QUINTERO O Y CIA S.C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5"/>
    <x v="0"/>
    <x v="0"/>
    <x v="2"/>
    <x v="2"/>
    <x v="9"/>
    <x v="9"/>
    <n v="1512"/>
    <s v="800149453"/>
    <s v="C.P.O  S.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453"/>
    <s v="C.P.O 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1045569"/>
    <n v="0"/>
    <n v="1045569"/>
    <x v="0"/>
    <x v="0"/>
    <x v="0"/>
    <n v="1045569"/>
    <n v="0"/>
    <n v="1045569"/>
    <x v="0"/>
    <x v="0"/>
    <x v="0"/>
    <n v="1045569"/>
    <n v="0"/>
    <n v="1045569"/>
    <x v="0"/>
    <x v="0"/>
    <x v="0"/>
    <x v="0"/>
    <x v="0"/>
  </r>
  <r>
    <x v="7"/>
    <x v="0"/>
    <x v="0"/>
    <x v="5"/>
    <x v="5"/>
    <x v="1"/>
    <x v="1"/>
    <n v="46451"/>
    <s v="890318490"/>
    <s v="FERRETERIA TUBERIAS S.A.S.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136"/>
    <n v="0"/>
    <n v="3136"/>
    <x v="0"/>
    <x v="0"/>
    <x v="0"/>
    <n v="3136"/>
    <n v="0"/>
    <n v="3136"/>
    <x v="0"/>
    <x v="0"/>
    <x v="0"/>
    <n v="3136"/>
    <n v="0"/>
    <n v="3136"/>
    <x v="0"/>
    <x v="0"/>
    <x v="0"/>
    <x v="0"/>
    <x v="0"/>
  </r>
  <r>
    <x v="7"/>
    <x v="0"/>
    <x v="0"/>
    <x v="5"/>
    <x v="5"/>
    <x v="1"/>
    <x v="1"/>
    <n v="46452"/>
    <s v="900825179"/>
    <s v="ELIZABETH TRULLAS  CIA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7"/>
    <x v="0"/>
    <x v="0"/>
    <x v="5"/>
    <x v="5"/>
    <x v="1"/>
    <x v="1"/>
    <n v="46453"/>
    <s v="900361602"/>
    <s v="TRACKING SOLUTIONS T.S.O SA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602"/>
    <s v="TRACKING SOLUTIONS T.S.O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678"/>
    <n v="0"/>
    <n v="3678"/>
    <x v="0"/>
    <x v="0"/>
    <x v="0"/>
    <n v="3678"/>
    <n v="0"/>
    <n v="3678"/>
    <x v="0"/>
    <x v="0"/>
    <x v="0"/>
    <n v="3678"/>
    <n v="0"/>
    <n v="3678"/>
    <x v="0"/>
    <x v="0"/>
    <x v="0"/>
    <x v="0"/>
    <x v="0"/>
  </r>
  <r>
    <x v="7"/>
    <x v="0"/>
    <x v="0"/>
    <x v="4"/>
    <x v="4"/>
    <x v="9"/>
    <x v="9"/>
    <n v="233"/>
    <s v="900578072"/>
    <s v="CENTRO OFTALMOLOGICO VGR S.A.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578072"/>
    <s v="CENTRO OFTALMOLOGICO VGR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0625.  DESCUENTO PRONTO PAGO."/>
    <n v="71569"/>
    <n v="0"/>
    <n v="71569"/>
    <x v="0"/>
    <x v="0"/>
    <x v="0"/>
    <n v="71569"/>
    <n v="0"/>
    <n v="71569"/>
    <x v="0"/>
    <x v="0"/>
    <x v="0"/>
    <n v="71569"/>
    <n v="0"/>
    <n v="71569"/>
    <x v="0"/>
    <x v="0"/>
    <x v="0"/>
    <x v="0"/>
    <x v="0"/>
  </r>
  <r>
    <x v="6"/>
    <x v="0"/>
    <x v="0"/>
    <x v="5"/>
    <x v="5"/>
    <x v="1"/>
    <x v="1"/>
    <n v="46590"/>
    <s v="890327282"/>
    <s v="AUTOPACIFICO S.A.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27282"/>
    <s v="AUTOPACIFI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0.8"/>
    <n v="0"/>
    <n v="0.8"/>
    <x v="0"/>
    <x v="0"/>
    <x v="0"/>
    <n v="0.8"/>
    <n v="0"/>
    <n v="0.8"/>
    <x v="0"/>
    <x v="0"/>
    <x v="0"/>
    <n v="0.8"/>
    <n v="0"/>
    <n v="0.8"/>
    <x v="0"/>
    <x v="0"/>
    <x v="0"/>
    <x v="0"/>
    <x v="0"/>
  </r>
  <r>
    <x v="2"/>
    <x v="0"/>
    <x v="0"/>
    <x v="1"/>
    <x v="1"/>
    <x v="1"/>
    <x v="1"/>
    <n v="24562"/>
    <s v="802010909"/>
    <s v="INVERSIONES WONGFOEN S.A."/>
    <s v="201906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08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2"/>
    <x v="2"/>
    <x v="9"/>
    <x v="9"/>
    <n v="1486"/>
    <s v="800212060"/>
    <s v="PARQUE COMERCIAL LA COLINA 138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SL 9% $185.282"/>
    <n v="185282"/>
    <n v="0"/>
    <n v="185282"/>
    <x v="0"/>
    <x v="0"/>
    <x v="0"/>
    <n v="185282"/>
    <n v="0"/>
    <n v="185282"/>
    <x v="0"/>
    <x v="0"/>
    <x v="0"/>
    <n v="185282"/>
    <n v="0"/>
    <n v="185282"/>
    <x v="0"/>
    <x v="0"/>
    <x v="0"/>
    <x v="0"/>
    <x v="0"/>
  </r>
  <r>
    <x v="5"/>
    <x v="0"/>
    <x v="0"/>
    <x v="5"/>
    <x v="5"/>
    <x v="9"/>
    <x v="9"/>
    <n v="1264"/>
    <s v="860006744"/>
    <s v="COMUNIDAD DE HERMANOS MARISTAS DE LA ENSEÑANZ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06744"/>
    <s v="COMUNIDAD DE HERMANOS MARISTAS DE LA ENSEÑANZ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109.473"/>
    <n v="109473"/>
    <n v="0"/>
    <n v="109473"/>
    <x v="0"/>
    <x v="0"/>
    <x v="0"/>
    <n v="109473"/>
    <n v="0"/>
    <n v="109473"/>
    <x v="0"/>
    <x v="0"/>
    <x v="0"/>
    <n v="109473"/>
    <n v="0"/>
    <n v="109473"/>
    <x v="0"/>
    <x v="0"/>
    <x v="0"/>
    <x v="0"/>
    <x v="0"/>
  </r>
  <r>
    <x v="6"/>
    <x v="0"/>
    <x v="0"/>
    <x v="2"/>
    <x v="2"/>
    <x v="1"/>
    <x v="1"/>
    <n v="62931"/>
    <s v="860521035"/>
    <s v="ACRECER TEMPORAL S.A.S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1779.6"/>
    <n v="0"/>
    <n v="61779.6"/>
    <x v="0"/>
    <x v="0"/>
    <x v="0"/>
    <n v="61779.6"/>
    <n v="0"/>
    <n v="61779.6"/>
    <x v="0"/>
    <x v="0"/>
    <x v="0"/>
    <n v="61779.6"/>
    <n v="0"/>
    <n v="6177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50800"/>
    <n v="0"/>
    <n v="50800"/>
    <x v="0"/>
    <x v="0"/>
    <x v="0"/>
    <n v="50800"/>
    <n v="0"/>
    <n v="50800"/>
    <x v="0"/>
    <x v="0"/>
    <x v="0"/>
    <n v="50800"/>
    <n v="0"/>
    <n v="508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3"/>
    <x v="3"/>
    <x v="1"/>
    <x v="1"/>
    <n v="37430"/>
    <s v="811034107"/>
    <s v="GRANOS Y CEREALES DEL CAMPO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34107"/>
    <s v="GRANOS Y CEREALES DEL CAMP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40 CLIENTE CANCELA CON EL 25% DCTO DESDE EL AÑO /92"/>
    <n v="508800"/>
    <n v="0"/>
    <n v="508800"/>
    <x v="0"/>
    <x v="0"/>
    <x v="0"/>
    <n v="508800"/>
    <n v="0"/>
    <n v="508800"/>
    <x v="0"/>
    <x v="0"/>
    <x v="0"/>
    <n v="508800"/>
    <n v="0"/>
    <n v="508800"/>
    <x v="0"/>
    <x v="0"/>
    <x v="0"/>
    <x v="0"/>
    <x v="0"/>
  </r>
  <r>
    <x v="6"/>
    <x v="0"/>
    <x v="0"/>
    <x v="1"/>
    <x v="1"/>
    <x v="1"/>
    <x v="1"/>
    <n v="24552"/>
    <s v="32757237"/>
    <s v="MEDINA OLIVEROS FARATH DIVA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3587.63"/>
    <n v="0"/>
    <n v="23587.63"/>
    <x v="0"/>
    <x v="0"/>
    <x v="0"/>
    <n v="0"/>
    <n v="0"/>
    <n v="0"/>
    <x v="0"/>
    <x v="0"/>
    <x v="0"/>
    <n v="23587.63"/>
    <n v="0"/>
    <n v="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3587.63"/>
    <n v="-23587.63"/>
    <x v="0"/>
    <x v="0"/>
    <x v="0"/>
    <n v="0"/>
    <n v="0"/>
    <n v="0"/>
    <x v="0"/>
    <x v="0"/>
    <x v="0"/>
    <n v="0"/>
    <n v="23587.63"/>
    <n v="-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3588"/>
    <n v="0"/>
    <n v="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3588"/>
    <n v="-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637085.32999999996"/>
    <n v="-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6445.599999999999"/>
    <n v="0"/>
    <n v="16445.599999999999"/>
    <x v="0"/>
    <x v="0"/>
    <x v="0"/>
    <n v="0"/>
    <n v="0"/>
    <n v="0"/>
    <x v="0"/>
    <x v="0"/>
    <x v="0"/>
    <n v="16445.599999999999"/>
    <n v="0"/>
    <n v="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6445.599999999999"/>
    <n v="-16445.599999999999"/>
    <x v="0"/>
    <x v="0"/>
    <x v="0"/>
    <n v="0"/>
    <n v="0"/>
    <n v="0"/>
    <x v="0"/>
    <x v="0"/>
    <x v="0"/>
    <n v="0"/>
    <n v="16445.599999999999"/>
    <n v="-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6446"/>
    <n v="0"/>
    <n v="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6446"/>
    <n v="-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47708.06999999995"/>
    <n v="0"/>
    <n v="547708.07000000007"/>
    <x v="0"/>
    <x v="0"/>
    <x v="0"/>
    <n v="547708.06999999995"/>
    <n v="0"/>
    <n v="547708.07000000007"/>
    <x v="0"/>
    <x v="0"/>
    <x v="0"/>
    <n v="547708.06999999995"/>
    <n v="0"/>
    <n v="547708.0700000000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1906.6"/>
    <n v="0"/>
    <n v="181906.6"/>
    <x v="0"/>
    <x v="0"/>
    <x v="0"/>
    <n v="181906.6"/>
    <n v="0"/>
    <n v="181906.6"/>
    <x v="0"/>
    <x v="0"/>
    <x v="0"/>
    <n v="181906.6"/>
    <n v="0"/>
    <n v="181906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2"/>
    <x v="2"/>
    <n v="19624"/>
    <s v="860035827"/>
    <s v="BANCO AV VILLAS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40526"/>
    <n v="0"/>
    <n v="840526"/>
    <x v="0"/>
    <x v="0"/>
    <x v="0"/>
    <n v="840526"/>
    <n v="0"/>
    <n v="840526"/>
    <x v="0"/>
    <x v="0"/>
    <x v="0"/>
    <n v="840526"/>
    <n v="0"/>
    <n v="840526"/>
    <x v="0"/>
    <x v="0"/>
    <x v="0"/>
    <x v="0"/>
    <x v="0"/>
  </r>
  <r>
    <x v="1"/>
    <x v="0"/>
    <x v="0"/>
    <x v="0"/>
    <x v="0"/>
    <x v="2"/>
    <x v="2"/>
    <n v="19688"/>
    <s v="890903938"/>
    <s v="BANCOLOMBIA S.A.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PERTURA CREDITO CESANTIAS 12 MESES - DTF + 2.5 TA - PROTECCION"/>
    <n v="285254.18"/>
    <n v="0"/>
    <n v="285254.18"/>
    <x v="0"/>
    <x v="0"/>
    <x v="0"/>
    <n v="285254.18"/>
    <n v="0"/>
    <n v="285254.18"/>
    <x v="0"/>
    <x v="0"/>
    <x v="0"/>
    <n v="285254.18"/>
    <n v="0"/>
    <n v="285254.18"/>
    <x v="0"/>
    <x v="0"/>
    <x v="0"/>
    <x v="0"/>
    <x v="0"/>
  </r>
  <r>
    <x v="1"/>
    <x v="0"/>
    <x v="0"/>
    <x v="0"/>
    <x v="0"/>
    <x v="2"/>
    <x v="2"/>
    <n v="19699"/>
    <s v="860007660"/>
    <s v="HELM BANK S.A."/>
    <s v="201902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6054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1"/>
    <x v="0"/>
    <x v="0"/>
    <x v="0"/>
    <x v="0"/>
    <x v="2"/>
    <x v="2"/>
    <n v="19769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ARIAS - FEB 2019 -"/>
    <n v="3213"/>
    <n v="0"/>
    <n v="3213"/>
    <x v="0"/>
    <x v="0"/>
    <x v="0"/>
    <n v="3213"/>
    <n v="0"/>
    <n v="3213"/>
    <x v="0"/>
    <x v="0"/>
    <x v="0"/>
    <n v="3213"/>
    <n v="0"/>
    <n v="3213"/>
    <x v="0"/>
    <x v="0"/>
    <x v="0"/>
    <x v="0"/>
    <x v="0"/>
  </r>
  <r>
    <x v="1"/>
    <x v="0"/>
    <x v="0"/>
    <x v="0"/>
    <x v="0"/>
    <x v="2"/>
    <x v="2"/>
    <n v="19752"/>
    <s v="440000000330"/>
    <s v="BANCOLOMBIA CAYMAN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DE COMPENSACION  - MES DE FEB 2018 (TRM 3072.01)"/>
    <n v="418837.84"/>
    <n v="0"/>
    <n v="418837.84"/>
    <x v="0"/>
    <x v="0"/>
    <x v="0"/>
    <n v="418837.84"/>
    <n v="0"/>
    <n v="418837.84"/>
    <x v="0"/>
    <x v="0"/>
    <x v="0"/>
    <n v="418837.84"/>
    <n v="0"/>
    <n v="418837.84"/>
    <x v="0"/>
    <x v="0"/>
    <x v="0"/>
    <x v="0"/>
    <x v="0"/>
  </r>
  <r>
    <x v="1"/>
    <x v="0"/>
    <x v="0"/>
    <x v="0"/>
    <x v="0"/>
    <x v="2"/>
    <x v="2"/>
    <n v="19778"/>
    <s v="890300279"/>
    <s v="BANCO DE OCCIDENTE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"/>
    <n v="106674.53"/>
    <n v="0"/>
    <n v="106674.53"/>
    <x v="0"/>
    <x v="0"/>
    <x v="0"/>
    <n v="106674.53"/>
    <n v="0"/>
    <n v="106674.53"/>
    <x v="0"/>
    <x v="0"/>
    <x v="0"/>
    <n v="106674.53"/>
    <n v="0"/>
    <n v="106674.53"/>
    <x v="0"/>
    <x v="0"/>
    <x v="0"/>
    <x v="0"/>
    <x v="0"/>
  </r>
  <r>
    <x v="1"/>
    <x v="0"/>
    <x v="0"/>
    <x v="0"/>
    <x v="0"/>
    <x v="2"/>
    <x v="2"/>
    <n v="19779"/>
    <s v="860002964"/>
    <s v="BANCO DE BOGOT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GAASTOS BANCARIOS FEB 2019"/>
    <n v="85413.88"/>
    <n v="0"/>
    <n v="85413.88"/>
    <x v="0"/>
    <x v="0"/>
    <x v="0"/>
    <n v="85413.88"/>
    <n v="0"/>
    <n v="85413.88"/>
    <x v="0"/>
    <x v="0"/>
    <x v="0"/>
    <n v="85413.88"/>
    <n v="0"/>
    <n v="85413.88"/>
    <x v="0"/>
    <x v="0"/>
    <x v="0"/>
    <x v="0"/>
    <x v="0"/>
  </r>
  <r>
    <x v="1"/>
    <x v="0"/>
    <x v="0"/>
    <x v="0"/>
    <x v="0"/>
    <x v="2"/>
    <x v="2"/>
    <n v="19780"/>
    <s v="900406150"/>
    <s v="BANCO COOMEV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 -  BANCOOMEVA"/>
    <n v="110972.64"/>
    <n v="0"/>
    <n v="110972.64"/>
    <x v="0"/>
    <x v="0"/>
    <x v="0"/>
    <n v="110972.64"/>
    <n v="0"/>
    <n v="110972.64"/>
    <x v="0"/>
    <x v="0"/>
    <x v="0"/>
    <n v="110972.64"/>
    <n v="0"/>
    <n v="110972.6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6631.3"/>
    <n v="0"/>
    <n v="56631.3"/>
    <x v="0"/>
    <x v="0"/>
    <x v="0"/>
    <n v="56631.3"/>
    <n v="0"/>
    <n v="56631.3"/>
    <x v="0"/>
    <x v="0"/>
    <x v="0"/>
    <n v="56631.3"/>
    <n v="0"/>
    <n v="56631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2309.3"/>
    <n v="0"/>
    <n v="22309.3"/>
    <x v="0"/>
    <x v="0"/>
    <x v="0"/>
    <n v="22309.3"/>
    <n v="0"/>
    <n v="22309.3"/>
    <x v="0"/>
    <x v="0"/>
    <x v="0"/>
    <n v="22309.3"/>
    <n v="0"/>
    <n v="22309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6610.12"/>
    <n v="0"/>
    <n v="116610.12"/>
    <x v="0"/>
    <x v="0"/>
    <x v="0"/>
    <n v="116610.12"/>
    <n v="0"/>
    <n v="116610.12"/>
    <x v="0"/>
    <x v="0"/>
    <x v="0"/>
    <n v="116610.12"/>
    <n v="0"/>
    <n v="116610.1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95687"/>
    <n v="0"/>
    <n v="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95687.28"/>
    <n v="0"/>
    <n v="395687.28"/>
    <x v="0"/>
    <x v="0"/>
    <x v="0"/>
    <n v="0"/>
    <n v="0"/>
    <n v="0"/>
    <x v="0"/>
    <x v="0"/>
    <x v="0"/>
    <n v="395687.28"/>
    <n v="0"/>
    <n v="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95687.28"/>
    <n v="-395687.28"/>
    <x v="0"/>
    <x v="0"/>
    <x v="0"/>
    <n v="0"/>
    <n v="0"/>
    <n v="0"/>
    <x v="0"/>
    <x v="0"/>
    <x v="0"/>
    <n v="0"/>
    <n v="395687.28"/>
    <n v="-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95687"/>
    <n v="-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71.47"/>
    <n v="0"/>
    <n v="398671.47000000003"/>
    <x v="0"/>
    <x v="0"/>
    <x v="0"/>
    <n v="0"/>
    <n v="0"/>
    <n v="0"/>
    <x v="0"/>
    <x v="0"/>
    <x v="0"/>
    <n v="398671.47"/>
    <n v="0"/>
    <n v="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71.47"/>
    <n v="-398671.47000000003"/>
    <x v="0"/>
    <x v="0"/>
    <x v="0"/>
    <n v="0"/>
    <n v="0"/>
    <n v="0"/>
    <x v="0"/>
    <x v="0"/>
    <x v="0"/>
    <n v="0"/>
    <n v="398671.47"/>
    <n v="-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71.47"/>
    <n v="0"/>
    <n v="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71.47"/>
    <n v="-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637085.32999999996"/>
    <n v="-637085.32999999996"/>
    <x v="0"/>
    <x v="0"/>
    <x v="0"/>
    <n v="0"/>
    <n v="0"/>
    <n v="0"/>
    <x v="0"/>
    <x v="0"/>
    <x v="0"/>
    <n v="0"/>
    <n v="637085.32999999996"/>
    <n v="-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20066.76"/>
    <n v="-520066.76"/>
    <x v="0"/>
    <x v="0"/>
    <x v="0"/>
    <n v="0"/>
    <n v="0"/>
    <n v="0"/>
    <x v="0"/>
    <x v="0"/>
    <x v="0"/>
    <n v="0"/>
    <n v="520066.76"/>
    <n v="-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20066.76"/>
    <n v="0"/>
    <n v="520066.76"/>
    <x v="0"/>
    <x v="0"/>
    <x v="0"/>
    <n v="0"/>
    <n v="0"/>
    <n v="0"/>
    <x v="0"/>
    <x v="0"/>
    <x v="0"/>
    <n v="520066.76"/>
    <n v="0"/>
    <n v="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20067"/>
    <n v="0"/>
    <n v="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20067"/>
    <n v="-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709.740000000005"/>
    <n v="0"/>
    <n v="73709.740000000005"/>
    <x v="0"/>
    <x v="0"/>
    <x v="0"/>
    <n v="0"/>
    <n v="0"/>
    <n v="0"/>
    <x v="0"/>
    <x v="0"/>
    <x v="0"/>
    <n v="73709.740000000005"/>
    <n v="0"/>
    <n v="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709.740000000005"/>
    <n v="-73709.740000000005"/>
    <x v="0"/>
    <x v="0"/>
    <x v="0"/>
    <n v="0"/>
    <n v="0"/>
    <n v="0"/>
    <x v="0"/>
    <x v="0"/>
    <x v="0"/>
    <n v="0"/>
    <n v="73709.740000000005"/>
    <n v="-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710"/>
    <n v="0"/>
    <n v="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710"/>
    <n v="-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05809.96000000002"/>
    <n v="-305809.96000000002"/>
    <x v="0"/>
    <x v="0"/>
    <x v="0"/>
    <n v="0"/>
    <n v="0"/>
    <n v="0"/>
    <x v="0"/>
    <x v="0"/>
    <x v="0"/>
    <n v="0"/>
    <n v="305809.96000000002"/>
    <n v="-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05809.96000000002"/>
    <n v="-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48340.68"/>
    <n v="0"/>
    <n v="48340.68"/>
    <x v="0"/>
    <x v="0"/>
    <x v="0"/>
    <n v="0"/>
    <n v="0"/>
    <n v="0"/>
    <x v="0"/>
    <x v="0"/>
    <x v="0"/>
    <n v="48340.68"/>
    <n v="0"/>
    <n v="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48340.68"/>
    <n v="-48340.68"/>
    <x v="0"/>
    <x v="0"/>
    <x v="0"/>
    <n v="0"/>
    <n v="0"/>
    <n v="0"/>
    <x v="0"/>
    <x v="0"/>
    <x v="0"/>
    <n v="0"/>
    <n v="48340.68"/>
    <n v="-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48340.68"/>
    <n v="0"/>
    <n v="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48340.68"/>
    <n v="-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73287.23"/>
    <n v="-173287.23"/>
    <x v="0"/>
    <x v="0"/>
    <x v="0"/>
    <n v="0"/>
    <n v="0"/>
    <n v="0"/>
    <x v="0"/>
    <x v="0"/>
    <x v="0"/>
    <n v="0"/>
    <n v="173287.23"/>
    <n v="-173287.2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73287.23"/>
    <n v="-173287.2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3180.27"/>
    <n v="-83180.27"/>
    <x v="0"/>
    <x v="0"/>
    <x v="0"/>
    <n v="0"/>
    <n v="0"/>
    <n v="0"/>
    <x v="0"/>
    <x v="0"/>
    <x v="0"/>
    <n v="0"/>
    <n v="83180.27"/>
    <n v="-83180.27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83180.27"/>
    <n v="-83180.2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8644.09"/>
    <n v="-78644.09"/>
    <x v="0"/>
    <x v="0"/>
    <x v="0"/>
    <n v="0"/>
    <n v="0"/>
    <n v="0"/>
    <x v="0"/>
    <x v="0"/>
    <x v="0"/>
    <n v="0"/>
    <n v="78644.09"/>
    <n v="-78644.09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8644.09"/>
    <n v="-78644.09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0"/>
    <n v="84127.34"/>
    <n v="-84127.34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119900"/>
    <n v="0"/>
    <n v="119900"/>
    <x v="0"/>
    <x v="0"/>
    <x v="0"/>
    <n v="0"/>
    <n v="0"/>
    <n v="0"/>
    <x v="0"/>
    <x v="0"/>
    <x v="0"/>
    <n v="119900"/>
    <n v="0"/>
    <n v="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119900"/>
    <n v="-119900"/>
    <x v="0"/>
    <x v="0"/>
    <x v="0"/>
    <n v="0"/>
    <n v="0"/>
    <n v="0"/>
    <x v="0"/>
    <x v="0"/>
    <x v="0"/>
    <n v="0"/>
    <n v="119900"/>
    <n v="-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119900"/>
    <n v="0"/>
    <n v="119900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13106"/>
    <n v="0"/>
    <n v="413106"/>
    <x v="0"/>
    <x v="0"/>
    <x v="0"/>
    <n v="413106"/>
    <n v="0"/>
    <n v="413106"/>
    <x v="0"/>
    <x v="0"/>
    <x v="0"/>
    <n v="413106"/>
    <n v="0"/>
    <n v="41310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2"/>
    <x v="2"/>
    <n v="19839"/>
    <s v="860007660"/>
    <s v="HELM BANK S.A."/>
    <s v="201903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4225"/>
    <n v="90876.67"/>
    <n v="0"/>
    <n v="90876.67"/>
    <x v="0"/>
    <x v="0"/>
    <x v="0"/>
    <n v="90876.67"/>
    <n v="0"/>
    <n v="90876.67"/>
    <x v="0"/>
    <x v="0"/>
    <x v="0"/>
    <n v="90876.67"/>
    <n v="0"/>
    <n v="90876.67"/>
    <x v="0"/>
    <x v="0"/>
    <x v="0"/>
    <x v="0"/>
    <x v="0"/>
  </r>
  <r>
    <x v="5"/>
    <x v="0"/>
    <x v="0"/>
    <x v="0"/>
    <x v="0"/>
    <x v="2"/>
    <x v="2"/>
    <n v="19932"/>
    <s v="890300279"/>
    <s v="BANCO DE OCCIDENTE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 DE MARZO DEL 2019"/>
    <n v="90940"/>
    <n v="0"/>
    <n v="90940"/>
    <x v="0"/>
    <x v="0"/>
    <x v="0"/>
    <n v="90940"/>
    <n v="0"/>
    <n v="90940"/>
    <x v="0"/>
    <x v="0"/>
    <x v="0"/>
    <n v="90940"/>
    <n v="0"/>
    <n v="9094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6100"/>
    <n v="0"/>
    <n v="6100"/>
    <x v="0"/>
    <x v="0"/>
    <x v="0"/>
    <n v="6100"/>
    <n v="0"/>
    <n v="6100"/>
    <x v="0"/>
    <x v="0"/>
    <x v="0"/>
    <n v="6100"/>
    <n v="0"/>
    <n v="61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70129"/>
    <n v="-270129"/>
    <x v="0"/>
    <x v="0"/>
    <x v="0"/>
    <n v="0"/>
    <n v="0"/>
    <n v="0"/>
    <x v="0"/>
    <x v="0"/>
    <x v="0"/>
    <n v="0"/>
    <n v="270129"/>
    <n v="-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70129"/>
    <n v="0"/>
    <n v="270129"/>
    <x v="0"/>
    <x v="0"/>
    <x v="0"/>
    <n v="0"/>
    <n v="0"/>
    <n v="0"/>
    <x v="0"/>
    <x v="0"/>
    <x v="0"/>
    <n v="270129"/>
    <n v="0"/>
    <n v="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70129"/>
    <n v="0"/>
    <n v="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70129"/>
    <n v="-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6810"/>
    <n v="0"/>
    <n v="6810"/>
    <x v="0"/>
    <x v="0"/>
    <x v="0"/>
    <n v="6810"/>
    <n v="0"/>
    <n v="6810"/>
    <x v="0"/>
    <x v="0"/>
    <x v="0"/>
    <n v="6810"/>
    <n v="0"/>
    <n v="681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309400"/>
    <n v="0"/>
    <n v="309400"/>
    <x v="0"/>
    <x v="0"/>
    <x v="0"/>
    <n v="309400"/>
    <n v="0"/>
    <n v="309400"/>
    <x v="0"/>
    <x v="0"/>
    <x v="0"/>
    <n v="309400"/>
    <n v="0"/>
    <n v="309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1"/>
    <n v="0"/>
    <n v="17161"/>
    <x v="0"/>
    <x v="0"/>
    <x v="0"/>
    <n v="17161"/>
    <n v="0"/>
    <n v="17161"/>
    <x v="0"/>
    <x v="0"/>
    <x v="0"/>
    <n v="17161"/>
    <n v="0"/>
    <n v="1716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42902.5"/>
    <n v="0"/>
    <n v="42902.5"/>
    <x v="0"/>
    <x v="0"/>
    <x v="0"/>
    <n v="42902.5"/>
    <n v="0"/>
    <n v="42902.5"/>
    <x v="0"/>
    <x v="0"/>
    <x v="0"/>
    <n v="42902.5"/>
    <n v="0"/>
    <n v="42902.5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2"/>
    <x v="2"/>
    <n v="19958"/>
    <s v="860002964"/>
    <s v="BANCO DE BOGOTA S.A.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LDO DE OBLIGACION 349 CREDITO ROTATIVO"/>
    <n v="52479"/>
    <n v="0"/>
    <n v="52479"/>
    <x v="0"/>
    <x v="0"/>
    <x v="0"/>
    <n v="52479"/>
    <n v="0"/>
    <n v="52479"/>
    <x v="0"/>
    <x v="0"/>
    <x v="0"/>
    <n v="52479"/>
    <n v="0"/>
    <n v="52479"/>
    <x v="0"/>
    <x v="0"/>
    <x v="0"/>
    <x v="0"/>
    <x v="0"/>
  </r>
  <r>
    <x v="7"/>
    <x v="0"/>
    <x v="0"/>
    <x v="0"/>
    <x v="0"/>
    <x v="2"/>
    <x v="2"/>
    <n v="19998"/>
    <s v="900406150"/>
    <s v="BANCO COOMEV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ACARIOS MES DE MARZO DEL 2019"/>
    <n v="116233.28"/>
    <n v="0"/>
    <n v="116233.28"/>
    <x v="0"/>
    <x v="0"/>
    <x v="0"/>
    <n v="116233.28"/>
    <n v="0"/>
    <n v="116233.28"/>
    <x v="0"/>
    <x v="0"/>
    <x v="0"/>
    <n v="116233.28"/>
    <n v="0"/>
    <n v="116233.28"/>
    <x v="0"/>
    <x v="0"/>
    <x v="0"/>
    <x v="0"/>
    <x v="0"/>
  </r>
  <r>
    <x v="7"/>
    <x v="0"/>
    <x v="0"/>
    <x v="0"/>
    <x v="0"/>
    <x v="11"/>
    <x v="11"/>
    <n v="26012"/>
    <s v="1018441067"/>
    <s v="ALONSO GUTIERREZ YINNETH CATALINA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 + GASTOS BANCARIOS"/>
    <n v="8045"/>
    <n v="0"/>
    <n v="8045"/>
    <x v="0"/>
    <x v="0"/>
    <x v="0"/>
    <n v="8045"/>
    <n v="0"/>
    <n v="8045"/>
    <x v="0"/>
    <x v="0"/>
    <x v="0"/>
    <n v="8045"/>
    <n v="0"/>
    <n v="8045"/>
    <x v="0"/>
    <x v="0"/>
    <x v="0"/>
    <x v="0"/>
    <x v="0"/>
  </r>
  <r>
    <x v="7"/>
    <x v="0"/>
    <x v="0"/>
    <x v="0"/>
    <x v="0"/>
    <x v="11"/>
    <x v="11"/>
    <n v="26013"/>
    <s v="1045717933"/>
    <s v="PALMA GUTIERREZ KETTY JANETH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4  + GASTOS BANCARIOS"/>
    <n v="7304"/>
    <n v="0"/>
    <n v="7304"/>
    <x v="0"/>
    <x v="0"/>
    <x v="0"/>
    <n v="7304"/>
    <n v="0"/>
    <n v="7304"/>
    <x v="0"/>
    <x v="0"/>
    <x v="0"/>
    <n v="7304"/>
    <n v="0"/>
    <n v="7304"/>
    <x v="0"/>
    <x v="0"/>
    <x v="0"/>
    <x v="0"/>
    <x v="0"/>
  </r>
  <r>
    <x v="7"/>
    <x v="0"/>
    <x v="0"/>
    <x v="0"/>
    <x v="0"/>
    <x v="11"/>
    <x v="11"/>
    <n v="26015"/>
    <s v="31908098"/>
    <s v="LOPEZ GARCIA MARIA DEL SOCORRO"/>
    <s v="2019040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0 + GASTOS BANCARIOS"/>
    <n v="8384"/>
    <n v="0"/>
    <n v="8384"/>
    <x v="0"/>
    <x v="0"/>
    <x v="0"/>
    <n v="8384"/>
    <n v="0"/>
    <n v="8384"/>
    <x v="0"/>
    <x v="0"/>
    <x v="0"/>
    <n v="8384"/>
    <n v="0"/>
    <n v="8384"/>
    <x v="0"/>
    <x v="0"/>
    <x v="0"/>
    <x v="0"/>
    <x v="0"/>
  </r>
  <r>
    <x v="7"/>
    <x v="0"/>
    <x v="0"/>
    <x v="0"/>
    <x v="0"/>
    <x v="11"/>
    <x v="11"/>
    <n v="26026"/>
    <s v="1098657994"/>
    <s v="HERNANDEZ ROJAS JOHN EDISON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2+ GASTOS BANCARIOS"/>
    <n v="7202"/>
    <n v="0"/>
    <n v="7202"/>
    <x v="0"/>
    <x v="0"/>
    <x v="0"/>
    <n v="7202"/>
    <n v="0"/>
    <n v="7202"/>
    <x v="0"/>
    <x v="0"/>
    <x v="0"/>
    <n v="7202"/>
    <n v="0"/>
    <n v="7202"/>
    <x v="0"/>
    <x v="0"/>
    <x v="0"/>
    <x v="0"/>
    <x v="0"/>
  </r>
  <r>
    <x v="7"/>
    <x v="0"/>
    <x v="0"/>
    <x v="0"/>
    <x v="0"/>
    <x v="11"/>
    <x v="11"/>
    <n v="26027"/>
    <s v="29873536"/>
    <s v="ZUÑIGA CEBALLOS CLAUDIA MARIA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5+ GASTOS BANCARIOS"/>
    <n v="7713"/>
    <n v="0"/>
    <n v="7713"/>
    <x v="0"/>
    <x v="0"/>
    <x v="0"/>
    <n v="7713"/>
    <n v="0"/>
    <n v="7713"/>
    <x v="0"/>
    <x v="0"/>
    <x v="0"/>
    <n v="7713"/>
    <n v="0"/>
    <n v="7713"/>
    <x v="0"/>
    <x v="0"/>
    <x v="0"/>
    <x v="0"/>
    <x v="0"/>
  </r>
  <r>
    <x v="7"/>
    <x v="0"/>
    <x v="0"/>
    <x v="0"/>
    <x v="0"/>
    <x v="2"/>
    <x v="2"/>
    <n v="20001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11940"/>
    <s v="TURISMO MARVAN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12609.8"/>
    <n v="0"/>
    <n v="12609.800000000001"/>
    <x v="0"/>
    <x v="0"/>
    <x v="0"/>
    <n v="12609.8"/>
    <n v="0"/>
    <n v="12609.800000000001"/>
    <x v="0"/>
    <x v="0"/>
    <x v="0"/>
    <n v="12609.8"/>
    <n v="0"/>
    <n v="12609.800000000001"/>
    <x v="0"/>
    <x v="0"/>
    <x v="0"/>
    <x v="0"/>
    <x v="0"/>
  </r>
  <r>
    <x v="7"/>
    <x v="0"/>
    <x v="0"/>
    <x v="0"/>
    <x v="0"/>
    <x v="2"/>
    <x v="2"/>
    <n v="20002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 BANCOLOMBIA"/>
    <n v="2408.8200000000002"/>
    <n v="0"/>
    <n v="2408.8200000000002"/>
    <x v="0"/>
    <x v="0"/>
    <x v="0"/>
    <n v="2408.8200000000002"/>
    <n v="0"/>
    <n v="2408.8200000000002"/>
    <x v="0"/>
    <x v="0"/>
    <x v="0"/>
    <n v="2408.8200000000002"/>
    <n v="0"/>
    <n v="2408.8200000000002"/>
    <x v="0"/>
    <x v="0"/>
    <x v="0"/>
    <x v="0"/>
    <x v="0"/>
  </r>
  <r>
    <x v="7"/>
    <x v="0"/>
    <x v="0"/>
    <x v="0"/>
    <x v="0"/>
    <x v="11"/>
    <x v="11"/>
    <n v="26071"/>
    <s v="1018441067"/>
    <s v="ALONSO GUTIERREZ YINNETH CATALIN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18441067"/>
    <s v="ALONSO GUTIERREZ YINNETH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- GASTOS BANCARIOS"/>
    <n v="11342"/>
    <n v="0"/>
    <n v="11342"/>
    <x v="0"/>
    <x v="0"/>
    <x v="0"/>
    <n v="11342"/>
    <n v="0"/>
    <n v="11342"/>
    <x v="0"/>
    <x v="0"/>
    <x v="0"/>
    <n v="11342"/>
    <n v="0"/>
    <n v="11342"/>
    <x v="0"/>
    <x v="0"/>
    <x v="0"/>
    <x v="0"/>
    <x v="0"/>
  </r>
  <r>
    <x v="7"/>
    <x v="0"/>
    <x v="0"/>
    <x v="0"/>
    <x v="0"/>
    <x v="11"/>
    <x v="11"/>
    <n v="26072"/>
    <s v="1045717933"/>
    <s v="PALMA GUTIERREZ KETTY JANETH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5 + GASTOS BANCARIOS"/>
    <n v="7540"/>
    <n v="0"/>
    <n v="7540"/>
    <x v="0"/>
    <x v="0"/>
    <x v="0"/>
    <n v="7540"/>
    <n v="0"/>
    <n v="7540"/>
    <x v="0"/>
    <x v="0"/>
    <x v="0"/>
    <n v="7540"/>
    <n v="0"/>
    <n v="7540"/>
    <x v="0"/>
    <x v="0"/>
    <x v="0"/>
    <x v="0"/>
    <x v="0"/>
  </r>
  <r>
    <x v="7"/>
    <x v="0"/>
    <x v="0"/>
    <x v="0"/>
    <x v="0"/>
    <x v="11"/>
    <x v="11"/>
    <n v="26073"/>
    <s v="4519543"/>
    <s v="GARCIA CASTAÑO FREDY JHOVANNY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519543"/>
    <s v="GARCIA CASTAÑO FREDY JHOVANN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3 + GASTOS BANCARIOS"/>
    <n v="3364"/>
    <n v="0"/>
    <n v="3364"/>
    <x v="0"/>
    <x v="0"/>
    <x v="0"/>
    <n v="3364"/>
    <n v="0"/>
    <n v="3364"/>
    <x v="0"/>
    <x v="0"/>
    <x v="0"/>
    <n v="3364"/>
    <n v="0"/>
    <n v="3364"/>
    <x v="0"/>
    <x v="0"/>
    <x v="0"/>
    <x v="0"/>
    <x v="0"/>
  </r>
  <r>
    <x v="7"/>
    <x v="0"/>
    <x v="0"/>
    <x v="0"/>
    <x v="0"/>
    <x v="11"/>
    <x v="11"/>
    <n v="26074"/>
    <s v="1036930909"/>
    <s v="ALZATE SANCHEZ NATACH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36930909"/>
    <s v="ALZATE SANCHEZ NATACH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7+ GASTOS BANCARIOS"/>
    <n v="11845"/>
    <n v="0"/>
    <n v="11845"/>
    <x v="0"/>
    <x v="0"/>
    <x v="0"/>
    <n v="11845"/>
    <n v="0"/>
    <n v="11845"/>
    <x v="0"/>
    <x v="0"/>
    <x v="0"/>
    <n v="11845"/>
    <n v="0"/>
    <n v="11845"/>
    <x v="0"/>
    <x v="0"/>
    <x v="0"/>
    <x v="0"/>
    <x v="0"/>
  </r>
  <r>
    <x v="7"/>
    <x v="0"/>
    <x v="0"/>
    <x v="0"/>
    <x v="0"/>
    <x v="11"/>
    <x v="11"/>
    <n v="26163"/>
    <s v="16285567"/>
    <s v="MONTOYA GOMEZ PABLO IGNACI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7-559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11"/>
    <x v="11"/>
    <n v="26164"/>
    <s v="94512729"/>
    <s v="GARCES GONZALEZ JACOB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8+ GASTOS BANCARI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7"/>
    <x v="0"/>
    <x v="0"/>
    <x v="0"/>
    <x v="0"/>
    <x v="11"/>
    <x v="11"/>
    <n v="26165"/>
    <s v="31908098"/>
    <s v="LOPEZ GARCIA MARIA DEL SOCORR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1- GASTOS BANCARIOS"/>
    <n v="8263"/>
    <n v="0"/>
    <n v="8263"/>
    <x v="0"/>
    <x v="0"/>
    <x v="0"/>
    <n v="8263"/>
    <n v="0"/>
    <n v="8263"/>
    <x v="0"/>
    <x v="0"/>
    <x v="0"/>
    <n v="8263"/>
    <n v="0"/>
    <n v="826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11"/>
    <x v="11"/>
    <n v="26011"/>
    <s v="71631400"/>
    <s v="CARRASQUILLA PIZARRO MARCO ANTONIO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29 - MAS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11"/>
    <x v="11"/>
    <n v="26162"/>
    <s v="31572163"/>
    <s v="VALLEJO AGUIRRE ANA MARIA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60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5130"/>
    <n v="0"/>
    <n v="5130"/>
    <x v="0"/>
    <x v="0"/>
    <x v="0"/>
    <n v="5130"/>
    <n v="0"/>
    <n v="5130"/>
    <x v="0"/>
    <x v="0"/>
    <x v="0"/>
    <n v="5130"/>
    <n v="0"/>
    <n v="513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974.7"/>
    <n v="0"/>
    <n v="974.7"/>
    <x v="0"/>
    <x v="0"/>
    <x v="0"/>
    <n v="974.7"/>
    <n v="0"/>
    <n v="974.7"/>
    <x v="0"/>
    <x v="0"/>
    <x v="0"/>
    <n v="974.7"/>
    <n v="0"/>
    <n v="974.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1"/>
    <x v="1"/>
    <x v="1"/>
    <x v="1"/>
    <n v="24619"/>
    <s v="802016306"/>
    <s v="EXPOCONSTRUCCION 43 Y CIA LTD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93 - FVA-364998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2"/>
    <x v="0"/>
    <x v="0"/>
    <x v="1"/>
    <x v="1"/>
    <x v="1"/>
    <x v="1"/>
    <n v="24622"/>
    <s v="1140900157"/>
    <s v="BOZON ALBA VALENTIN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1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1"/>
    <x v="1"/>
    <x v="1"/>
    <x v="1"/>
    <n v="24627"/>
    <s v="890301054"/>
    <s v="TORRECAFE AGUILA ROJA CIA.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301054"/>
    <s v="TORRECAFE AGUILA ROJA CIA.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4"/>
    <n v="92"/>
    <n v="0"/>
    <n v="92"/>
    <x v="0"/>
    <x v="0"/>
    <x v="0"/>
    <n v="92"/>
    <n v="0"/>
    <n v="92"/>
    <x v="0"/>
    <x v="0"/>
    <x v="0"/>
    <n v="92"/>
    <n v="0"/>
    <n v="92"/>
    <x v="0"/>
    <x v="0"/>
    <x v="0"/>
    <x v="0"/>
    <x v="0"/>
  </r>
  <r>
    <x v="2"/>
    <x v="0"/>
    <x v="0"/>
    <x v="1"/>
    <x v="1"/>
    <x v="1"/>
    <x v="1"/>
    <n v="24628"/>
    <s v="802010909"/>
    <s v="INVERSIONES WONGFOEN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14_x000d__x000a_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2"/>
    <x v="0"/>
    <x v="0"/>
    <x v="0"/>
    <x v="0"/>
    <x v="0"/>
    <x v="0"/>
    <n v="4315"/>
    <s v="1020757156"/>
    <s v="ROA GUTIERREZ LUIS EDUARDO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1020757156"/>
    <s v="ROA GUTIERREZ LUIS EDUAR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JADO DE APLICAR DESCUENTO COMERCIAL"/>
    <n v="138000"/>
    <n v="0"/>
    <n v="138000"/>
    <x v="0"/>
    <x v="0"/>
    <x v="0"/>
    <n v="138000"/>
    <n v="0"/>
    <n v="138000"/>
    <x v="0"/>
    <x v="0"/>
    <x v="0"/>
    <n v="138000"/>
    <n v="0"/>
    <n v="138000"/>
    <x v="0"/>
    <x v="0"/>
    <x v="0"/>
    <x v="0"/>
    <x v="0"/>
  </r>
  <r>
    <x v="2"/>
    <x v="0"/>
    <x v="0"/>
    <x v="1"/>
    <x v="1"/>
    <x v="1"/>
    <x v="1"/>
    <n v="24633"/>
    <s v="806012958"/>
    <s v="IPS SALUD DEL CARIBE S.A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301 - FVA-362314 - FVA-362319 - FVA-3623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2"/>
    <x v="0"/>
    <x v="0"/>
    <x v="2"/>
    <x v="2"/>
    <x v="9"/>
    <x v="9"/>
    <n v="1583"/>
    <s v="800085013"/>
    <s v="COMPLEJO COMERCIAL CENTRO CHIA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85013"/>
    <s v="COMPLEJO COMERCIAL CENTRO CH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824.615"/>
    <n v="824615"/>
    <n v="0"/>
    <n v="824615"/>
    <x v="0"/>
    <x v="0"/>
    <x v="0"/>
    <n v="824615"/>
    <n v="0"/>
    <n v="824615"/>
    <x v="0"/>
    <x v="0"/>
    <x v="0"/>
    <n v="824615"/>
    <n v="0"/>
    <n v="824615"/>
    <x v="0"/>
    <x v="0"/>
    <x v="0"/>
    <x v="0"/>
    <x v="0"/>
  </r>
  <r>
    <x v="2"/>
    <x v="0"/>
    <x v="0"/>
    <x v="5"/>
    <x v="5"/>
    <x v="9"/>
    <x v="9"/>
    <n v="1319"/>
    <s v="890304049"/>
    <s v="ARQUIDIOCESIS DE CALI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OK,  $277.222"/>
    <n v="277222"/>
    <n v="0"/>
    <n v="277222"/>
    <x v="0"/>
    <x v="0"/>
    <x v="0"/>
    <n v="277222"/>
    <n v="0"/>
    <n v="277222"/>
    <x v="0"/>
    <x v="0"/>
    <x v="0"/>
    <n v="277222"/>
    <n v="0"/>
    <n v="277222"/>
    <x v="0"/>
    <x v="0"/>
    <x v="0"/>
    <x v="0"/>
    <x v="0"/>
  </r>
  <r>
    <x v="2"/>
    <x v="0"/>
    <x v="0"/>
    <x v="5"/>
    <x v="5"/>
    <x v="1"/>
    <x v="1"/>
    <n v="47032"/>
    <s v="890311006"/>
    <s v="FONDO DE EMPLEADOS DE LAS EMP.MPALES DE CALI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3"/>
    <n v="0"/>
    <n v="453"/>
    <x v="0"/>
    <x v="0"/>
    <x v="0"/>
    <n v="453"/>
    <n v="0"/>
    <n v="453"/>
    <x v="0"/>
    <x v="0"/>
    <x v="0"/>
    <n v="453"/>
    <n v="0"/>
    <n v="453"/>
    <x v="0"/>
    <x v="0"/>
    <x v="0"/>
    <x v="0"/>
    <x v="0"/>
  </r>
  <r>
    <x v="2"/>
    <x v="0"/>
    <x v="0"/>
    <x v="5"/>
    <x v="5"/>
    <x v="1"/>
    <x v="1"/>
    <n v="47033"/>
    <s v="900825179"/>
    <s v="ELIZABETH TRULLAS  CIA S.A.S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2"/>
    <x v="0"/>
    <x v="0"/>
    <x v="5"/>
    <x v="5"/>
    <x v="1"/>
    <x v="1"/>
    <n v="47045"/>
    <s v="860046201"/>
    <s v="FORTOX S.A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2"/>
    <x v="2"/>
    <x v="9"/>
    <x v="9"/>
    <n v="1589"/>
    <s v="51721371"/>
    <s v="CASTIBLANCO BARRERO MARIA CONSUELO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51721371"/>
    <s v="CASTIBLANCO BARRERO MARIA CONSU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EMESTRAL 4.5% $20.180"/>
    <n v="20179"/>
    <n v="0"/>
    <n v="20179"/>
    <x v="0"/>
    <x v="0"/>
    <x v="0"/>
    <n v="20179"/>
    <n v="0"/>
    <n v="20179"/>
    <x v="0"/>
    <x v="0"/>
    <x v="0"/>
    <n v="20179"/>
    <n v="0"/>
    <n v="20179"/>
    <x v="0"/>
    <x v="0"/>
    <x v="0"/>
    <x v="0"/>
    <x v="0"/>
  </r>
  <r>
    <x v="2"/>
    <x v="0"/>
    <x v="0"/>
    <x v="2"/>
    <x v="2"/>
    <x v="9"/>
    <x v="9"/>
    <n v="1590"/>
    <s v="860049609"/>
    <s v="MILSEN S.A.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210.245"/>
    <n v="210245"/>
    <n v="0"/>
    <n v="210245"/>
    <x v="0"/>
    <x v="0"/>
    <x v="0"/>
    <n v="210245"/>
    <n v="0"/>
    <n v="210245"/>
    <x v="0"/>
    <x v="0"/>
    <x v="0"/>
    <n v="210245"/>
    <n v="0"/>
    <n v="210245"/>
    <x v="0"/>
    <x v="0"/>
    <x v="0"/>
    <x v="0"/>
    <x v="0"/>
  </r>
  <r>
    <x v="2"/>
    <x v="0"/>
    <x v="0"/>
    <x v="3"/>
    <x v="3"/>
    <x v="1"/>
    <x v="1"/>
    <n v="37969"/>
    <s v="800017259"/>
    <s v="PASAJE COMERCIAL EL BOULEVARD DE JUNIN P-H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0 DCTO PRONTO PAG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2"/>
    <x v="0"/>
    <x v="0"/>
    <x v="1"/>
    <x v="1"/>
    <x v="1"/>
    <x v="1"/>
    <n v="24669"/>
    <s v="7883830"/>
    <s v="MARRUGO GUARDO GONZALO RAFAEL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7883830"/>
    <s v="MARRUGO GUARDO GONZALO RAFA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59 - FVA-362296"/>
    <n v="400"/>
    <n v="0"/>
    <n v="400"/>
    <x v="0"/>
    <x v="0"/>
    <x v="0"/>
    <n v="400"/>
    <n v="0"/>
    <n v="400"/>
    <x v="0"/>
    <x v="0"/>
    <x v="0"/>
    <n v="400"/>
    <n v="0"/>
    <n v="400"/>
    <x v="0"/>
    <x v="0"/>
    <x v="0"/>
    <x v="0"/>
    <x v="0"/>
  </r>
  <r>
    <x v="2"/>
    <x v="0"/>
    <x v="0"/>
    <x v="1"/>
    <x v="1"/>
    <x v="1"/>
    <x v="1"/>
    <n v="24673"/>
    <s v="32757237"/>
    <s v="MEDINA OLIVEROS FARATH DIVA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0"/>
    <n v="302"/>
    <n v="0"/>
    <n v="302"/>
    <x v="0"/>
    <x v="0"/>
    <x v="0"/>
    <n v="302"/>
    <n v="0"/>
    <n v="302"/>
    <x v="0"/>
    <x v="0"/>
    <x v="0"/>
    <n v="302"/>
    <n v="0"/>
    <n v="302"/>
    <x v="0"/>
    <x v="0"/>
    <x v="0"/>
    <x v="0"/>
    <x v="0"/>
  </r>
  <r>
    <x v="2"/>
    <x v="0"/>
    <x v="0"/>
    <x v="0"/>
    <x v="0"/>
    <x v="1"/>
    <x v="1"/>
    <n v="2409"/>
    <s v="800149169"/>
    <s v="CLINICA JOSE A. RIVAS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169"/>
    <s v="CLINICA JOSE A. RIVA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519"/>
    <n v="0"/>
    <n v="5519"/>
    <x v="0"/>
    <x v="0"/>
    <x v="0"/>
    <n v="5519"/>
    <n v="0"/>
    <n v="5519"/>
    <x v="0"/>
    <x v="0"/>
    <x v="0"/>
    <n v="5519"/>
    <n v="0"/>
    <n v="5519"/>
    <x v="0"/>
    <x v="0"/>
    <x v="0"/>
    <x v="0"/>
    <x v="0"/>
  </r>
  <r>
    <x v="2"/>
    <x v="0"/>
    <x v="0"/>
    <x v="0"/>
    <x v="0"/>
    <x v="1"/>
    <x v="1"/>
    <n v="2401"/>
    <s v="900338133"/>
    <s v="INST. BELLEZA STELLA DURAN GALERIA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33"/>
    <s v="INST. BELLEZA STELLA DURAN GALER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CARTERA EN ABOGADO"/>
    <n v="120664"/>
    <n v="0"/>
    <n v="120664"/>
    <x v="0"/>
    <x v="0"/>
    <x v="0"/>
    <n v="120664"/>
    <n v="0"/>
    <n v="120664"/>
    <x v="0"/>
    <x v="0"/>
    <x v="0"/>
    <n v="120664"/>
    <n v="0"/>
    <n v="120664"/>
    <x v="0"/>
    <x v="0"/>
    <x v="0"/>
    <x v="0"/>
    <x v="0"/>
  </r>
  <r>
    <x v="2"/>
    <x v="0"/>
    <x v="0"/>
    <x v="5"/>
    <x v="5"/>
    <x v="1"/>
    <x v="1"/>
    <n v="46983"/>
    <s v="900361467"/>
    <s v="BLUE ELEMENTS S.A.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467"/>
    <s v="BLUE ELEMENT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82"/>
    <n v="0"/>
    <n v="382"/>
    <x v="0"/>
    <x v="0"/>
    <x v="0"/>
    <n v="382"/>
    <n v="0"/>
    <n v="382"/>
    <x v="0"/>
    <x v="0"/>
    <x v="0"/>
    <n v="382"/>
    <n v="0"/>
    <n v="382"/>
    <x v="0"/>
    <x v="0"/>
    <x v="0"/>
    <x v="0"/>
    <x v="0"/>
  </r>
  <r>
    <x v="2"/>
    <x v="0"/>
    <x v="0"/>
    <x v="5"/>
    <x v="5"/>
    <x v="1"/>
    <x v="1"/>
    <n v="46986"/>
    <s v="1509246"/>
    <s v="MORALES SANTACRUZ JESUS ANTONIO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2"/>
    <x v="0"/>
    <x v="0"/>
    <x v="5"/>
    <x v="5"/>
    <x v="9"/>
    <x v="9"/>
    <n v="1318"/>
    <s v="860019021"/>
    <s v="ASOCIACION PARA LA ENSENANZA ASPAEN"/>
    <s v="201906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19021"/>
    <s v="ASOCIACION PARA LA ENSENANZA ASPA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AÑO ANTICIPADO 9% EN FACTURA ,OK.$79.906"/>
    <n v="79906"/>
    <n v="0"/>
    <n v="79906"/>
    <x v="0"/>
    <x v="0"/>
    <x v="0"/>
    <n v="79906"/>
    <n v="0"/>
    <n v="79906"/>
    <x v="0"/>
    <x v="0"/>
    <x v="0"/>
    <n v="79906"/>
    <n v="0"/>
    <n v="79906"/>
    <x v="0"/>
    <x v="0"/>
    <x v="0"/>
    <x v="0"/>
    <x v="0"/>
  </r>
  <r>
    <x v="2"/>
    <x v="0"/>
    <x v="0"/>
    <x v="0"/>
    <x v="0"/>
    <x v="11"/>
    <x v="11"/>
    <n v="26606"/>
    <s v="890805503"/>
    <s v="PASTELERIA LA SUIZA LTDA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5503"/>
    <s v="PASTELERIA LA SUIZ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DESCUENTO NO APLICADO POR CLIENTE ( RC 461-18373)"/>
    <n v="57817"/>
    <n v="0"/>
    <n v="57817"/>
    <x v="0"/>
    <x v="0"/>
    <x v="0"/>
    <n v="57817"/>
    <n v="0"/>
    <n v="57817"/>
    <x v="0"/>
    <x v="0"/>
    <x v="0"/>
    <n v="57817"/>
    <n v="0"/>
    <n v="57817"/>
    <x v="0"/>
    <x v="0"/>
    <x v="0"/>
    <x v="0"/>
    <x v="0"/>
  </r>
  <r>
    <x v="2"/>
    <x v="0"/>
    <x v="0"/>
    <x v="5"/>
    <x v="5"/>
    <x v="1"/>
    <x v="1"/>
    <n v="47067"/>
    <s v="900569801"/>
    <s v="MARGARITA PEÑA S.A.S.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7082"/>
    <s v="900612118"/>
    <s v="SERVICIOS ESTRATEGICOS COMPARTIDOS SAS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12118"/>
    <s v="SERVICIOS ESTRATEGICOS COMPARTIDO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0158,FONDO DE INVERSIONES,8001622716"/>
    <n v="9625"/>
    <n v="0"/>
    <n v="9625"/>
    <x v="0"/>
    <x v="0"/>
    <x v="0"/>
    <n v="9625"/>
    <n v="0"/>
    <n v="9625"/>
    <x v="0"/>
    <x v="0"/>
    <x v="0"/>
    <n v="9625"/>
    <n v="0"/>
    <n v="9625"/>
    <x v="0"/>
    <x v="0"/>
    <x v="0"/>
    <x v="0"/>
    <x v="0"/>
  </r>
  <r>
    <x v="3"/>
    <x v="0"/>
    <x v="0"/>
    <x v="5"/>
    <x v="5"/>
    <x v="1"/>
    <x v="1"/>
    <n v="47137"/>
    <s v="805019647"/>
    <s v="TECNELEC COMUNICACIONES S.A"/>
    <s v="201907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"/>
    <n v="0"/>
    <n v="99"/>
    <x v="0"/>
    <x v="0"/>
    <x v="0"/>
    <n v="99"/>
    <n v="0"/>
    <n v="99"/>
    <x v="0"/>
    <x v="0"/>
    <x v="0"/>
    <n v="99"/>
    <n v="0"/>
    <n v="99"/>
    <x v="0"/>
    <x v="0"/>
    <x v="0"/>
    <x v="0"/>
    <x v="0"/>
  </r>
  <r>
    <x v="3"/>
    <x v="0"/>
    <x v="0"/>
    <x v="3"/>
    <x v="3"/>
    <x v="1"/>
    <x v="1"/>
    <n v="38010"/>
    <s v="890911816"/>
    <s v="CLINICA MEDELLIN S.A.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1816"/>
    <s v="CLINICA MEDELL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1075 SE GENERA DCTO POR PRONTO PAGO DEL 9% AUTORIZADO POR GERENCIA DE LA REGIONAL"/>
    <n v="374667"/>
    <n v="0"/>
    <n v="374667"/>
    <x v="0"/>
    <x v="0"/>
    <x v="0"/>
    <n v="374667"/>
    <n v="0"/>
    <n v="374667"/>
    <x v="0"/>
    <x v="0"/>
    <x v="0"/>
    <n v="374667"/>
    <n v="0"/>
    <n v="374667"/>
    <x v="0"/>
    <x v="0"/>
    <x v="0"/>
    <x v="0"/>
    <x v="0"/>
  </r>
  <r>
    <x v="3"/>
    <x v="0"/>
    <x v="0"/>
    <x v="5"/>
    <x v="5"/>
    <x v="1"/>
    <x v="1"/>
    <n v="47159"/>
    <s v="800254270"/>
    <s v="SOLVAY PEROXIDOS DE COLOMBIA SASA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1441"/>
    <n v="0"/>
    <n v="1441"/>
    <x v="0"/>
    <x v="0"/>
    <x v="0"/>
    <n v="1441"/>
    <n v="0"/>
    <n v="1441"/>
    <x v="0"/>
    <x v="0"/>
    <x v="0"/>
    <n v="1441"/>
    <n v="0"/>
    <n v="1441"/>
    <x v="0"/>
    <x v="0"/>
    <x v="0"/>
    <x v="0"/>
    <x v="0"/>
  </r>
  <r>
    <x v="3"/>
    <x v="0"/>
    <x v="0"/>
    <x v="1"/>
    <x v="1"/>
    <x v="1"/>
    <x v="1"/>
    <n v="24705"/>
    <s v="806012958"/>
    <s v="IPS SALUD DEL CARIBE S.A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91 - FVA-365104 - FVA-365109 - FVA-36511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3"/>
    <x v="0"/>
    <x v="0"/>
    <x v="1"/>
    <x v="1"/>
    <x v="1"/>
    <x v="1"/>
    <n v="24706"/>
    <s v="901062361"/>
    <s v="INVERSIONES MARCRI S.A.S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3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3"/>
    <x v="0"/>
    <x v="0"/>
    <x v="1"/>
    <x v="1"/>
    <x v="1"/>
    <x v="1"/>
    <n v="24707"/>
    <s v="890102508"/>
    <s v="SALES INMOBILIARIA S.A.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46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5"/>
    <x v="5"/>
    <x v="1"/>
    <x v="1"/>
    <n v="47188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8"/>
    <n v="0"/>
    <n v="248"/>
    <x v="0"/>
    <x v="0"/>
    <x v="0"/>
    <n v="248"/>
    <n v="0"/>
    <n v="248"/>
    <x v="0"/>
    <x v="0"/>
    <x v="0"/>
    <n v="248"/>
    <n v="0"/>
    <n v="248"/>
    <x v="0"/>
    <x v="0"/>
    <x v="0"/>
    <x v="0"/>
    <x v="0"/>
  </r>
  <r>
    <x v="3"/>
    <x v="0"/>
    <x v="0"/>
    <x v="5"/>
    <x v="5"/>
    <x v="1"/>
    <x v="1"/>
    <n v="47189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0"/>
    <n v="0"/>
    <n v="450"/>
    <x v="0"/>
    <x v="0"/>
    <x v="0"/>
    <n v="450"/>
    <n v="0"/>
    <n v="450"/>
    <x v="0"/>
    <x v="0"/>
    <x v="0"/>
    <n v="450"/>
    <n v="0"/>
    <n v="450"/>
    <x v="0"/>
    <x v="0"/>
    <x v="0"/>
    <x v="0"/>
    <x v="0"/>
  </r>
  <r>
    <x v="3"/>
    <x v="0"/>
    <x v="0"/>
    <x v="5"/>
    <x v="5"/>
    <x v="1"/>
    <x v="1"/>
    <n v="47195"/>
    <s v="900386417"/>
    <s v="IDEMIA  COLOMBIA S.A.S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86417"/>
    <s v="IDEMIA 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982"/>
    <n v="0"/>
    <n v="5982"/>
    <x v="0"/>
    <x v="0"/>
    <x v="0"/>
    <n v="5982"/>
    <n v="0"/>
    <n v="5982"/>
    <x v="0"/>
    <x v="0"/>
    <x v="0"/>
    <n v="5982"/>
    <n v="0"/>
    <n v="5982"/>
    <x v="0"/>
    <x v="0"/>
    <x v="0"/>
    <x v="0"/>
    <x v="0"/>
  </r>
  <r>
    <x v="3"/>
    <x v="0"/>
    <x v="0"/>
    <x v="5"/>
    <x v="5"/>
    <x v="1"/>
    <x v="1"/>
    <n v="47212"/>
    <s v="900203566"/>
    <s v="ABASTECEMOS  DE OCCIDENTE S.A.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3"/>
    <x v="0"/>
    <x v="0"/>
    <x v="1"/>
    <x v="1"/>
    <x v="1"/>
    <x v="1"/>
    <n v="24718"/>
    <s v="900061516"/>
    <s v="MUEBLES JAMAR S.A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89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5"/>
    <x v="5"/>
    <x v="1"/>
    <x v="1"/>
    <n v="47234"/>
    <s v="890300012"/>
    <s v="COLPOZOS 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3"/>
    <x v="0"/>
    <x v="0"/>
    <x v="5"/>
    <x v="5"/>
    <x v="1"/>
    <x v="1"/>
    <n v="47237"/>
    <s v="817001528"/>
    <s v="PAVCO DE OCCIDENTE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3"/>
    <x v="0"/>
    <x v="0"/>
    <x v="0"/>
    <x v="0"/>
    <x v="0"/>
    <x v="0"/>
    <n v="4325"/>
    <s v="900338193"/>
    <s v="INSTITUTO DE BELLEZA STELLA DURAN KENNEDY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3"/>
    <s v="INSTITUTO DE BELLEZA STELLA DURAN KENNED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SCUENTO COMERCIAL PAGO CARTERA EN ABOGADO"/>
    <n v="302026"/>
    <n v="0"/>
    <n v="302026"/>
    <x v="0"/>
    <x v="0"/>
    <x v="0"/>
    <n v="302026"/>
    <n v="0"/>
    <n v="302026"/>
    <x v="0"/>
    <x v="0"/>
    <x v="0"/>
    <n v="302026"/>
    <n v="0"/>
    <n v="302026"/>
    <x v="0"/>
    <x v="0"/>
    <x v="0"/>
    <x v="0"/>
    <x v="0"/>
  </r>
  <r>
    <x v="3"/>
    <x v="0"/>
    <x v="0"/>
    <x v="5"/>
    <x v="5"/>
    <x v="1"/>
    <x v="1"/>
    <n v="47265"/>
    <s v="66766910"/>
    <s v="BOTERO TROCHEZ CELI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6766910"/>
    <s v="BOTERO TROCHEZ CE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89"/>
    <n v="0"/>
    <n v="989"/>
    <x v="0"/>
    <x v="0"/>
    <x v="0"/>
    <n v="989"/>
    <n v="0"/>
    <n v="989"/>
    <x v="0"/>
    <x v="0"/>
    <x v="0"/>
    <n v="989"/>
    <n v="0"/>
    <n v="989"/>
    <x v="0"/>
    <x v="0"/>
    <x v="0"/>
    <x v="0"/>
    <x v="0"/>
  </r>
  <r>
    <x v="3"/>
    <x v="0"/>
    <x v="0"/>
    <x v="5"/>
    <x v="5"/>
    <x v="1"/>
    <x v="1"/>
    <n v="47303"/>
    <s v="900825179"/>
    <s v="ELIZABETH TRULLAS  CIA S.A.S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88"/>
    <n v="0"/>
    <n v="488"/>
    <x v="0"/>
    <x v="0"/>
    <x v="0"/>
    <n v="488"/>
    <n v="0"/>
    <n v="488"/>
    <x v="0"/>
    <x v="0"/>
    <x v="0"/>
    <n v="488"/>
    <n v="0"/>
    <n v="488"/>
    <x v="0"/>
    <x v="0"/>
    <x v="0"/>
    <x v="0"/>
    <x v="0"/>
  </r>
  <r>
    <x v="3"/>
    <x v="0"/>
    <x v="0"/>
    <x v="5"/>
    <x v="5"/>
    <x v="1"/>
    <x v="1"/>
    <n v="47304"/>
    <s v="890311006"/>
    <s v="FONDO DE EMPLEADOS DE LAS EMP.MPALES DE CALI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70"/>
    <n v="0"/>
    <n v="470"/>
    <x v="0"/>
    <x v="0"/>
    <x v="0"/>
    <n v="470"/>
    <n v="0"/>
    <n v="470"/>
    <x v="0"/>
    <x v="0"/>
    <x v="0"/>
    <n v="470"/>
    <n v="0"/>
    <n v="470"/>
    <x v="0"/>
    <x v="0"/>
    <x v="0"/>
    <x v="0"/>
    <x v="0"/>
  </r>
  <r>
    <x v="3"/>
    <x v="0"/>
    <x v="0"/>
    <x v="5"/>
    <x v="5"/>
    <x v="1"/>
    <x v="1"/>
    <n v="47309"/>
    <s v="900569801"/>
    <s v="MARGARITA PEÑA S.A.S.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3"/>
    <x v="0"/>
    <x v="0"/>
    <x v="5"/>
    <x v="5"/>
    <x v="1"/>
    <x v="1"/>
    <n v="47332"/>
    <s v="25453752"/>
    <s v="GUEVARA PILLIMUE NANCY LOREN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25453752"/>
    <s v="GUEVARA PILLIMUE NANCY LORE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17"/>
    <n v="0"/>
    <n v="517"/>
    <x v="0"/>
    <x v="0"/>
    <x v="0"/>
    <n v="517"/>
    <n v="0"/>
    <n v="517"/>
    <x v="0"/>
    <x v="0"/>
    <x v="0"/>
    <n v="517"/>
    <n v="0"/>
    <n v="517"/>
    <x v="0"/>
    <x v="0"/>
    <x v="0"/>
    <x v="0"/>
    <x v="0"/>
  </r>
  <r>
    <x v="3"/>
    <x v="0"/>
    <x v="0"/>
    <x v="5"/>
    <x v="5"/>
    <x v="1"/>
    <x v="1"/>
    <n v="47410"/>
    <s v="805019647"/>
    <s v="TECNELEC COMUNICACIONES S.A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0"/>
    <n v="0"/>
    <n v="490"/>
    <x v="0"/>
    <x v="0"/>
    <x v="0"/>
    <n v="490"/>
    <n v="0"/>
    <n v="490"/>
    <x v="0"/>
    <x v="0"/>
    <x v="0"/>
    <n v="490"/>
    <n v="0"/>
    <n v="490"/>
    <x v="0"/>
    <x v="0"/>
    <x v="0"/>
    <x v="0"/>
    <x v="0"/>
  </r>
  <r>
    <x v="3"/>
    <x v="0"/>
    <x v="0"/>
    <x v="0"/>
    <x v="0"/>
    <x v="1"/>
    <x v="1"/>
    <n v="2430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2915"/>
    <n v="0"/>
    <n v="2915"/>
    <x v="0"/>
    <x v="0"/>
    <x v="0"/>
    <n v="2915"/>
    <n v="0"/>
    <n v="2915"/>
    <x v="0"/>
    <x v="0"/>
    <x v="0"/>
    <n v="2915"/>
    <n v="0"/>
    <n v="2915"/>
    <x v="0"/>
    <x v="0"/>
    <x v="0"/>
    <x v="0"/>
    <x v="0"/>
  </r>
  <r>
    <x v="3"/>
    <x v="0"/>
    <x v="0"/>
    <x v="0"/>
    <x v="0"/>
    <x v="1"/>
    <x v="1"/>
    <n v="2431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3503"/>
    <n v="0"/>
    <n v="3503"/>
    <x v="0"/>
    <x v="0"/>
    <x v="0"/>
    <n v="3503"/>
    <n v="0"/>
    <n v="3503"/>
    <x v="0"/>
    <x v="0"/>
    <x v="0"/>
    <n v="3503"/>
    <n v="0"/>
    <n v="3503"/>
    <x v="0"/>
    <x v="0"/>
    <x v="0"/>
    <x v="0"/>
    <x v="0"/>
  </r>
  <r>
    <x v="4"/>
    <x v="0"/>
    <x v="0"/>
    <x v="5"/>
    <x v="5"/>
    <x v="9"/>
    <x v="9"/>
    <n v="1365"/>
    <s v="805014618"/>
    <s v="MEDITRAUMA S.A.S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4618"/>
    <s v="MEDITRAUM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4"/>
    <x v="0"/>
    <x v="0"/>
    <x v="2"/>
    <x v="2"/>
    <x v="9"/>
    <x v="9"/>
    <n v="1628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44345"/>
    <n v="0"/>
    <n v="144345"/>
    <x v="0"/>
    <x v="0"/>
    <x v="0"/>
    <n v="144345"/>
    <n v="0"/>
    <n v="144345"/>
    <x v="0"/>
    <x v="0"/>
    <x v="0"/>
    <n v="144345"/>
    <n v="0"/>
    <n v="144345"/>
    <x v="0"/>
    <x v="0"/>
    <x v="0"/>
    <x v="0"/>
    <x v="0"/>
  </r>
  <r>
    <x v="4"/>
    <x v="0"/>
    <x v="0"/>
    <x v="2"/>
    <x v="2"/>
    <x v="9"/>
    <x v="9"/>
    <n v="1629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78241"/>
    <n v="0"/>
    <n v="178241"/>
    <x v="0"/>
    <x v="0"/>
    <x v="0"/>
    <n v="178241"/>
    <n v="0"/>
    <n v="178241"/>
    <x v="0"/>
    <x v="0"/>
    <x v="0"/>
    <n v="178241"/>
    <n v="0"/>
    <n v="178241"/>
    <x v="0"/>
    <x v="0"/>
    <x v="0"/>
    <x v="0"/>
    <x v="0"/>
  </r>
  <r>
    <x v="4"/>
    <x v="0"/>
    <x v="0"/>
    <x v="5"/>
    <x v="5"/>
    <x v="1"/>
    <x v="1"/>
    <n v="47565"/>
    <s v="890300012"/>
    <s v="COLPOZOS 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72"/>
    <n v="0"/>
    <n v="2972"/>
    <x v="0"/>
    <x v="0"/>
    <x v="0"/>
    <n v="2972"/>
    <n v="0"/>
    <n v="2972"/>
    <x v="0"/>
    <x v="0"/>
    <x v="0"/>
    <n v="2972"/>
    <n v="0"/>
    <n v="2972"/>
    <x v="0"/>
    <x v="0"/>
    <x v="0"/>
    <x v="0"/>
    <x v="0"/>
  </r>
  <r>
    <x v="4"/>
    <x v="0"/>
    <x v="0"/>
    <x v="5"/>
    <x v="5"/>
    <x v="1"/>
    <x v="1"/>
    <n v="47568"/>
    <s v="817001528"/>
    <s v="PAVCO DE OCCIDENTE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4"/>
    <x v="0"/>
    <x v="0"/>
    <x v="5"/>
    <x v="5"/>
    <x v="1"/>
    <x v="1"/>
    <n v="47574"/>
    <s v="800254270"/>
    <s v="SOLVAY PEROXIDOS DE COLOMBIA SASA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68"/>
    <n v="0"/>
    <n v="7068"/>
    <x v="0"/>
    <x v="0"/>
    <x v="0"/>
    <n v="7068"/>
    <n v="0"/>
    <n v="7068"/>
    <x v="0"/>
    <x v="0"/>
    <x v="0"/>
    <n v="7068"/>
    <n v="0"/>
    <n v="7068"/>
    <x v="0"/>
    <x v="0"/>
    <x v="0"/>
    <x v="0"/>
    <x v="0"/>
  </r>
  <r>
    <x v="4"/>
    <x v="0"/>
    <x v="0"/>
    <x v="6"/>
    <x v="6"/>
    <x v="9"/>
    <x v="9"/>
    <n v="1164"/>
    <s v="10095715"/>
    <s v="RUIZ VALLEJO CARLOS ARTURO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10095715"/>
    <s v="RUIZ VALLEJO CARLOS ARTU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67694 DESCUENTO POR PAGO ANUAL ANTICIPADO $116.773"/>
    <n v="116773"/>
    <n v="0"/>
    <n v="116773"/>
    <x v="0"/>
    <x v="0"/>
    <x v="0"/>
    <n v="116773"/>
    <n v="0"/>
    <n v="116773"/>
    <x v="0"/>
    <x v="0"/>
    <x v="0"/>
    <n v="116773"/>
    <n v="0"/>
    <n v="116773"/>
    <x v="0"/>
    <x v="0"/>
    <x v="0"/>
    <x v="0"/>
    <x v="0"/>
  </r>
  <r>
    <x v="4"/>
    <x v="0"/>
    <x v="0"/>
    <x v="5"/>
    <x v="5"/>
    <x v="1"/>
    <x v="1"/>
    <n v="47596"/>
    <s v="900825179"/>
    <s v="ELIZABETH TRULLAS  CIA S.A.S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4"/>
    <x v="0"/>
    <x v="0"/>
    <x v="5"/>
    <x v="5"/>
    <x v="1"/>
    <x v="1"/>
    <n v="47597"/>
    <s v="890318490"/>
    <s v="FERRETERIA TUBERIAS S.A.S.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4"/>
    <x v="0"/>
    <x v="0"/>
    <x v="5"/>
    <x v="5"/>
    <x v="1"/>
    <x v="1"/>
    <n v="47610"/>
    <s v="800048954"/>
    <s v="CLINICA VERSALLES S.A."/>
    <s v="201908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22"/>
    <n v="0"/>
    <n v="2422"/>
    <x v="0"/>
    <x v="0"/>
    <x v="0"/>
    <n v="2422"/>
    <n v="0"/>
    <n v="2422"/>
    <x v="0"/>
    <x v="0"/>
    <x v="0"/>
    <n v="2422"/>
    <n v="0"/>
    <n v="2422"/>
    <x v="0"/>
    <x v="0"/>
    <x v="0"/>
    <x v="0"/>
    <x v="0"/>
  </r>
  <r>
    <x v="4"/>
    <x v="0"/>
    <x v="0"/>
    <x v="2"/>
    <x v="2"/>
    <x v="9"/>
    <x v="9"/>
    <n v="1642"/>
    <s v="860510431"/>
    <s v="ALVARO VELEZ Y CIA S.A.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344  RTE ICA $5.118_x000d__x000a_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4"/>
    <x v="0"/>
    <x v="0"/>
    <x v="2"/>
    <x v="2"/>
    <x v="9"/>
    <x v="9"/>
    <n v="1643"/>
    <s v="901105607"/>
    <s v="COMPARTIMIENTO ALPE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105607"/>
    <s v="COMPARTIMIENTO ALP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$405.621  -  CLIENTE CANCELA &gt;VALOR Y SOLICITA LA DEVOLUCION DE $405.621"/>
    <n v="405621"/>
    <n v="0"/>
    <n v="405621"/>
    <x v="0"/>
    <x v="0"/>
    <x v="0"/>
    <n v="405621"/>
    <n v="0"/>
    <n v="405621"/>
    <x v="0"/>
    <x v="0"/>
    <x v="0"/>
    <n v="405621"/>
    <n v="0"/>
    <n v="405621"/>
    <x v="0"/>
    <x v="0"/>
    <x v="0"/>
    <x v="0"/>
    <x v="0"/>
  </r>
  <r>
    <x v="4"/>
    <x v="0"/>
    <x v="0"/>
    <x v="5"/>
    <x v="5"/>
    <x v="1"/>
    <x v="1"/>
    <n v="47649"/>
    <s v="800048954"/>
    <s v="CLINICA VERSALLES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6234"/>
    <n v="0"/>
    <n v="16234"/>
    <x v="0"/>
    <x v="0"/>
    <x v="0"/>
    <n v="16234"/>
    <n v="0"/>
    <n v="16234"/>
    <x v="0"/>
    <x v="0"/>
    <x v="0"/>
    <n v="16234"/>
    <n v="0"/>
    <n v="16234"/>
    <x v="0"/>
    <x v="0"/>
    <x v="0"/>
    <x v="0"/>
    <x v="0"/>
  </r>
  <r>
    <x v="4"/>
    <x v="0"/>
    <x v="0"/>
    <x v="5"/>
    <x v="5"/>
    <x v="1"/>
    <x v="1"/>
    <n v="47653"/>
    <s v="900203566"/>
    <s v="ABASTECEMOS  DE OCCIDENTE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4"/>
    <x v="0"/>
    <x v="0"/>
    <x v="0"/>
    <x v="0"/>
    <x v="0"/>
    <x v="0"/>
    <n v="4349"/>
    <s v="43038708"/>
    <s v="ARROYAVE ESTRADA RUTH GLADIS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384115"/>
    <s v="CENTRO DE ESTETICA BERTHY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214"/>
    <n v="0"/>
    <n v="214"/>
    <x v="0"/>
    <x v="0"/>
    <x v="0"/>
    <n v="214"/>
    <n v="0"/>
    <n v="214"/>
    <x v="0"/>
    <x v="0"/>
    <x v="0"/>
    <n v="214"/>
    <n v="0"/>
    <n v="214"/>
    <x v="0"/>
    <x v="0"/>
    <x v="0"/>
    <x v="0"/>
    <x v="0"/>
  </r>
  <r>
    <x v="4"/>
    <x v="0"/>
    <x v="0"/>
    <x v="5"/>
    <x v="5"/>
    <x v="1"/>
    <x v="1"/>
    <n v="47667"/>
    <s v="860046201"/>
    <s v="FORTOX S.A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9"/>
    <x v="9"/>
    <n v="1373"/>
    <s v="805011901"/>
    <s v="LASKIN S.A.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241.980"/>
    <n v="241980"/>
    <n v="0"/>
    <n v="241980"/>
    <x v="0"/>
    <x v="0"/>
    <x v="0"/>
    <n v="241980"/>
    <n v="0"/>
    <n v="241980"/>
    <x v="0"/>
    <x v="0"/>
    <x v="0"/>
    <n v="241980"/>
    <n v="0"/>
    <n v="241980"/>
    <x v="0"/>
    <x v="0"/>
    <x v="0"/>
    <x v="0"/>
    <x v="0"/>
  </r>
  <r>
    <x v="4"/>
    <x v="0"/>
    <x v="0"/>
    <x v="1"/>
    <x v="1"/>
    <x v="1"/>
    <x v="1"/>
    <n v="24946"/>
    <s v="901166073"/>
    <s v="CENTRO COMERCIAL NUESTRO MONTERIA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2"/>
    <x v="2"/>
    <x v="9"/>
    <x v="9"/>
    <n v="1647"/>
    <s v="900246492"/>
    <s v="INDUSTRIA DE ALUMINIO DE COLOMBIA SAS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46492"/>
    <s v="INDUSTRIA DE ALUMINIO DE COLOMBI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175.220 POR PAGO AÑO ANTICIPADO Y $ 22.586 DE RET/ICA"/>
    <n v="175220"/>
    <n v="0"/>
    <n v="175220"/>
    <x v="0"/>
    <x v="0"/>
    <x v="0"/>
    <n v="175220"/>
    <n v="0"/>
    <n v="175220"/>
    <x v="0"/>
    <x v="0"/>
    <x v="0"/>
    <n v="175220"/>
    <n v="0"/>
    <n v="175220"/>
    <x v="0"/>
    <x v="0"/>
    <x v="0"/>
    <x v="0"/>
    <x v="0"/>
  </r>
  <r>
    <x v="4"/>
    <x v="0"/>
    <x v="0"/>
    <x v="1"/>
    <x v="1"/>
    <x v="9"/>
    <x v="9"/>
    <n v="384"/>
    <s v="802005031"/>
    <s v="COLEGIO DISTRITAL MARIA INMACULADA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05031"/>
    <s v="COLEGIO DISTRITAL MARIA INMACUL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800_x000d__x000a_APLICA RETEIVA  $334.347_x000d__x000a_APLICA RETEICA  $112.62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0"/>
    <x v="0"/>
    <n v="4350"/>
    <s v="J293759889"/>
    <s v="MUSICAR DE VENEZUELA,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VENTA MEMORIAS FVO - 839"/>
    <n v="79124"/>
    <n v="0"/>
    <n v="79124"/>
    <x v="0"/>
    <x v="0"/>
    <x v="0"/>
    <n v="79124"/>
    <n v="0"/>
    <n v="79124"/>
    <x v="0"/>
    <x v="0"/>
    <x v="0"/>
    <n v="79124"/>
    <n v="0"/>
    <n v="79124"/>
    <x v="0"/>
    <x v="0"/>
    <x v="0"/>
    <x v="0"/>
    <x v="0"/>
  </r>
  <r>
    <x v="4"/>
    <x v="0"/>
    <x v="0"/>
    <x v="5"/>
    <x v="5"/>
    <x v="1"/>
    <x v="1"/>
    <n v="47688"/>
    <s v="805009741"/>
    <s v="COOMEVA MEDICINA PREPAGADA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444,277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2"/>
    <x v="2"/>
    <x v="1"/>
    <x v="1"/>
    <n v="63967"/>
    <s v="860521035"/>
    <s v="ACRECER TEMPORAL S.A.S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2"/>
    <x v="0"/>
    <x v="0"/>
    <x v="3"/>
    <x v="3"/>
    <x v="1"/>
    <x v="1"/>
    <n v="37991"/>
    <s v="900163527"/>
    <s v="CENTRO COMERCIAL SAN NICOLAS PROPIEDAD HORIZONTAL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648_x000d__x000a_CLIENTE SE APLICA DESCUENTO COMERCIAL DE 9% YA SE LE EXPLICO QUE ESTE PORCENTAJE CORREPONDE A ANUALIDAD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3"/>
    <x v="0"/>
    <x v="0"/>
    <x v="3"/>
    <x v="3"/>
    <x v="1"/>
    <x v="1"/>
    <n v="38068"/>
    <s v="800036229"/>
    <s v="CLINICA OFTALMOLOGICA LAURELES S.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36229"/>
    <s v="CLINICA OFTALMOLOGICA LAURE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188"/>
    <n v="3841"/>
    <n v="0"/>
    <n v="3841"/>
    <x v="0"/>
    <x v="0"/>
    <x v="0"/>
    <n v="3841"/>
    <n v="0"/>
    <n v="3841"/>
    <x v="0"/>
    <x v="0"/>
    <x v="0"/>
    <n v="3841"/>
    <n v="0"/>
    <n v="3841"/>
    <x v="0"/>
    <x v="0"/>
    <x v="0"/>
    <x v="0"/>
    <x v="0"/>
  </r>
  <r>
    <x v="3"/>
    <x v="0"/>
    <x v="0"/>
    <x v="2"/>
    <x v="2"/>
    <x v="9"/>
    <x v="9"/>
    <n v="1605"/>
    <s v="900534711"/>
    <s v="TITAN PLAZA CENTRO COMERCIAL Y EMPRESARIAL P.H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534711"/>
    <s v="TITAN PLAZA CENTRO COMERCIAL Y EMPRESARIAL P.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68.594 por pago de semestre anticipado y $8.421 por rte/ica"/>
    <n v="68594"/>
    <n v="0"/>
    <n v="68594"/>
    <x v="0"/>
    <x v="0"/>
    <x v="0"/>
    <n v="68594"/>
    <n v="0"/>
    <n v="68594"/>
    <x v="0"/>
    <x v="0"/>
    <x v="0"/>
    <n v="68594"/>
    <n v="0"/>
    <n v="68594"/>
    <x v="0"/>
    <x v="0"/>
    <x v="0"/>
    <x v="0"/>
    <x v="0"/>
  </r>
  <r>
    <x v="3"/>
    <x v="0"/>
    <x v="0"/>
    <x v="2"/>
    <x v="2"/>
    <x v="9"/>
    <x v="9"/>
    <n v="1607"/>
    <s v="822005628"/>
    <s v="C Y H AGENCIA PROMOTORA DE SEGURO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22005628"/>
    <s v="C Y H AGENCIA PROMOTORA DE SEGUR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$ 95.605"/>
    <n v="95605"/>
    <n v="0"/>
    <n v="95605"/>
    <x v="0"/>
    <x v="0"/>
    <x v="0"/>
    <n v="95605"/>
    <n v="0"/>
    <n v="95605"/>
    <x v="0"/>
    <x v="0"/>
    <x v="0"/>
    <n v="95605"/>
    <n v="0"/>
    <n v="95605"/>
    <x v="0"/>
    <x v="0"/>
    <x v="0"/>
    <x v="0"/>
    <x v="0"/>
  </r>
  <r>
    <x v="3"/>
    <x v="0"/>
    <x v="0"/>
    <x v="4"/>
    <x v="4"/>
    <x v="9"/>
    <x v="9"/>
    <n v="243"/>
    <s v="804014440"/>
    <s v="FONDO DE EMPLEADOS PARA EL DESARROLLO SOCIAL FONDE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14440"/>
    <s v="FONDO DE EMPLEADOS PARA EL DESARROLLO SOCIAL FOND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5968.  DESCUENTO 9% POR PAGO AÑO ANTICIPADO."/>
    <n v="250282"/>
    <n v="0"/>
    <n v="250282"/>
    <x v="0"/>
    <x v="0"/>
    <x v="0"/>
    <n v="250282"/>
    <n v="0"/>
    <n v="250282"/>
    <x v="0"/>
    <x v="0"/>
    <x v="0"/>
    <n v="250282"/>
    <n v="0"/>
    <n v="250282"/>
    <x v="0"/>
    <x v="0"/>
    <x v="0"/>
    <x v="0"/>
    <x v="0"/>
  </r>
  <r>
    <x v="3"/>
    <x v="0"/>
    <x v="0"/>
    <x v="3"/>
    <x v="3"/>
    <x v="1"/>
    <x v="1"/>
    <n v="38092"/>
    <s v="811028725"/>
    <s v="DISTRIMEDICAL S.A.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207_x000d__x000a_RETEICA POR $ 8.832_x000d__x000a_DCTO COMERCIAL POR PRONTO PAGO $ 49.682"/>
    <n v="49682"/>
    <n v="0"/>
    <n v="49682"/>
    <x v="0"/>
    <x v="0"/>
    <x v="0"/>
    <n v="49682"/>
    <n v="0"/>
    <n v="49682"/>
    <x v="0"/>
    <x v="0"/>
    <x v="0"/>
    <n v="49682"/>
    <n v="0"/>
    <n v="49682"/>
    <x v="0"/>
    <x v="0"/>
    <x v="0"/>
    <x v="0"/>
    <x v="0"/>
  </r>
  <r>
    <x v="3"/>
    <x v="0"/>
    <x v="0"/>
    <x v="1"/>
    <x v="1"/>
    <x v="1"/>
    <x v="1"/>
    <n v="24785"/>
    <s v="802010909"/>
    <s v="INVERSIONES WONGFOEN S.A.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25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4"/>
    <x v="0"/>
    <x v="0"/>
    <x v="5"/>
    <x v="5"/>
    <x v="1"/>
    <x v="1"/>
    <n v="47457"/>
    <s v="805019647"/>
    <s v="TECNELEC COMUNICACIONES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5"/>
    <n v="0"/>
    <n v="245"/>
    <x v="0"/>
    <x v="0"/>
    <x v="0"/>
    <n v="245"/>
    <n v="0"/>
    <n v="245"/>
    <x v="0"/>
    <x v="0"/>
    <x v="0"/>
    <n v="245"/>
    <n v="0"/>
    <n v="245"/>
    <x v="0"/>
    <x v="0"/>
    <x v="0"/>
    <x v="0"/>
    <x v="0"/>
  </r>
  <r>
    <x v="4"/>
    <x v="0"/>
    <x v="0"/>
    <x v="5"/>
    <x v="5"/>
    <x v="1"/>
    <x v="1"/>
    <n v="47472"/>
    <s v="860046201"/>
    <s v="FORTOX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1"/>
    <x v="1"/>
    <n v="47474"/>
    <s v="650187917"/>
    <s v="FREI  HEINRICH ERNEST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0"/>
    <n v="0"/>
    <n v="990"/>
    <x v="0"/>
    <x v="0"/>
    <x v="0"/>
    <n v="990"/>
    <n v="0"/>
    <n v="990"/>
    <x v="0"/>
    <x v="0"/>
    <x v="0"/>
    <n v="990"/>
    <n v="0"/>
    <n v="990"/>
    <x v="0"/>
    <x v="0"/>
    <x v="0"/>
    <x v="0"/>
    <x v="0"/>
  </r>
  <r>
    <x v="4"/>
    <x v="0"/>
    <x v="0"/>
    <x v="5"/>
    <x v="5"/>
    <x v="9"/>
    <x v="9"/>
    <n v="1361"/>
    <s v="890308111"/>
    <s v="EL MOLINO-EDUARDO MOLINARI PALACIN &amp; CIA S.EN.C.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9% $106.293"/>
    <n v="106293"/>
    <n v="0"/>
    <n v="106293"/>
    <x v="0"/>
    <x v="0"/>
    <x v="0"/>
    <n v="106293"/>
    <n v="0"/>
    <n v="106293"/>
    <x v="0"/>
    <x v="0"/>
    <x v="0"/>
    <n v="106293"/>
    <n v="0"/>
    <n v="106293"/>
    <x v="0"/>
    <x v="0"/>
    <x v="0"/>
    <x v="0"/>
    <x v="0"/>
  </r>
  <r>
    <x v="4"/>
    <x v="0"/>
    <x v="0"/>
    <x v="5"/>
    <x v="5"/>
    <x v="1"/>
    <x v="1"/>
    <n v="47486"/>
    <s v="805019647"/>
    <s v="TECNELEC COMUNICACIONES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6"/>
    <n v="0"/>
    <n v="496"/>
    <x v="0"/>
    <x v="0"/>
    <x v="0"/>
    <n v="496"/>
    <n v="0"/>
    <n v="496"/>
    <x v="0"/>
    <x v="0"/>
    <x v="0"/>
    <n v="496"/>
    <n v="0"/>
    <n v="496"/>
    <x v="0"/>
    <x v="0"/>
    <x v="0"/>
    <x v="0"/>
    <x v="0"/>
  </r>
  <r>
    <x v="4"/>
    <x v="0"/>
    <x v="0"/>
    <x v="5"/>
    <x v="5"/>
    <x v="1"/>
    <x v="1"/>
    <n v="47487"/>
    <s v="900909617"/>
    <s v="HOTELES H.V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909617"/>
    <s v="HOTELES H.V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33"/>
    <n v="0"/>
    <n v="633"/>
    <x v="0"/>
    <x v="0"/>
    <x v="0"/>
    <n v="633"/>
    <n v="0"/>
    <n v="633"/>
    <x v="0"/>
    <x v="0"/>
    <x v="0"/>
    <n v="633"/>
    <n v="0"/>
    <n v="633"/>
    <x v="0"/>
    <x v="0"/>
    <x v="0"/>
    <x v="0"/>
    <x v="0"/>
  </r>
  <r>
    <x v="4"/>
    <x v="0"/>
    <x v="0"/>
    <x v="3"/>
    <x v="3"/>
    <x v="1"/>
    <x v="1"/>
    <n v="38223"/>
    <s v="890904222"/>
    <s v="VIAJES PALOMARES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4222"/>
    <s v="VIAJES PALOMARE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8125_x000d__x000a_APLICA DCTO 9% POR PAGO ANUELA ANTICIPADO"/>
    <n v="126958"/>
    <n v="0"/>
    <n v="126958"/>
    <x v="0"/>
    <x v="0"/>
    <x v="0"/>
    <n v="126958"/>
    <n v="0"/>
    <n v="126958"/>
    <x v="0"/>
    <x v="0"/>
    <x v="0"/>
    <n v="126958"/>
    <n v="0"/>
    <n v="126958"/>
    <x v="0"/>
    <x v="0"/>
    <x v="0"/>
    <x v="0"/>
    <x v="0"/>
  </r>
  <r>
    <x v="4"/>
    <x v="0"/>
    <x v="0"/>
    <x v="1"/>
    <x v="1"/>
    <x v="1"/>
    <x v="1"/>
    <n v="24855"/>
    <s v="806012958"/>
    <s v="IPS SALUD DEL CARIBE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611 - FVA-366624 - FVA-366630 - FVA-36663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4"/>
    <x v="0"/>
    <x v="0"/>
    <x v="1"/>
    <x v="1"/>
    <x v="1"/>
    <x v="1"/>
    <n v="24859"/>
    <s v="890102508"/>
    <s v="SALES INMOBILIARIA S.A.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800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4"/>
    <x v="4"/>
    <x v="1"/>
    <x v="1"/>
    <n v="20950"/>
    <s v="890200050"/>
    <s v="ARDISA S.A.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0050"/>
    <s v="ARDI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3678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5"/>
    <x v="5"/>
    <x v="1"/>
    <x v="1"/>
    <n v="47507"/>
    <s v="1509246"/>
    <s v="MORALES SANTACRUZ JESUS ANTONIO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4"/>
    <x v="0"/>
    <x v="0"/>
    <x v="5"/>
    <x v="5"/>
    <x v="1"/>
    <x v="1"/>
    <n v="47512"/>
    <s v="890311006"/>
    <s v="FONDO DE EMPLEADOS DE LAS EMP.M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5"/>
    <x v="5"/>
    <x v="9"/>
    <x v="9"/>
    <n v="1364"/>
    <s v="890301278"/>
    <s v="COOPERATIVA DE TRABAJADORES  EMPRESAS  MUNICI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1278"/>
    <s v="COOPERATIVA DE TRABAJADORES  EMPRESAS  MUNICI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CTO 9% OK $140.832"/>
    <n v="140832"/>
    <n v="0"/>
    <n v="140832"/>
    <x v="0"/>
    <x v="0"/>
    <x v="0"/>
    <n v="140832"/>
    <n v="0"/>
    <n v="140832"/>
    <x v="0"/>
    <x v="0"/>
    <x v="0"/>
    <n v="140832"/>
    <n v="0"/>
    <n v="140832"/>
    <x v="0"/>
    <x v="0"/>
    <x v="0"/>
    <x v="0"/>
    <x v="0"/>
  </r>
  <r>
    <x v="4"/>
    <x v="0"/>
    <x v="0"/>
    <x v="2"/>
    <x v="2"/>
    <x v="9"/>
    <x v="9"/>
    <n v="1631"/>
    <s v="860069284"/>
    <s v="AGROCAMPO S.A."/>
    <s v="201908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69284"/>
    <s v="AGROCAMP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."/>
    <n v="542165"/>
    <n v="0"/>
    <n v="542165"/>
    <x v="0"/>
    <x v="0"/>
    <x v="0"/>
    <n v="542165"/>
    <n v="0"/>
    <n v="542165"/>
    <x v="0"/>
    <x v="0"/>
    <x v="0"/>
    <n v="542165"/>
    <n v="0"/>
    <n v="542165"/>
    <x v="0"/>
    <x v="0"/>
    <x v="0"/>
    <x v="0"/>
    <x v="0"/>
  </r>
  <r>
    <x v="4"/>
    <x v="0"/>
    <x v="0"/>
    <x v="5"/>
    <x v="5"/>
    <x v="1"/>
    <x v="1"/>
    <n v="47630"/>
    <s v="900008839"/>
    <s v="CENTROS COMERCIALES DEL CAFE S.A.S.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08839"/>
    <s v="CENTROS COMERCIALES DEL CAFE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19"/>
    <n v="0"/>
    <n v="10519"/>
    <x v="0"/>
    <x v="0"/>
    <x v="0"/>
    <n v="10519"/>
    <n v="0"/>
    <n v="10519"/>
    <x v="0"/>
    <x v="0"/>
    <x v="0"/>
    <n v="10519"/>
    <n v="0"/>
    <n v="10519"/>
    <x v="0"/>
    <x v="0"/>
    <x v="0"/>
    <x v="0"/>
    <x v="0"/>
  </r>
  <r>
    <x v="4"/>
    <x v="0"/>
    <x v="0"/>
    <x v="5"/>
    <x v="5"/>
    <x v="9"/>
    <x v="9"/>
    <n v="1372"/>
    <s v="900035068"/>
    <s v="LAMINAS Y CORTES INDUSTRIALES S.A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35068"/>
    <s v="LAMINAS Y CORTES INDUST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107.021"/>
    <n v="107021"/>
    <n v="0"/>
    <n v="107021"/>
    <x v="0"/>
    <x v="0"/>
    <x v="0"/>
    <n v="107021"/>
    <n v="0"/>
    <n v="107021"/>
    <x v="0"/>
    <x v="0"/>
    <x v="0"/>
    <n v="107021"/>
    <n v="0"/>
    <n v="107021"/>
    <x v="0"/>
    <x v="0"/>
    <x v="0"/>
    <x v="0"/>
    <x v="0"/>
  </r>
  <r>
    <x v="4"/>
    <x v="0"/>
    <x v="0"/>
    <x v="1"/>
    <x v="1"/>
    <x v="1"/>
    <x v="1"/>
    <n v="24928"/>
    <s v="802016306"/>
    <s v="EXPOCONSTRUCCION 43 Y CIA LTD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10 - FVA-367969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1"/>
    <x v="1"/>
    <x v="1"/>
    <x v="1"/>
    <n v="24941"/>
    <s v="32757237"/>
    <s v="MEDINA OLIVEROS FARATH DIV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0"/>
    <n v="442"/>
    <n v="0"/>
    <n v="442"/>
    <x v="0"/>
    <x v="0"/>
    <x v="0"/>
    <n v="442"/>
    <n v="0"/>
    <n v="442"/>
    <x v="0"/>
    <x v="0"/>
    <x v="0"/>
    <n v="442"/>
    <n v="0"/>
    <n v="442"/>
    <x v="0"/>
    <x v="0"/>
    <x v="0"/>
    <x v="0"/>
    <x v="0"/>
  </r>
  <r>
    <x v="3"/>
    <x v="0"/>
    <x v="0"/>
    <x v="5"/>
    <x v="5"/>
    <x v="9"/>
    <x v="9"/>
    <n v="1343"/>
    <s v="805011901"/>
    <s v="LASKIN S.A."/>
    <s v="201907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DO, DESCUENTO 9% %1.547.813"/>
    <n v="1547813"/>
    <n v="0"/>
    <n v="1547813"/>
    <x v="0"/>
    <x v="0"/>
    <x v="0"/>
    <n v="1547813"/>
    <n v="0"/>
    <n v="1547813"/>
    <x v="0"/>
    <x v="0"/>
    <x v="0"/>
    <n v="1547813"/>
    <n v="0"/>
    <n v="1547813"/>
    <x v="0"/>
    <x v="0"/>
    <x v="0"/>
    <x v="0"/>
    <x v="0"/>
  </r>
  <r>
    <x v="3"/>
    <x v="0"/>
    <x v="0"/>
    <x v="5"/>
    <x v="5"/>
    <x v="1"/>
    <x v="1"/>
    <n v="47386"/>
    <s v="1509246"/>
    <s v="MORALES SANTACRUZ JESUS ANTONIO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3"/>
    <x v="0"/>
    <x v="0"/>
    <x v="5"/>
    <x v="5"/>
    <x v="1"/>
    <x v="1"/>
    <n v="47387"/>
    <s v="890318490"/>
    <s v="FERRETERIA TUBERIAS S.A.S.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3"/>
    <x v="0"/>
    <x v="0"/>
    <x v="5"/>
    <x v="5"/>
    <x v="1"/>
    <x v="1"/>
    <n v="47401"/>
    <s v="860037900"/>
    <s v="CONSTRUCTORA  BOLIVAR  CALI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9677"/>
    <n v="0"/>
    <n v="9677"/>
    <x v="0"/>
    <x v="0"/>
    <x v="0"/>
    <n v="9677"/>
    <n v="0"/>
    <n v="9677"/>
    <x v="0"/>
    <x v="0"/>
    <x v="0"/>
    <n v="9677"/>
    <n v="0"/>
    <n v="9677"/>
    <x v="0"/>
    <x v="0"/>
    <x v="0"/>
    <x v="0"/>
    <x v="0"/>
  </r>
  <r>
    <x v="4"/>
    <x v="0"/>
    <x v="0"/>
    <x v="5"/>
    <x v="5"/>
    <x v="1"/>
    <x v="1"/>
    <n v="47702"/>
    <s v="860037900"/>
    <s v="CONSTRUCTORA  BOLIVAR  CALI S.A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91"/>
    <n v="0"/>
    <n v="6191"/>
    <x v="0"/>
    <x v="0"/>
    <x v="0"/>
    <n v="6191"/>
    <n v="0"/>
    <n v="6191"/>
    <x v="0"/>
    <x v="0"/>
    <x v="0"/>
    <n v="6191"/>
    <n v="0"/>
    <n v="6191"/>
    <x v="0"/>
    <x v="0"/>
    <x v="0"/>
    <x v="0"/>
    <x v="0"/>
  </r>
  <r>
    <x v="2"/>
    <x v="0"/>
    <x v="0"/>
    <x v="5"/>
    <x v="5"/>
    <x v="1"/>
    <x v="1"/>
    <n v="47109"/>
    <s v="900077291"/>
    <s v="INVERSIONES BENAVIDES SOLARTE SCS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7112"/>
    <s v="800254270"/>
    <s v="SOLVAY PEROXIDOS DE COLOMBIA SAS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2608, REPORTA CLIENTE."/>
    <n v="1440"/>
    <n v="0"/>
    <n v="1440"/>
    <x v="0"/>
    <x v="0"/>
    <x v="0"/>
    <n v="1440"/>
    <n v="0"/>
    <n v="1440"/>
    <x v="0"/>
    <x v="0"/>
    <x v="0"/>
    <n v="1440"/>
    <n v="0"/>
    <n v="1440"/>
    <x v="0"/>
    <x v="0"/>
    <x v="0"/>
    <x v="0"/>
    <x v="0"/>
  </r>
  <r>
    <x v="3"/>
    <x v="0"/>
    <x v="0"/>
    <x v="5"/>
    <x v="5"/>
    <x v="1"/>
    <x v="1"/>
    <n v="47222"/>
    <s v="800054863"/>
    <s v="HEMISFERIO TOURS Y CIA LTD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363"/>
    <n v="0"/>
    <n v="7363"/>
    <x v="0"/>
    <x v="0"/>
    <x v="0"/>
    <n v="7363"/>
    <n v="0"/>
    <n v="7363"/>
    <x v="0"/>
    <x v="0"/>
    <x v="0"/>
    <n v="7363"/>
    <n v="0"/>
    <n v="7363"/>
    <x v="0"/>
    <x v="0"/>
    <x v="0"/>
    <x v="0"/>
    <x v="0"/>
  </r>
  <r>
    <x v="3"/>
    <x v="0"/>
    <x v="0"/>
    <x v="0"/>
    <x v="0"/>
    <x v="9"/>
    <x v="9"/>
    <n v="9"/>
    <s v="813011577"/>
    <s v="CLINICA UROS S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13011577"/>
    <s v="CLINICA UROS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CUENTA EN ABOGADO SE LES OTORGA UN DESCUENTO POR PAGO TOTAL DE LA DEUDA"/>
    <n v="256236"/>
    <n v="0"/>
    <n v="256236"/>
    <x v="0"/>
    <x v="0"/>
    <x v="0"/>
    <n v="256236"/>
    <n v="0"/>
    <n v="256236"/>
    <x v="0"/>
    <x v="0"/>
    <x v="0"/>
    <n v="256236"/>
    <n v="0"/>
    <n v="256236"/>
    <x v="0"/>
    <x v="0"/>
    <x v="0"/>
    <x v="0"/>
    <x v="0"/>
  </r>
  <r>
    <x v="3"/>
    <x v="0"/>
    <x v="0"/>
    <x v="1"/>
    <x v="1"/>
    <x v="1"/>
    <x v="1"/>
    <n v="24777"/>
    <s v="891000692"/>
    <s v="CORP. UNIVERSITARIA DEL SINU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1000692"/>
    <s v="CORP. UNIVERSITARIA DEL SIN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98._x000d__x000a_se realiza ajuste de $11.000 pesos faltantes que no cancelo el cliente por error en en los digitos al contabilizar la factura._x000d__x000a_aprobado por Johadys de Paz."/>
    <n v="11000"/>
    <n v="0"/>
    <n v="11000"/>
    <x v="0"/>
    <x v="0"/>
    <x v="0"/>
    <n v="11000"/>
    <n v="0"/>
    <n v="11000"/>
    <x v="0"/>
    <x v="0"/>
    <x v="0"/>
    <n v="11000"/>
    <n v="0"/>
    <n v="11000"/>
    <x v="0"/>
    <x v="0"/>
    <x v="0"/>
    <x v="0"/>
    <x v="0"/>
  </r>
  <r>
    <x v="3"/>
    <x v="0"/>
    <x v="0"/>
    <x v="1"/>
    <x v="1"/>
    <x v="1"/>
    <x v="1"/>
    <n v="24782"/>
    <s v="901166073"/>
    <s v="CENTRO COMERCIAL NUESTRO MONTERIA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9"/>
    <x v="9"/>
    <n v="10"/>
    <s v="860534912"/>
    <s v="CENTRO COMERCIAL GALERIAS - PROPIEDAD HORIZONTAL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34912"/>
    <s v="CENTRO COMERCIAL GALERIAS -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 EN ABOGADO SE LE HACE UN DESCUENTO POR VALOR DE $ 300.592 , POR CANCELACION TOTAL DE LA DEUDA"/>
    <n v="300592"/>
    <n v="0"/>
    <n v="300592"/>
    <x v="0"/>
    <x v="0"/>
    <x v="0"/>
    <n v="300592"/>
    <n v="0"/>
    <n v="300592"/>
    <x v="0"/>
    <x v="0"/>
    <x v="0"/>
    <n v="300592"/>
    <n v="0"/>
    <n v="300592"/>
    <x v="0"/>
    <x v="0"/>
    <x v="0"/>
    <x v="0"/>
    <x v="0"/>
  </r>
  <r>
    <x v="2"/>
    <x v="0"/>
    <x v="0"/>
    <x v="5"/>
    <x v="5"/>
    <x v="1"/>
    <x v="1"/>
    <n v="47086"/>
    <s v="860037900"/>
    <s v="CONSTRUCTORA  BOLIVAR  CALI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79"/>
    <n v="0"/>
    <n v="6179"/>
    <x v="0"/>
    <x v="0"/>
    <x v="0"/>
    <n v="6179"/>
    <n v="0"/>
    <n v="6179"/>
    <x v="0"/>
    <x v="0"/>
    <x v="0"/>
    <n v="6179"/>
    <n v="0"/>
    <n v="6179"/>
    <x v="0"/>
    <x v="0"/>
    <x v="0"/>
    <x v="0"/>
    <x v="0"/>
  </r>
  <r>
    <x v="2"/>
    <x v="0"/>
    <x v="0"/>
    <x v="5"/>
    <x v="5"/>
    <x v="1"/>
    <x v="1"/>
    <n v="47088"/>
    <s v="815000677"/>
    <s v="SUPERSERVICIOS DEL ORIENTE DEL VALLE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5000677"/>
    <s v="SUPERSERVICIOS DEL ORIENTE DEL VALL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1"/>
    <n v="0"/>
    <n v="241"/>
    <x v="0"/>
    <x v="0"/>
    <x v="0"/>
    <n v="241"/>
    <n v="0"/>
    <n v="241"/>
    <x v="0"/>
    <x v="0"/>
    <x v="0"/>
    <n v="241"/>
    <n v="0"/>
    <n v="241"/>
    <x v="0"/>
    <x v="0"/>
    <x v="0"/>
    <x v="0"/>
    <x v="0"/>
  </r>
  <r>
    <x v="3"/>
    <x v="0"/>
    <x v="0"/>
    <x v="1"/>
    <x v="1"/>
    <x v="1"/>
    <x v="1"/>
    <n v="24818"/>
    <s v="32757237"/>
    <s v="MEDINA OLIVEROS FARATH DIV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495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1"/>
    <x v="1"/>
    <x v="1"/>
    <x v="1"/>
    <n v="24826"/>
    <s v="900061516"/>
    <s v="MUEBLES JAMAR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94 - FV5-79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2"/>
    <x v="2"/>
    <x v="9"/>
    <x v="9"/>
    <n v="1599"/>
    <s v="900210981"/>
    <s v="CORPORACION HOSPITALARIA JUAN CIUDAD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0981"/>
    <s v="CORPORACION HOSPITALARIA JUAN CIU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R NEGOCIACION ENTRE LAS PARTES SE BRINDA UN DESCUENTO FINANCIERO DE 10 % POR PAGO DE AÑO ANTICIPADO $ 9.068.904 Y RTE/ICA $ 876.056"/>
    <n v="9068904"/>
    <n v="0"/>
    <n v="9068904"/>
    <x v="0"/>
    <x v="0"/>
    <x v="0"/>
    <n v="9068904"/>
    <n v="0"/>
    <n v="9068904"/>
    <x v="0"/>
    <x v="0"/>
    <x v="0"/>
    <n v="9068904"/>
    <n v="0"/>
    <n v="9068904"/>
    <x v="0"/>
    <x v="0"/>
    <x v="0"/>
    <x v="0"/>
    <x v="0"/>
  </r>
  <r>
    <x v="3"/>
    <x v="0"/>
    <x v="0"/>
    <x v="0"/>
    <x v="0"/>
    <x v="1"/>
    <x v="1"/>
    <n v="2418"/>
    <s v="900017447"/>
    <s v="FALABELLA DE COLOMBIA S 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1"/>
    <x v="1"/>
    <x v="1"/>
    <x v="1"/>
    <x v="1"/>
    <x v="1"/>
    <s v="900017447"/>
    <s v="FALABELLA DE COLOMBIA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OR RETEGARANTIAS"/>
    <n v="0"/>
    <n v="30001"/>
    <n v="-30001"/>
    <x v="0"/>
    <x v="0"/>
    <x v="0"/>
    <n v="0"/>
    <n v="30001"/>
    <n v="-30001"/>
    <x v="0"/>
    <x v="0"/>
    <x v="0"/>
    <n v="0"/>
    <n v="30001"/>
    <n v="-3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0300.46"/>
    <n v="0"/>
    <n v="260300.46"/>
    <x v="0"/>
    <x v="0"/>
    <x v="0"/>
    <n v="260300.46"/>
    <n v="0"/>
    <n v="260300.46"/>
    <x v="0"/>
    <x v="0"/>
    <x v="0"/>
    <n v="260300.46"/>
    <n v="0"/>
    <n v="260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77989.679999999993"/>
    <n v="0"/>
    <n v="77989.680000000008"/>
    <x v="0"/>
    <x v="0"/>
    <x v="0"/>
    <n v="77989.679999999993"/>
    <n v="0"/>
    <n v="77989.680000000008"/>
    <x v="0"/>
    <x v="0"/>
    <x v="0"/>
    <n v="77989.679999999993"/>
    <n v="0"/>
    <n v="77989.68000000000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3"/>
    <n v="0"/>
    <n v="51483"/>
    <x v="0"/>
    <x v="0"/>
    <x v="0"/>
    <n v="51483"/>
    <n v="0"/>
    <n v="51483"/>
    <x v="0"/>
    <x v="0"/>
    <x v="0"/>
    <n v="51483"/>
    <n v="0"/>
    <n v="5148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7"/>
    <x v="0"/>
    <x v="0"/>
    <x v="0"/>
    <x v="0"/>
    <x v="2"/>
    <x v="2"/>
    <n v="20088"/>
    <s v="860002964"/>
    <s v="BANCO DE BOGOT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DEL 2018"/>
    <n v="42819.39"/>
    <n v="0"/>
    <n v="42819.39"/>
    <x v="0"/>
    <x v="0"/>
    <x v="0"/>
    <n v="42819.39"/>
    <n v="0"/>
    <n v="42819.39"/>
    <x v="0"/>
    <x v="0"/>
    <x v="0"/>
    <n v="42819.39"/>
    <n v="0"/>
    <n v="42819.39"/>
    <x v="0"/>
    <x v="0"/>
    <x v="0"/>
    <x v="0"/>
    <x v="0"/>
  </r>
  <r>
    <x v="7"/>
    <x v="0"/>
    <x v="0"/>
    <x v="0"/>
    <x v="0"/>
    <x v="2"/>
    <x v="2"/>
    <n v="2008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DE CONCILIACION BANCARIA POR IVA YA PRESENTADO"/>
    <n v="0"/>
    <n v="150000"/>
    <n v="-150000"/>
    <x v="0"/>
    <x v="0"/>
    <x v="0"/>
    <n v="0"/>
    <n v="150000"/>
    <n v="-150000"/>
    <x v="0"/>
    <x v="0"/>
    <x v="0"/>
    <n v="0"/>
    <n v="150000"/>
    <n v="-15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25006"/>
    <n v="0"/>
    <n v="425006"/>
    <x v="0"/>
    <x v="0"/>
    <x v="0"/>
    <n v="425006"/>
    <n v="0"/>
    <n v="425006"/>
    <x v="0"/>
    <x v="0"/>
    <x v="0"/>
    <n v="425006"/>
    <n v="0"/>
    <n v="4250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7182"/>
    <n v="0"/>
    <n v="7182"/>
    <x v="0"/>
    <x v="0"/>
    <x v="0"/>
    <n v="7182"/>
    <n v="0"/>
    <n v="7182"/>
    <x v="0"/>
    <x v="0"/>
    <x v="0"/>
    <n v="7182"/>
    <n v="0"/>
    <n v="718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364.58"/>
    <n v="0"/>
    <n v="1364.58"/>
    <x v="0"/>
    <x v="0"/>
    <x v="0"/>
    <n v="1364.58"/>
    <n v="0"/>
    <n v="1364.58"/>
    <x v="0"/>
    <x v="0"/>
    <x v="0"/>
    <n v="1364.58"/>
    <n v="0"/>
    <n v="1364.58"/>
    <x v="0"/>
    <x v="0"/>
    <x v="0"/>
    <x v="0"/>
    <x v="0"/>
  </r>
  <r>
    <x v="7"/>
    <x v="0"/>
    <x v="0"/>
    <x v="0"/>
    <x v="0"/>
    <x v="2"/>
    <x v="2"/>
    <n v="20092"/>
    <s v="890300279"/>
    <s v="BANCO DE OCCIDENTE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DE GASTO BANCARRIO APLICADO DE MAS"/>
    <n v="0"/>
    <n v="1011206"/>
    <n v="-1011206"/>
    <x v="0"/>
    <x v="0"/>
    <x v="0"/>
    <n v="0"/>
    <n v="1011206"/>
    <n v="-1011206"/>
    <x v="0"/>
    <x v="0"/>
    <x v="0"/>
    <n v="0"/>
    <n v="1011206"/>
    <n v="-1011206"/>
    <x v="0"/>
    <x v="0"/>
    <x v="0"/>
    <x v="0"/>
    <x v="0"/>
  </r>
  <r>
    <x v="7"/>
    <x v="0"/>
    <x v="0"/>
    <x v="0"/>
    <x v="0"/>
    <x v="2"/>
    <x v="2"/>
    <n v="20093"/>
    <s v="900406150"/>
    <s v="BANCO COOMEV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BANCOOMEVA"/>
    <n v="118232"/>
    <n v="0"/>
    <n v="118232"/>
    <x v="0"/>
    <x v="0"/>
    <x v="0"/>
    <n v="118232"/>
    <n v="0"/>
    <n v="118232"/>
    <x v="0"/>
    <x v="0"/>
    <x v="0"/>
    <n v="118232"/>
    <n v="0"/>
    <n v="118232"/>
    <x v="0"/>
    <x v="0"/>
    <x v="0"/>
    <x v="0"/>
    <x v="0"/>
  </r>
  <r>
    <x v="7"/>
    <x v="0"/>
    <x v="0"/>
    <x v="0"/>
    <x v="0"/>
    <x v="2"/>
    <x v="2"/>
    <n v="20048"/>
    <s v="440000000330"/>
    <s v="BANCOLOMBIA CAYMAN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BRIL 2019 - trm 3247.72"/>
    <n v="354001.48"/>
    <n v="0"/>
    <n v="354001.48"/>
    <x v="0"/>
    <x v="0"/>
    <x v="0"/>
    <n v="354001.48"/>
    <n v="0"/>
    <n v="354001.48"/>
    <x v="0"/>
    <x v="0"/>
    <x v="0"/>
    <n v="354001.48"/>
    <n v="0"/>
    <n v="354001.48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7"/>
    <x v="0"/>
    <x v="0"/>
    <x v="0"/>
    <x v="0"/>
    <x v="2"/>
    <x v="2"/>
    <n v="20067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DIFERENCIA EN CENTAVOS PAGO DE TARJETA DE CREDITO"/>
    <n v="0.33"/>
    <n v="0"/>
    <n v="0.33"/>
    <x v="0"/>
    <x v="0"/>
    <x v="0"/>
    <n v="0.33"/>
    <n v="0"/>
    <n v="0.33"/>
    <x v="0"/>
    <x v="0"/>
    <x v="0"/>
    <n v="0.33"/>
    <n v="0"/>
    <n v="0.33"/>
    <x v="0"/>
    <x v="0"/>
    <x v="0"/>
    <x v="0"/>
    <x v="0"/>
  </r>
  <r>
    <x v="1"/>
    <x v="0"/>
    <x v="0"/>
    <x v="0"/>
    <x v="0"/>
    <x v="2"/>
    <x v="2"/>
    <n v="19648"/>
    <s v="891480030"/>
    <s v="MUNICIPIO DE PEREIRA"/>
    <s v="20190213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6"/>
    <x v="6"/>
    <x v="0"/>
    <x v="0"/>
    <x v="0"/>
    <x v="0"/>
    <s v="891480030"/>
    <s v="MUNICIPIO DE PERE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 IND Y COMER ANUAL PEREIRA 2018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6"/>
    <x v="0"/>
    <x v="0"/>
    <x v="0"/>
    <x v="0"/>
    <x v="2"/>
    <x v="2"/>
    <n v="20157"/>
    <s v="890903938"/>
    <s v="BANCOLOMBIA S.A."/>
    <s v="20190509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434 MAL APLICADA"/>
    <n v="1897888"/>
    <n v="0"/>
    <n v="1897888"/>
    <x v="0"/>
    <x v="0"/>
    <x v="0"/>
    <n v="1897888"/>
    <n v="0"/>
    <n v="1897888"/>
    <x v="0"/>
    <x v="0"/>
    <x v="0"/>
    <n v="1897888"/>
    <n v="0"/>
    <n v="1897888"/>
    <x v="0"/>
    <x v="0"/>
    <x v="0"/>
    <x v="0"/>
    <x v="0"/>
  </r>
  <r>
    <x v="6"/>
    <x v="0"/>
    <x v="0"/>
    <x v="0"/>
    <x v="0"/>
    <x v="2"/>
    <x v="2"/>
    <n v="20277"/>
    <s v="890903407"/>
    <s v="SEGUROS GENERALES SURAMERICANA S.A"/>
    <s v="20190531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99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ERROR EN CENTRO DE OPERACION"/>
    <n v="58175"/>
    <n v="0"/>
    <n v="58175"/>
    <x v="0"/>
    <x v="0"/>
    <x v="0"/>
    <n v="58175"/>
    <n v="0"/>
    <n v="58175"/>
    <x v="0"/>
    <x v="0"/>
    <x v="0"/>
    <n v="58175"/>
    <n v="0"/>
    <n v="58175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67896"/>
    <n v="0"/>
    <n v="67896"/>
    <x v="0"/>
    <x v="0"/>
    <x v="0"/>
    <n v="67896"/>
    <n v="0"/>
    <n v="67896"/>
    <x v="0"/>
    <x v="0"/>
    <x v="0"/>
    <n v="67896"/>
    <n v="0"/>
    <n v="67896"/>
    <x v="0"/>
    <x v="0"/>
    <x v="0"/>
    <x v="0"/>
    <x v="0"/>
  </r>
  <r>
    <x v="7"/>
    <x v="0"/>
    <x v="0"/>
    <x v="0"/>
    <x v="0"/>
    <x v="2"/>
    <x v="2"/>
    <n v="200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7"/>
    <x v="0"/>
    <x v="0"/>
    <x v="0"/>
    <x v="0"/>
    <x v="2"/>
    <x v="2"/>
    <n v="20078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58800"/>
    <n v="0"/>
    <n v="358800"/>
    <x v="0"/>
    <x v="0"/>
    <x v="0"/>
    <n v="358800"/>
    <n v="0"/>
    <n v="358800"/>
    <x v="0"/>
    <x v="0"/>
    <x v="0"/>
    <n v="358800"/>
    <n v="0"/>
    <n v="3588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53698"/>
    <n v="0"/>
    <n v="53698"/>
    <x v="0"/>
    <x v="0"/>
    <x v="0"/>
    <n v="53698"/>
    <n v="0"/>
    <n v="53698"/>
    <x v="0"/>
    <x v="0"/>
    <x v="0"/>
    <n v="53698"/>
    <n v="0"/>
    <n v="53698"/>
    <x v="0"/>
    <x v="0"/>
    <x v="0"/>
    <x v="0"/>
    <x v="0"/>
  </r>
  <r>
    <x v="6"/>
    <x v="0"/>
    <x v="0"/>
    <x v="0"/>
    <x v="0"/>
    <x v="11"/>
    <x v="11"/>
    <n v="26193"/>
    <s v="4519543"/>
    <s v="GARCIA CASTAÑO FREDY JHOVANNY"/>
    <s v="201905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4 + gastos bancarios"/>
    <n v="2800"/>
    <n v="0"/>
    <n v="2800"/>
    <x v="0"/>
    <x v="0"/>
    <x v="0"/>
    <n v="2800"/>
    <n v="0"/>
    <n v="2800"/>
    <x v="0"/>
    <x v="0"/>
    <x v="0"/>
    <n v="2800"/>
    <n v="0"/>
    <n v="2800"/>
    <x v="0"/>
    <x v="0"/>
    <x v="0"/>
    <x v="0"/>
    <x v="0"/>
  </r>
  <r>
    <x v="6"/>
    <x v="0"/>
    <x v="0"/>
    <x v="0"/>
    <x v="0"/>
    <x v="2"/>
    <x v="2"/>
    <n v="20090"/>
    <s v="890903938"/>
    <s v="BANCOLOMBIA S.A."/>
    <s v="201905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 REVERSA NI 20088  ( IVA DE CONCILACION BANCARIA )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6"/>
    <x v="0"/>
    <x v="0"/>
    <x v="0"/>
    <x v="0"/>
    <x v="11"/>
    <x v="11"/>
    <n v="26225"/>
    <s v="71631400"/>
    <s v="CARRASQUILLA PIZARRO MARCO ANTONI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5 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6"/>
    <x v="0"/>
    <x v="0"/>
    <x v="0"/>
    <x v="0"/>
    <x v="11"/>
    <x v="11"/>
    <n v="26226"/>
    <s v="31908098"/>
    <s v="LOPEZ GARCIA MARIA DEL SOCORR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2 + GASTOS BANCARIOS"/>
    <n v="7520"/>
    <n v="0"/>
    <n v="7520"/>
    <x v="0"/>
    <x v="0"/>
    <x v="0"/>
    <n v="7520"/>
    <n v="0"/>
    <n v="7520"/>
    <x v="0"/>
    <x v="0"/>
    <x v="0"/>
    <n v="7520"/>
    <n v="0"/>
    <n v="7520"/>
    <x v="0"/>
    <x v="0"/>
    <x v="0"/>
    <x v="0"/>
    <x v="0"/>
  </r>
  <r>
    <x v="6"/>
    <x v="0"/>
    <x v="0"/>
    <x v="0"/>
    <x v="0"/>
    <x v="11"/>
    <x v="11"/>
    <n v="26227"/>
    <s v="1018441067"/>
    <s v="ALONSO GUTIERREZ YINNETH CATALIN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 + GASTOS BANCARIOS"/>
    <n v="11584"/>
    <n v="0"/>
    <n v="11584"/>
    <x v="0"/>
    <x v="0"/>
    <x v="0"/>
    <n v="11584"/>
    <n v="0"/>
    <n v="11584"/>
    <x v="0"/>
    <x v="0"/>
    <x v="0"/>
    <n v="11584"/>
    <n v="0"/>
    <n v="11584"/>
    <x v="0"/>
    <x v="0"/>
    <x v="0"/>
    <x v="0"/>
    <x v="0"/>
  </r>
  <r>
    <x v="0"/>
    <x v="0"/>
    <x v="0"/>
    <x v="0"/>
    <x v="0"/>
    <x v="2"/>
    <x v="2"/>
    <n v="19609"/>
    <s v="440000000330"/>
    <s v="BANCOLOMBIA CAYMAN"/>
    <s v="201901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COMPENSACION - ENERO 2019 (TRM 3163.46)"/>
    <n v="521559.65"/>
    <n v="0"/>
    <n v="521559.65"/>
    <x v="0"/>
    <x v="0"/>
    <x v="0"/>
    <n v="521559.65"/>
    <n v="0"/>
    <n v="521559.65"/>
    <x v="0"/>
    <x v="0"/>
    <x v="0"/>
    <n v="521559.65"/>
    <n v="0"/>
    <n v="521559.65"/>
    <x v="0"/>
    <x v="0"/>
    <x v="0"/>
    <x v="0"/>
    <x v="0"/>
  </r>
  <r>
    <x v="1"/>
    <x v="0"/>
    <x v="0"/>
    <x v="0"/>
    <x v="0"/>
    <x v="2"/>
    <x v="2"/>
    <n v="19760"/>
    <s v="890903938"/>
    <s v="BANCOLOMBIA S.A."/>
    <s v="20190228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OLOMBIA  - FEB 2019"/>
    <n v="44999.7"/>
    <n v="0"/>
    <n v="44999.700000000004"/>
    <x v="0"/>
    <x v="0"/>
    <x v="0"/>
    <n v="44999.7"/>
    <n v="0"/>
    <n v="44999.700000000004"/>
    <x v="0"/>
    <x v="0"/>
    <x v="0"/>
    <n v="44999.7"/>
    <n v="0"/>
    <n v="44999.700000000004"/>
    <x v="0"/>
    <x v="0"/>
    <x v="0"/>
    <x v="0"/>
    <x v="0"/>
  </r>
  <r>
    <x v="5"/>
    <x v="0"/>
    <x v="0"/>
    <x v="0"/>
    <x v="0"/>
    <x v="2"/>
    <x v="2"/>
    <n v="19921"/>
    <s v="440000000330"/>
    <s v="BANCOLOMBIA CAYMAN"/>
    <s v="201903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ONES CUENTA DE COMPENSACION- MARZO 2019"/>
    <n v="257157.99"/>
    <n v="0"/>
    <n v="257157.99000000002"/>
    <x v="0"/>
    <x v="0"/>
    <x v="0"/>
    <n v="257157.99"/>
    <n v="0"/>
    <n v="257157.99000000002"/>
    <x v="0"/>
    <x v="0"/>
    <x v="0"/>
    <n v="257157.99"/>
    <n v="0"/>
    <n v="257157.99000000002"/>
    <x v="0"/>
    <x v="0"/>
    <x v="0"/>
    <x v="0"/>
    <x v="0"/>
  </r>
  <r>
    <x v="5"/>
    <x v="0"/>
    <x v="0"/>
    <x v="0"/>
    <x v="0"/>
    <x v="2"/>
    <x v="2"/>
    <n v="19933"/>
    <s v="890903938"/>
    <s v="BANCOLOMBIA S.A."/>
    <s v="201903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ARZO 2019"/>
    <n v="64298.84"/>
    <n v="0"/>
    <n v="64298.840000000004"/>
    <x v="0"/>
    <x v="0"/>
    <x v="0"/>
    <n v="64298.84"/>
    <n v="0"/>
    <n v="64298.840000000004"/>
    <x v="0"/>
    <x v="0"/>
    <x v="0"/>
    <n v="64298.84"/>
    <n v="0"/>
    <n v="64298.840000000004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2"/>
    <x v="0"/>
    <x v="0"/>
    <x v="0"/>
    <x v="0"/>
    <x v="2"/>
    <x v="2"/>
    <n v="20394"/>
    <s v="440000000330"/>
    <s v="BANCOLOMBIA CAYMAN"/>
    <s v="201906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JUNIO 2019- CUENTA COMPENSACION  (TRM 3205.67)"/>
    <n v="349225.69"/>
    <n v="0"/>
    <n v="349225.69"/>
    <x v="0"/>
    <x v="0"/>
    <x v="0"/>
    <n v="349225.69"/>
    <n v="0"/>
    <n v="349225.69"/>
    <x v="0"/>
    <x v="0"/>
    <x v="0"/>
    <n v="349225.69"/>
    <n v="0"/>
    <n v="349225.69"/>
    <x v="0"/>
    <x v="0"/>
    <x v="0"/>
    <x v="0"/>
    <x v="0"/>
  </r>
  <r>
    <x v="3"/>
    <x v="0"/>
    <x v="0"/>
    <x v="0"/>
    <x v="0"/>
    <x v="2"/>
    <x v="2"/>
    <n v="20570"/>
    <s v="440000000330"/>
    <s v="BANCOLOMBIA CAYMAN"/>
    <s v="201907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0"/>
    <x v="0"/>
    <x v="0"/>
    <x v="0"/>
    <x v="0"/>
    <x v="0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AYMAN - COMISIONES MES DE JULIO ( TRM 3296,85)"/>
    <n v="728406.04"/>
    <n v="0"/>
    <n v="728406.04"/>
    <x v="0"/>
    <x v="0"/>
    <x v="0"/>
    <n v="728406.04"/>
    <n v="0"/>
    <n v="728406.04"/>
    <x v="0"/>
    <x v="0"/>
    <x v="0"/>
    <n v="728406.04"/>
    <n v="0"/>
    <n v="728406.04"/>
    <x v="0"/>
    <x v="0"/>
    <x v="0"/>
    <x v="0"/>
    <x v="0"/>
  </r>
  <r>
    <x v="4"/>
    <x v="0"/>
    <x v="0"/>
    <x v="0"/>
    <x v="0"/>
    <x v="2"/>
    <x v="2"/>
    <n v="20692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AGOSTO - COMISION EV4  LTDA"/>
    <n v="839345.14"/>
    <n v="0"/>
    <n v="839345.14"/>
    <x v="0"/>
    <x v="0"/>
    <x v="0"/>
    <n v="839345.14"/>
    <n v="0"/>
    <n v="839345.14"/>
    <x v="0"/>
    <x v="0"/>
    <x v="0"/>
    <n v="839345.14"/>
    <n v="0"/>
    <n v="839345.14"/>
    <x v="0"/>
    <x v="0"/>
    <x v="0"/>
    <x v="0"/>
    <x v="0"/>
  </r>
  <r>
    <x v="4"/>
    <x v="0"/>
    <x v="0"/>
    <x v="0"/>
    <x v="0"/>
    <x v="2"/>
    <x v="2"/>
    <n v="20693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487484.73"/>
    <n v="0"/>
    <n v="487484.73"/>
    <x v="0"/>
    <x v="0"/>
    <x v="0"/>
    <n v="487484.73"/>
    <n v="0"/>
    <n v="487484.73"/>
    <x v="0"/>
    <x v="0"/>
    <x v="0"/>
    <n v="487484.73"/>
    <n v="0"/>
    <n v="487484.73"/>
    <x v="0"/>
    <x v="0"/>
    <x v="0"/>
    <x v="0"/>
    <x v="0"/>
  </r>
  <r>
    <x v="0"/>
    <x v="0"/>
    <x v="0"/>
    <x v="0"/>
    <x v="0"/>
    <x v="2"/>
    <x v="2"/>
    <n v="19416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AV VILLAS"/>
    <n v="641215"/>
    <n v="0"/>
    <n v="641215"/>
    <x v="0"/>
    <x v="0"/>
    <x v="0"/>
    <n v="641215"/>
    <n v="0"/>
    <n v="641215"/>
    <x v="0"/>
    <x v="0"/>
    <x v="0"/>
    <n v="641215"/>
    <n v="0"/>
    <n v="641215"/>
    <x v="0"/>
    <x v="0"/>
    <x v="0"/>
    <x v="0"/>
    <x v="0"/>
  </r>
  <r>
    <x v="0"/>
    <x v="0"/>
    <x v="0"/>
    <x v="0"/>
    <x v="0"/>
    <x v="2"/>
    <x v="2"/>
    <n v="19418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AV VILLAS"/>
    <n v="744412"/>
    <n v="0"/>
    <n v="744412"/>
    <x v="0"/>
    <x v="0"/>
    <x v="0"/>
    <n v="744412"/>
    <n v="0"/>
    <n v="744412"/>
    <x v="0"/>
    <x v="0"/>
    <x v="0"/>
    <n v="744412"/>
    <n v="0"/>
    <n v="744412"/>
    <x v="0"/>
    <x v="0"/>
    <x v="0"/>
    <x v="0"/>
    <x v="0"/>
  </r>
  <r>
    <x v="0"/>
    <x v="0"/>
    <x v="0"/>
    <x v="0"/>
    <x v="0"/>
    <x v="2"/>
    <x v="2"/>
    <n v="19419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V VILLAS"/>
    <n v="434677"/>
    <n v="0"/>
    <n v="434677"/>
    <x v="0"/>
    <x v="0"/>
    <x v="0"/>
    <n v="434677"/>
    <n v="0"/>
    <n v="434677"/>
    <x v="0"/>
    <x v="0"/>
    <x v="0"/>
    <n v="434677"/>
    <n v="0"/>
    <n v="434677"/>
    <x v="0"/>
    <x v="0"/>
    <x v="0"/>
    <x v="0"/>
    <x v="0"/>
  </r>
  <r>
    <x v="0"/>
    <x v="0"/>
    <x v="0"/>
    <x v="0"/>
    <x v="0"/>
    <x v="2"/>
    <x v="2"/>
    <n v="19443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422-1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444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957-8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447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49"/>
    <n v="786309.83"/>
    <n v="0"/>
    <n v="786309.83000000007"/>
    <x v="0"/>
    <x v="0"/>
    <x v="0"/>
    <n v="786309.83"/>
    <n v="0"/>
    <n v="786309.83000000007"/>
    <x v="0"/>
    <x v="0"/>
    <x v="0"/>
    <n v="786309.83"/>
    <n v="0"/>
    <n v="786309.83000000007"/>
    <x v="0"/>
    <x v="0"/>
    <x v="0"/>
    <x v="0"/>
    <x v="0"/>
  </r>
  <r>
    <x v="0"/>
    <x v="0"/>
    <x v="0"/>
    <x v="0"/>
    <x v="0"/>
    <x v="2"/>
    <x v="2"/>
    <n v="19448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912"/>
    <n v="176493.89"/>
    <n v="0"/>
    <n v="176493.89"/>
    <x v="0"/>
    <x v="0"/>
    <x v="0"/>
    <n v="176493.89"/>
    <n v="0"/>
    <n v="176493.89"/>
    <x v="0"/>
    <x v="0"/>
    <x v="0"/>
    <n v="176493.89"/>
    <n v="0"/>
    <n v="176493.89"/>
    <x v="0"/>
    <x v="0"/>
    <x v="0"/>
    <x v="0"/>
    <x v="0"/>
  </r>
  <r>
    <x v="0"/>
    <x v="0"/>
    <x v="0"/>
    <x v="0"/>
    <x v="0"/>
    <x v="2"/>
    <x v="2"/>
    <n v="19552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450-00  BANCOLOMBIA"/>
    <n v="238606"/>
    <n v="0"/>
    <n v="238606"/>
    <x v="0"/>
    <x v="0"/>
    <x v="0"/>
    <n v="238606"/>
    <n v="0"/>
    <n v="238606"/>
    <x v="0"/>
    <x v="0"/>
    <x v="0"/>
    <n v="238606"/>
    <n v="0"/>
    <n v="238606"/>
    <x v="0"/>
    <x v="0"/>
    <x v="0"/>
    <x v="0"/>
    <x v="0"/>
  </r>
  <r>
    <x v="0"/>
    <x v="0"/>
    <x v="0"/>
    <x v="0"/>
    <x v="0"/>
    <x v="2"/>
    <x v="2"/>
    <n v="19553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MES DE ENERO DEL 2018- OBLIGACION  195962"/>
    <n v="315503"/>
    <n v="0"/>
    <n v="315503"/>
    <x v="0"/>
    <x v="0"/>
    <x v="0"/>
    <n v="315503"/>
    <n v="0"/>
    <n v="315503"/>
    <x v="0"/>
    <x v="0"/>
    <x v="0"/>
    <n v="315503"/>
    <n v="0"/>
    <n v="315503"/>
    <x v="0"/>
    <x v="0"/>
    <x v="0"/>
    <x v="0"/>
    <x v="0"/>
  </r>
  <r>
    <x v="0"/>
    <x v="0"/>
    <x v="0"/>
    <x v="0"/>
    <x v="0"/>
    <x v="2"/>
    <x v="2"/>
    <n v="19554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CUOTA MES DE ENERO"/>
    <n v="70998"/>
    <n v="0"/>
    <n v="70998"/>
    <x v="0"/>
    <x v="0"/>
    <x v="0"/>
    <n v="70998"/>
    <n v="0"/>
    <n v="70998"/>
    <x v="0"/>
    <x v="0"/>
    <x v="0"/>
    <n v="70998"/>
    <n v="0"/>
    <n v="70998"/>
    <x v="0"/>
    <x v="0"/>
    <x v="0"/>
    <x v="0"/>
    <x v="0"/>
  </r>
  <r>
    <x v="0"/>
    <x v="0"/>
    <x v="0"/>
    <x v="0"/>
    <x v="0"/>
    <x v="2"/>
    <x v="2"/>
    <n v="19613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"/>
    <n v="1042149"/>
    <n v="0"/>
    <n v="1042149"/>
    <x v="0"/>
    <x v="0"/>
    <x v="0"/>
    <n v="1042149"/>
    <n v="0"/>
    <n v="1042149"/>
    <x v="0"/>
    <x v="0"/>
    <x v="0"/>
    <n v="1042149"/>
    <n v="0"/>
    <n v="1042149"/>
    <x v="0"/>
    <x v="0"/>
    <x v="0"/>
    <x v="0"/>
    <x v="0"/>
  </r>
  <r>
    <x v="0"/>
    <x v="0"/>
    <x v="0"/>
    <x v="0"/>
    <x v="0"/>
    <x v="2"/>
    <x v="2"/>
    <n v="19599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 BANCOLOMBIA"/>
    <n v="2746275"/>
    <n v="0"/>
    <n v="2746275"/>
    <x v="0"/>
    <x v="0"/>
    <x v="0"/>
    <n v="2746275"/>
    <n v="0"/>
    <n v="2746275"/>
    <x v="0"/>
    <x v="0"/>
    <x v="0"/>
    <n v="2746275"/>
    <n v="0"/>
    <n v="2746275"/>
    <x v="0"/>
    <x v="0"/>
    <x v="0"/>
    <x v="0"/>
    <x v="0"/>
  </r>
  <r>
    <x v="0"/>
    <x v="0"/>
    <x v="0"/>
    <x v="0"/>
    <x v="0"/>
    <x v="2"/>
    <x v="2"/>
    <n v="19600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598 BANCOLOMBIA"/>
    <n v="62500"/>
    <n v="0"/>
    <n v="62500"/>
    <x v="0"/>
    <x v="0"/>
    <x v="0"/>
    <n v="62500"/>
    <n v="0"/>
    <n v="62500"/>
    <x v="0"/>
    <x v="0"/>
    <x v="0"/>
    <n v="62500"/>
    <n v="0"/>
    <n v="62500"/>
    <x v="0"/>
    <x v="0"/>
    <x v="0"/>
    <x v="0"/>
    <x v="0"/>
  </r>
  <r>
    <x v="0"/>
    <x v="0"/>
    <x v="0"/>
    <x v="0"/>
    <x v="0"/>
    <x v="2"/>
    <x v="2"/>
    <n v="19628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4221 BANCO DE OCCIDENTE ( CUOTA DOBLE EN ENERO 2019)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629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632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X 2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1"/>
    <x v="0"/>
    <x v="0"/>
    <x v="0"/>
    <x v="0"/>
    <x v="2"/>
    <x v="2"/>
    <n v="19602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527366 -7"/>
    <n v="1362153"/>
    <n v="0"/>
    <n v="1362153"/>
    <x v="0"/>
    <x v="0"/>
    <x v="0"/>
    <n v="1362153"/>
    <n v="0"/>
    <n v="1362153"/>
    <x v="0"/>
    <x v="0"/>
    <x v="0"/>
    <n v="1362153"/>
    <n v="0"/>
    <n v="1362153"/>
    <x v="0"/>
    <x v="0"/>
    <x v="0"/>
    <x v="0"/>
    <x v="0"/>
  </r>
  <r>
    <x v="1"/>
    <x v="0"/>
    <x v="0"/>
    <x v="0"/>
    <x v="0"/>
    <x v="2"/>
    <x v="2"/>
    <n v="19603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459791-4 -7"/>
    <n v="814729"/>
    <n v="0"/>
    <n v="814729"/>
    <x v="0"/>
    <x v="0"/>
    <x v="0"/>
    <n v="814729"/>
    <n v="0"/>
    <n v="814729"/>
    <x v="0"/>
    <x v="0"/>
    <x v="0"/>
    <n v="814729"/>
    <n v="0"/>
    <n v="814729"/>
    <x v="0"/>
    <x v="0"/>
    <x v="0"/>
    <x v="0"/>
    <x v="0"/>
  </r>
  <r>
    <x v="1"/>
    <x v="0"/>
    <x v="0"/>
    <x v="0"/>
    <x v="0"/>
    <x v="2"/>
    <x v="2"/>
    <n v="19605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277483-7"/>
    <n v="365269"/>
    <n v="0"/>
    <n v="365269"/>
    <x v="0"/>
    <x v="0"/>
    <x v="0"/>
    <n v="365269"/>
    <n v="0"/>
    <n v="365269"/>
    <x v="0"/>
    <x v="0"/>
    <x v="0"/>
    <n v="365269"/>
    <n v="0"/>
    <n v="365269"/>
    <x v="0"/>
    <x v="0"/>
    <x v="0"/>
    <x v="0"/>
    <x v="0"/>
  </r>
  <r>
    <x v="1"/>
    <x v="0"/>
    <x v="0"/>
    <x v="0"/>
    <x v="0"/>
    <x v="2"/>
    <x v="2"/>
    <n v="19597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8138-3 AV VILLAS"/>
    <n v="32322"/>
    <n v="0"/>
    <n v="32322"/>
    <x v="0"/>
    <x v="0"/>
    <x v="0"/>
    <n v="32322"/>
    <n v="0"/>
    <n v="32322"/>
    <x v="0"/>
    <x v="0"/>
    <x v="0"/>
    <n v="32322"/>
    <n v="0"/>
    <n v="32322"/>
    <x v="0"/>
    <x v="0"/>
    <x v="0"/>
    <x v="0"/>
    <x v="0"/>
  </r>
  <r>
    <x v="1"/>
    <x v="0"/>
    <x v="0"/>
    <x v="0"/>
    <x v="0"/>
    <x v="2"/>
    <x v="2"/>
    <n v="19614"/>
    <s v="860002964"/>
    <s v="BANCO DE BOGOT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3912 BANCO DE BOGOTA"/>
    <n v="162543.9"/>
    <n v="0"/>
    <n v="162543.9"/>
    <x v="0"/>
    <x v="0"/>
    <x v="0"/>
    <n v="162543.9"/>
    <n v="0"/>
    <n v="162543.9"/>
    <x v="0"/>
    <x v="0"/>
    <x v="0"/>
    <n v="162543.9"/>
    <n v="0"/>
    <n v="162543.9"/>
    <x v="0"/>
    <x v="0"/>
    <x v="0"/>
    <x v="0"/>
    <x v="0"/>
  </r>
  <r>
    <x v="1"/>
    <x v="0"/>
    <x v="0"/>
    <x v="0"/>
    <x v="0"/>
    <x v="2"/>
    <x v="2"/>
    <n v="19616"/>
    <s v="890903938"/>
    <s v="BANCOLOMBI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88263  BANCOLOMBIA"/>
    <n v="2618389"/>
    <n v="0"/>
    <n v="2618389"/>
    <x v="0"/>
    <x v="0"/>
    <x v="0"/>
    <n v="2618389"/>
    <n v="0"/>
    <n v="2618389"/>
    <x v="0"/>
    <x v="0"/>
    <x v="0"/>
    <n v="2618389"/>
    <n v="0"/>
    <n v="2618389"/>
    <x v="0"/>
    <x v="0"/>
    <x v="0"/>
    <x v="0"/>
    <x v="0"/>
  </r>
  <r>
    <x v="1"/>
    <x v="0"/>
    <x v="0"/>
    <x v="0"/>
    <x v="0"/>
    <x v="2"/>
    <x v="2"/>
    <n v="19652"/>
    <s v="860007660"/>
    <s v="HELM BANK S.A."/>
    <s v="201902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4225 HELM BANCK- GASTO DE AMAZON DENNY SANCHEZ"/>
    <n v="18395.36"/>
    <n v="0"/>
    <n v="18395.36"/>
    <x v="0"/>
    <x v="0"/>
    <x v="0"/>
    <n v="18395.36"/>
    <n v="0"/>
    <n v="18395.36"/>
    <x v="0"/>
    <x v="0"/>
    <x v="0"/>
    <n v="18395.36"/>
    <n v="0"/>
    <n v="18395.36"/>
    <x v="0"/>
    <x v="0"/>
    <x v="0"/>
    <x v="0"/>
    <x v="0"/>
  </r>
  <r>
    <x v="1"/>
    <x v="0"/>
    <x v="0"/>
    <x v="0"/>
    <x v="0"/>
    <x v="2"/>
    <x v="2"/>
    <n v="19666"/>
    <s v="890903938"/>
    <s v="BANCOLOMBIA S.A."/>
    <s v="2019021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 CUOTA 26"/>
    <n v="304422"/>
    <n v="0"/>
    <n v="304422"/>
    <x v="0"/>
    <x v="0"/>
    <x v="0"/>
    <n v="304422"/>
    <n v="0"/>
    <n v="304422"/>
    <x v="0"/>
    <x v="0"/>
    <x v="0"/>
    <n v="304422"/>
    <n v="0"/>
    <n v="304422"/>
    <x v="0"/>
    <x v="0"/>
    <x v="0"/>
    <x v="0"/>
    <x v="0"/>
  </r>
  <r>
    <x v="1"/>
    <x v="0"/>
    <x v="0"/>
    <x v="0"/>
    <x v="0"/>
    <x v="12"/>
    <x v="12"/>
    <n v="6883"/>
    <s v="860035827"/>
    <s v="BANCO AV VILLAS"/>
    <s v="201902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002527366-7"/>
    <n v="9800"/>
    <n v="0"/>
    <n v="9800"/>
    <x v="0"/>
    <x v="0"/>
    <x v="0"/>
    <n v="9800"/>
    <n v="0"/>
    <n v="9800"/>
    <x v="0"/>
    <x v="0"/>
    <x v="0"/>
    <n v="9800"/>
    <n v="0"/>
    <n v="9800"/>
    <x v="0"/>
    <x v="0"/>
    <x v="0"/>
    <x v="0"/>
    <x v="0"/>
  </r>
  <r>
    <x v="1"/>
    <x v="0"/>
    <x v="0"/>
    <x v="0"/>
    <x v="0"/>
    <x v="2"/>
    <x v="2"/>
    <n v="19763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UOTA FEB CREDITO CESANTIAS -"/>
    <n v="31717.31"/>
    <n v="0"/>
    <n v="31717.31"/>
    <x v="0"/>
    <x v="0"/>
    <x v="0"/>
    <n v="31717.31"/>
    <n v="0"/>
    <n v="31717.31"/>
    <x v="0"/>
    <x v="0"/>
    <x v="0"/>
    <n v="31717.31"/>
    <n v="0"/>
    <n v="31717.31"/>
    <x v="0"/>
    <x v="0"/>
    <x v="0"/>
    <x v="0"/>
    <x v="0"/>
  </r>
  <r>
    <x v="1"/>
    <x v="0"/>
    <x v="0"/>
    <x v="0"/>
    <x v="0"/>
    <x v="2"/>
    <x v="2"/>
    <n v="19764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FEB CREDITO 9670084268"/>
    <n v="1006853"/>
    <n v="0"/>
    <n v="1006853"/>
    <x v="0"/>
    <x v="0"/>
    <x v="0"/>
    <n v="1006853"/>
    <n v="0"/>
    <n v="1006853"/>
    <x v="0"/>
    <x v="0"/>
    <x v="0"/>
    <n v="1006853"/>
    <n v="0"/>
    <n v="1006853"/>
    <x v="0"/>
    <x v="0"/>
    <x v="0"/>
    <x v="0"/>
    <x v="0"/>
  </r>
  <r>
    <x v="1"/>
    <x v="0"/>
    <x v="0"/>
    <x v="0"/>
    <x v="0"/>
    <x v="2"/>
    <x v="2"/>
    <n v="19774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662 - SE CORRIGEN CUENTAS CONTABLES"/>
    <n v="0"/>
    <n v="811915"/>
    <n v="-811915"/>
    <x v="0"/>
    <x v="0"/>
    <x v="0"/>
    <n v="0"/>
    <n v="811915"/>
    <n v="-811915"/>
    <x v="0"/>
    <x v="0"/>
    <x v="0"/>
    <n v="0"/>
    <n v="811915"/>
    <n v="-811915"/>
    <x v="0"/>
    <x v="0"/>
    <x v="0"/>
    <x v="0"/>
    <x v="0"/>
  </r>
  <r>
    <x v="1"/>
    <x v="0"/>
    <x v="0"/>
    <x v="0"/>
    <x v="0"/>
    <x v="2"/>
    <x v="2"/>
    <n v="19776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- FEB 2019"/>
    <n v="775198"/>
    <n v="0"/>
    <n v="775198"/>
    <x v="0"/>
    <x v="0"/>
    <x v="0"/>
    <n v="775198"/>
    <n v="0"/>
    <n v="775198"/>
    <x v="0"/>
    <x v="0"/>
    <x v="0"/>
    <n v="775198"/>
    <n v="0"/>
    <n v="775198"/>
    <x v="0"/>
    <x v="0"/>
    <x v="0"/>
    <x v="0"/>
    <x v="0"/>
  </r>
  <r>
    <x v="1"/>
    <x v="0"/>
    <x v="0"/>
    <x v="0"/>
    <x v="0"/>
    <x v="2"/>
    <x v="2"/>
    <n v="19777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LEASIGN 180-124073- FEB 2019"/>
    <n v="267844"/>
    <n v="0"/>
    <n v="267844"/>
    <x v="0"/>
    <x v="0"/>
    <x v="0"/>
    <n v="267844"/>
    <n v="0"/>
    <n v="267844"/>
    <x v="0"/>
    <x v="0"/>
    <x v="0"/>
    <n v="267844"/>
    <n v="0"/>
    <n v="267844"/>
    <x v="0"/>
    <x v="0"/>
    <x v="0"/>
    <x v="0"/>
    <x v="0"/>
  </r>
  <r>
    <x v="5"/>
    <x v="0"/>
    <x v="0"/>
    <x v="0"/>
    <x v="0"/>
    <x v="2"/>
    <x v="2"/>
    <n v="19804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957-8"/>
    <n v="728074"/>
    <n v="0"/>
    <n v="728074"/>
    <x v="0"/>
    <x v="0"/>
    <x v="0"/>
    <n v="728074"/>
    <n v="0"/>
    <n v="728074"/>
    <x v="0"/>
    <x v="0"/>
    <x v="0"/>
    <n v="728074"/>
    <n v="0"/>
    <n v="728074"/>
    <x v="0"/>
    <x v="0"/>
    <x v="0"/>
    <x v="0"/>
    <x v="0"/>
  </r>
  <r>
    <x v="6"/>
    <x v="0"/>
    <x v="0"/>
    <x v="0"/>
    <x v="0"/>
    <x v="11"/>
    <x v="11"/>
    <n v="26223"/>
    <s v="1036930909"/>
    <s v="ALZATE SANCHEZ NATACH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11"/>
    <x v="11"/>
    <n v="26224"/>
    <s v="1045717933"/>
    <s v="PALMA GUTIERREZ KETTY JANETH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2"/>
    <x v="2"/>
    <n v="20256"/>
    <s v="440000000330"/>
    <s v="BANCOLOMBIA CAYMAN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2019 (TRM 3357.82)"/>
    <n v="836097.18"/>
    <n v="0"/>
    <n v="836097.18"/>
    <x v="0"/>
    <x v="0"/>
    <x v="0"/>
    <n v="836097.18"/>
    <n v="0"/>
    <n v="836097.18"/>
    <x v="0"/>
    <x v="0"/>
    <x v="0"/>
    <n v="836097.18"/>
    <n v="0"/>
    <n v="836097.18"/>
    <x v="0"/>
    <x v="0"/>
    <x v="0"/>
    <x v="0"/>
    <x v="0"/>
  </r>
  <r>
    <x v="6"/>
    <x v="0"/>
    <x v="0"/>
    <x v="0"/>
    <x v="0"/>
    <x v="2"/>
    <x v="2"/>
    <n v="20257"/>
    <s v="444444477"/>
    <s v="EV4 LIMITED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PAYPAL  -PAGO FC SI-9109 EV4 LIMITED (USD 3515  - TRM 3464.18)  OCA 1466"/>
    <n v="608861"/>
    <n v="0"/>
    <n v="608861"/>
    <x v="0"/>
    <x v="0"/>
    <x v="0"/>
    <n v="608861"/>
    <n v="0"/>
    <n v="608861"/>
    <x v="0"/>
    <x v="0"/>
    <x v="0"/>
    <n v="608861"/>
    <n v="0"/>
    <n v="608861"/>
    <x v="0"/>
    <x v="0"/>
    <x v="0"/>
    <x v="0"/>
    <x v="0"/>
  </r>
  <r>
    <x v="0"/>
    <x v="0"/>
    <x v="0"/>
    <x v="0"/>
    <x v="0"/>
    <x v="2"/>
    <x v="2"/>
    <n v="19526"/>
    <s v="860002964"/>
    <s v="BANCO DE BOGOTA S.A."/>
    <s v="201901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 - PAGO CREDITO ROTATIVO"/>
    <n v="2578009.7200000002"/>
    <n v="0"/>
    <n v="2578009.7199999997"/>
    <x v="0"/>
    <x v="0"/>
    <x v="0"/>
    <n v="2578009.7200000002"/>
    <n v="0"/>
    <n v="2578009.7199999997"/>
    <x v="0"/>
    <x v="0"/>
    <x v="0"/>
    <n v="2578009.7200000002"/>
    <n v="0"/>
    <n v="2578009.7199999997"/>
    <x v="0"/>
    <x v="0"/>
    <x v="0"/>
    <x v="0"/>
    <x v="0"/>
  </r>
  <r>
    <x v="1"/>
    <x v="0"/>
    <x v="0"/>
    <x v="0"/>
    <x v="0"/>
    <x v="2"/>
    <x v="2"/>
    <n v="19636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8580  BANCO DE OCCIDENTE CUOTA 1 DE 36"/>
    <n v="278630"/>
    <n v="0"/>
    <n v="278630"/>
    <x v="0"/>
    <x v="0"/>
    <x v="0"/>
    <n v="278630"/>
    <n v="0"/>
    <n v="278630"/>
    <x v="0"/>
    <x v="0"/>
    <x v="0"/>
    <n v="278630"/>
    <n v="0"/>
    <n v="278630"/>
    <x v="0"/>
    <x v="0"/>
    <x v="0"/>
    <x v="0"/>
    <x v="0"/>
  </r>
  <r>
    <x v="1"/>
    <x v="0"/>
    <x v="0"/>
    <x v="0"/>
    <x v="0"/>
    <x v="2"/>
    <x v="2"/>
    <n v="19637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241-4  BANCO DE OCIDENTE"/>
    <n v="78490"/>
    <n v="0"/>
    <n v="78490"/>
    <x v="0"/>
    <x v="0"/>
    <x v="0"/>
    <n v="78490"/>
    <n v="0"/>
    <n v="78490"/>
    <x v="0"/>
    <x v="0"/>
    <x v="0"/>
    <n v="78490"/>
    <n v="0"/>
    <n v="78490"/>
    <x v="0"/>
    <x v="0"/>
    <x v="0"/>
    <x v="0"/>
    <x v="0"/>
  </r>
  <r>
    <x v="1"/>
    <x v="0"/>
    <x v="0"/>
    <x v="0"/>
    <x v="0"/>
    <x v="2"/>
    <x v="2"/>
    <n v="19638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231025"/>
    <n v="0"/>
    <n v="231025"/>
    <x v="0"/>
    <x v="0"/>
    <x v="0"/>
    <n v="231025"/>
    <n v="0"/>
    <n v="231025"/>
    <x v="0"/>
    <x v="0"/>
    <x v="0"/>
    <n v="231025"/>
    <n v="0"/>
    <n v="231025"/>
    <x v="0"/>
    <x v="0"/>
    <x v="0"/>
    <x v="0"/>
    <x v="0"/>
  </r>
  <r>
    <x v="1"/>
    <x v="0"/>
    <x v="0"/>
    <x v="0"/>
    <x v="0"/>
    <x v="2"/>
    <x v="2"/>
    <n v="19639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68019"/>
    <n v="0"/>
    <n v="68019"/>
    <x v="0"/>
    <x v="0"/>
    <x v="0"/>
    <n v="68019"/>
    <n v="0"/>
    <n v="68019"/>
    <x v="0"/>
    <x v="0"/>
    <x v="0"/>
    <n v="68019"/>
    <n v="0"/>
    <n v="68019"/>
    <x v="0"/>
    <x v="0"/>
    <x v="0"/>
    <x v="0"/>
    <x v="0"/>
  </r>
  <r>
    <x v="1"/>
    <x v="0"/>
    <x v="0"/>
    <x v="0"/>
    <x v="0"/>
    <x v="2"/>
    <x v="2"/>
    <n v="19716"/>
    <s v="860002964"/>
    <s v="BANCO DE BOGOTA S.A."/>
    <s v="201902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BOGOTA CUOTA FEBRERO"/>
    <n v="386815.36"/>
    <n v="0"/>
    <n v="386815.36"/>
    <x v="0"/>
    <x v="0"/>
    <x v="0"/>
    <n v="386815.36"/>
    <n v="0"/>
    <n v="386815.36"/>
    <x v="0"/>
    <x v="0"/>
    <x v="0"/>
    <n v="386815.36"/>
    <n v="0"/>
    <n v="386815.36"/>
    <x v="0"/>
    <x v="0"/>
    <x v="0"/>
    <x v="0"/>
    <x v="0"/>
  </r>
  <r>
    <x v="5"/>
    <x v="0"/>
    <x v="0"/>
    <x v="0"/>
    <x v="0"/>
    <x v="2"/>
    <x v="2"/>
    <n v="19795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59791-4"/>
    <n v="767761"/>
    <n v="0"/>
    <n v="767761"/>
    <x v="0"/>
    <x v="0"/>
    <x v="0"/>
    <n v="767761"/>
    <n v="0"/>
    <n v="767761"/>
    <x v="0"/>
    <x v="0"/>
    <x v="0"/>
    <n v="767761"/>
    <n v="0"/>
    <n v="767761"/>
    <x v="0"/>
    <x v="0"/>
    <x v="0"/>
    <x v="0"/>
    <x v="0"/>
  </r>
  <r>
    <x v="5"/>
    <x v="0"/>
    <x v="0"/>
    <x v="0"/>
    <x v="0"/>
    <x v="2"/>
    <x v="2"/>
    <n v="19796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565906-3"/>
    <n v="610745"/>
    <n v="0"/>
    <n v="610745"/>
    <x v="0"/>
    <x v="0"/>
    <x v="0"/>
    <n v="610745"/>
    <n v="0"/>
    <n v="610745"/>
    <x v="0"/>
    <x v="0"/>
    <x v="0"/>
    <n v="610745"/>
    <n v="0"/>
    <n v="610745"/>
    <x v="0"/>
    <x v="0"/>
    <x v="0"/>
    <x v="0"/>
    <x v="0"/>
  </r>
  <r>
    <x v="5"/>
    <x v="0"/>
    <x v="0"/>
    <x v="0"/>
    <x v="0"/>
    <x v="2"/>
    <x v="2"/>
    <n v="19797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60520-1"/>
    <n v="763089"/>
    <n v="0"/>
    <n v="763089"/>
    <x v="0"/>
    <x v="0"/>
    <x v="0"/>
    <n v="763089"/>
    <n v="0"/>
    <n v="763089"/>
    <x v="0"/>
    <x v="0"/>
    <x v="0"/>
    <n v="763089"/>
    <n v="0"/>
    <n v="763089"/>
    <x v="0"/>
    <x v="0"/>
    <x v="0"/>
    <x v="0"/>
    <x v="0"/>
  </r>
  <r>
    <x v="5"/>
    <x v="0"/>
    <x v="0"/>
    <x v="0"/>
    <x v="0"/>
    <x v="2"/>
    <x v="2"/>
    <n v="19798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943912"/>
    <n v="146026.43"/>
    <n v="0"/>
    <n v="146026.43"/>
    <x v="0"/>
    <x v="0"/>
    <x v="0"/>
    <n v="146026.43"/>
    <n v="0"/>
    <n v="146026.43"/>
    <x v="0"/>
    <x v="0"/>
    <x v="0"/>
    <n v="146026.43"/>
    <n v="0"/>
    <n v="146026.43"/>
    <x v="0"/>
    <x v="0"/>
    <x v="0"/>
    <x v="0"/>
    <x v="0"/>
  </r>
  <r>
    <x v="5"/>
    <x v="0"/>
    <x v="0"/>
    <x v="0"/>
    <x v="0"/>
    <x v="2"/>
    <x v="2"/>
    <n v="19799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659284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5"/>
    <x v="0"/>
    <x v="0"/>
    <x v="0"/>
    <x v="0"/>
    <x v="2"/>
    <x v="2"/>
    <n v="19800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422-1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5"/>
    <x v="0"/>
    <x v="0"/>
    <x v="0"/>
    <x v="0"/>
    <x v="2"/>
    <x v="2"/>
    <n v="19801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4073 CUOTA 9/36"/>
    <n v="216028"/>
    <n v="0"/>
    <n v="216028"/>
    <x v="0"/>
    <x v="0"/>
    <x v="0"/>
    <n v="216028"/>
    <n v="0"/>
    <n v="216028"/>
    <x v="0"/>
    <x v="0"/>
    <x v="0"/>
    <n v="216028"/>
    <n v="0"/>
    <n v="216028"/>
    <x v="0"/>
    <x v="0"/>
    <x v="0"/>
    <x v="0"/>
    <x v="0"/>
  </r>
  <r>
    <x v="5"/>
    <x v="0"/>
    <x v="0"/>
    <x v="0"/>
    <x v="0"/>
    <x v="2"/>
    <x v="2"/>
    <n v="19802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REDITO 13241-4"/>
    <n v="0"/>
    <n v="133529"/>
    <n v="-133529"/>
    <x v="0"/>
    <x v="0"/>
    <x v="0"/>
    <n v="0"/>
    <n v="133529"/>
    <n v="-133529"/>
    <x v="0"/>
    <x v="0"/>
    <x v="0"/>
    <n v="0"/>
    <n v="133529"/>
    <n v="-133529"/>
    <x v="0"/>
    <x v="0"/>
    <x v="0"/>
    <x v="0"/>
    <x v="0"/>
  </r>
  <r>
    <x v="5"/>
    <x v="0"/>
    <x v="0"/>
    <x v="0"/>
    <x v="0"/>
    <x v="2"/>
    <x v="2"/>
    <n v="19803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8580 CUOTA 2/36"/>
    <n v="272480"/>
    <n v="0"/>
    <n v="272480"/>
    <x v="0"/>
    <x v="0"/>
    <x v="0"/>
    <n v="272480"/>
    <n v="0"/>
    <n v="272480"/>
    <x v="0"/>
    <x v="0"/>
    <x v="0"/>
    <n v="272480"/>
    <n v="0"/>
    <n v="272480"/>
    <x v="0"/>
    <x v="0"/>
    <x v="0"/>
    <x v="0"/>
    <x v="0"/>
  </r>
  <r>
    <x v="0"/>
    <x v="0"/>
    <x v="0"/>
    <x v="0"/>
    <x v="0"/>
    <x v="2"/>
    <x v="2"/>
    <n v="19396"/>
    <s v="860035827"/>
    <s v="BANCO AV VILLAS"/>
    <s v="201901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OBLIG 78138-3 CUOTA MES DE ENERO 2019"/>
    <n v="76777"/>
    <n v="0"/>
    <n v="76777"/>
    <x v="0"/>
    <x v="0"/>
    <x v="0"/>
    <n v="76777"/>
    <n v="0"/>
    <n v="76777"/>
    <x v="0"/>
    <x v="0"/>
    <x v="0"/>
    <n v="76777"/>
    <n v="0"/>
    <n v="76777"/>
    <x v="0"/>
    <x v="0"/>
    <x v="0"/>
    <x v="0"/>
    <x v="0"/>
  </r>
  <r>
    <x v="5"/>
    <x v="0"/>
    <x v="0"/>
    <x v="0"/>
    <x v="0"/>
    <x v="2"/>
    <x v="2"/>
    <n v="19806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8263"/>
    <n v="2484725"/>
    <n v="0"/>
    <n v="2484725"/>
    <x v="0"/>
    <x v="0"/>
    <x v="0"/>
    <n v="2484725"/>
    <n v="0"/>
    <n v="2484725"/>
    <x v="0"/>
    <x v="0"/>
    <x v="0"/>
    <n v="2484725"/>
    <n v="0"/>
    <n v="2484725"/>
    <x v="0"/>
    <x v="0"/>
    <x v="0"/>
    <x v="0"/>
    <x v="0"/>
  </r>
  <r>
    <x v="5"/>
    <x v="0"/>
    <x v="0"/>
    <x v="0"/>
    <x v="0"/>
    <x v="2"/>
    <x v="2"/>
    <n v="19807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5738"/>
    <n v="413612"/>
    <n v="0"/>
    <n v="413612"/>
    <x v="0"/>
    <x v="0"/>
    <x v="0"/>
    <n v="413612"/>
    <n v="0"/>
    <n v="413612"/>
    <x v="0"/>
    <x v="0"/>
    <x v="0"/>
    <n v="413612"/>
    <n v="0"/>
    <n v="413612"/>
    <x v="0"/>
    <x v="0"/>
    <x v="0"/>
    <x v="0"/>
    <x v="0"/>
  </r>
  <r>
    <x v="5"/>
    <x v="0"/>
    <x v="0"/>
    <x v="0"/>
    <x v="0"/>
    <x v="2"/>
    <x v="2"/>
    <n v="19808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4268"/>
    <n v="957944"/>
    <n v="0"/>
    <n v="957944"/>
    <x v="0"/>
    <x v="0"/>
    <x v="0"/>
    <n v="957944"/>
    <n v="0"/>
    <n v="957944"/>
    <x v="0"/>
    <x v="0"/>
    <x v="0"/>
    <n v="957944"/>
    <n v="0"/>
    <n v="957944"/>
    <x v="0"/>
    <x v="0"/>
    <x v="0"/>
    <x v="0"/>
    <x v="0"/>
  </r>
  <r>
    <x v="5"/>
    <x v="0"/>
    <x v="0"/>
    <x v="0"/>
    <x v="0"/>
    <x v="2"/>
    <x v="2"/>
    <n v="19809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277483-7"/>
    <n v="3068251"/>
    <n v="0"/>
    <n v="3068251"/>
    <x v="0"/>
    <x v="0"/>
    <x v="0"/>
    <n v="3068251"/>
    <n v="0"/>
    <n v="3068251"/>
    <x v="0"/>
    <x v="0"/>
    <x v="0"/>
    <n v="3068251"/>
    <n v="0"/>
    <n v="3068251"/>
    <x v="0"/>
    <x v="0"/>
    <x v="0"/>
    <x v="0"/>
    <x v="0"/>
  </r>
  <r>
    <x v="5"/>
    <x v="0"/>
    <x v="0"/>
    <x v="0"/>
    <x v="0"/>
    <x v="2"/>
    <x v="2"/>
    <n v="19810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527366-7"/>
    <n v="1323134"/>
    <n v="0"/>
    <n v="1323134"/>
    <x v="0"/>
    <x v="0"/>
    <x v="0"/>
    <n v="1323134"/>
    <n v="0"/>
    <n v="1323134"/>
    <x v="0"/>
    <x v="0"/>
    <x v="0"/>
    <n v="1323134"/>
    <n v="0"/>
    <n v="1323134"/>
    <x v="0"/>
    <x v="0"/>
    <x v="0"/>
    <x v="0"/>
    <x v="0"/>
  </r>
  <r>
    <x v="5"/>
    <x v="0"/>
    <x v="0"/>
    <x v="0"/>
    <x v="0"/>
    <x v="2"/>
    <x v="2"/>
    <n v="19844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0  BANCOLOMBIA"/>
    <n v="223372"/>
    <n v="0"/>
    <n v="223372"/>
    <x v="0"/>
    <x v="0"/>
    <x v="0"/>
    <n v="223372"/>
    <n v="0"/>
    <n v="223372"/>
    <x v="0"/>
    <x v="0"/>
    <x v="0"/>
    <n v="223372"/>
    <n v="0"/>
    <n v="223372"/>
    <x v="0"/>
    <x v="0"/>
    <x v="0"/>
    <x v="0"/>
    <x v="0"/>
  </r>
  <r>
    <x v="5"/>
    <x v="0"/>
    <x v="0"/>
    <x v="0"/>
    <x v="0"/>
    <x v="2"/>
    <x v="2"/>
    <n v="19845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BANCOLOMBIA  CUOTA 35"/>
    <n v="64751"/>
    <n v="0"/>
    <n v="64751"/>
    <x v="0"/>
    <x v="0"/>
    <x v="0"/>
    <n v="64751"/>
    <n v="0"/>
    <n v="64751"/>
    <x v="0"/>
    <x v="0"/>
    <x v="0"/>
    <n v="64751"/>
    <n v="0"/>
    <n v="64751"/>
    <x v="0"/>
    <x v="0"/>
    <x v="0"/>
    <x v="0"/>
    <x v="0"/>
  </r>
  <r>
    <x v="5"/>
    <x v="0"/>
    <x v="0"/>
    <x v="0"/>
    <x v="0"/>
    <x v="2"/>
    <x v="2"/>
    <n v="19900"/>
    <s v="890903938"/>
    <s v="BANCOLOMBIA S.A."/>
    <s v="201903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27"/>
    <n v="293229"/>
    <n v="0"/>
    <n v="293229"/>
    <x v="0"/>
    <x v="0"/>
    <x v="0"/>
    <n v="293229"/>
    <n v="0"/>
    <n v="293229"/>
    <x v="0"/>
    <x v="0"/>
    <x v="0"/>
    <n v="293229"/>
    <n v="0"/>
    <n v="293229"/>
    <x v="0"/>
    <x v="0"/>
    <x v="0"/>
    <x v="0"/>
    <x v="0"/>
  </r>
  <r>
    <x v="5"/>
    <x v="0"/>
    <x v="0"/>
    <x v="0"/>
    <x v="0"/>
    <x v="2"/>
    <x v="2"/>
    <n v="19924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4"/>
    <x v="4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- PAGO DE ALOJAMIENTO CLUB 100"/>
    <n v="131130"/>
    <n v="0"/>
    <n v="131130"/>
    <x v="0"/>
    <x v="0"/>
    <x v="0"/>
    <n v="131130"/>
    <n v="0"/>
    <n v="131130"/>
    <x v="0"/>
    <x v="0"/>
    <x v="0"/>
    <n v="131130"/>
    <n v="0"/>
    <n v="131130"/>
    <x v="0"/>
    <x v="0"/>
    <x v="0"/>
    <x v="0"/>
    <x v="0"/>
  </r>
  <r>
    <x v="5"/>
    <x v="0"/>
    <x v="0"/>
    <x v="0"/>
    <x v="0"/>
    <x v="2"/>
    <x v="2"/>
    <n v="19927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BANCOLOMBIA 2581 DOLARES TARJETA DE CREDITO"/>
    <n v="4103.51"/>
    <n v="0"/>
    <n v="4103.51"/>
    <x v="0"/>
    <x v="0"/>
    <x v="0"/>
    <n v="4103.51"/>
    <n v="0"/>
    <n v="4103.51"/>
    <x v="0"/>
    <x v="0"/>
    <x v="0"/>
    <n v="4103.51"/>
    <n v="0"/>
    <n v="4103.51"/>
    <x v="0"/>
    <x v="0"/>
    <x v="0"/>
    <x v="0"/>
    <x v="0"/>
  </r>
  <r>
    <x v="5"/>
    <x v="0"/>
    <x v="0"/>
    <x v="0"/>
    <x v="0"/>
    <x v="2"/>
    <x v="2"/>
    <n v="19931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0"/>
    <n v="162828.67000000001"/>
    <n v="-162828.67000000001"/>
    <x v="0"/>
    <x v="0"/>
    <x v="0"/>
    <n v="0"/>
    <n v="162828.67000000001"/>
    <n v="-162828.67000000001"/>
    <x v="0"/>
    <x v="0"/>
    <x v="0"/>
    <n v="0"/>
    <n v="162828.67000000001"/>
    <n v="-162828.67000000001"/>
    <x v="0"/>
    <x v="0"/>
    <x v="0"/>
    <x v="0"/>
    <x v="0"/>
  </r>
  <r>
    <x v="7"/>
    <x v="0"/>
    <x v="0"/>
    <x v="0"/>
    <x v="0"/>
    <x v="2"/>
    <x v="2"/>
    <n v="19937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2997662"/>
    <n v="0"/>
    <n v="2997662"/>
    <x v="0"/>
    <x v="0"/>
    <x v="0"/>
    <n v="2997662"/>
    <n v="0"/>
    <n v="2997662"/>
    <x v="0"/>
    <x v="0"/>
    <x v="0"/>
    <n v="2997662"/>
    <n v="0"/>
    <n v="2997662"/>
    <x v="0"/>
    <x v="0"/>
    <x v="0"/>
    <x v="0"/>
    <x v="0"/>
  </r>
  <r>
    <x v="7"/>
    <x v="0"/>
    <x v="0"/>
    <x v="0"/>
    <x v="0"/>
    <x v="2"/>
    <x v="2"/>
    <n v="19938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66-7  AV VILLAS"/>
    <n v="1299742"/>
    <n v="0"/>
    <n v="1299742"/>
    <x v="0"/>
    <x v="0"/>
    <x v="0"/>
    <n v="1299742"/>
    <n v="0"/>
    <n v="1299742"/>
    <x v="0"/>
    <x v="0"/>
    <x v="0"/>
    <n v="1299742"/>
    <n v="0"/>
    <n v="1299742"/>
    <x v="0"/>
    <x v="0"/>
    <x v="0"/>
    <x v="0"/>
    <x v="0"/>
  </r>
  <r>
    <x v="7"/>
    <x v="0"/>
    <x v="0"/>
    <x v="0"/>
    <x v="0"/>
    <x v="13"/>
    <x v="13"/>
    <n v="135"/>
    <s v="29873536"/>
    <s v="ZUÑIGA CEBALLOS CLAUDIA MARIA"/>
    <s v="201904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-INTERESSES PRESTAMOS"/>
    <n v="6251"/>
    <n v="0"/>
    <n v="6251"/>
    <x v="0"/>
    <x v="0"/>
    <x v="0"/>
    <n v="6251"/>
    <n v="0"/>
    <n v="6251"/>
    <x v="0"/>
    <x v="0"/>
    <x v="0"/>
    <n v="6251"/>
    <n v="0"/>
    <n v="6251"/>
    <x v="0"/>
    <x v="0"/>
    <x v="0"/>
    <x v="0"/>
    <x v="0"/>
  </r>
  <r>
    <x v="7"/>
    <x v="0"/>
    <x v="0"/>
    <x v="0"/>
    <x v="0"/>
    <x v="2"/>
    <x v="2"/>
    <n v="19954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05450 BANCOLOMBIA CUOTA 16"/>
    <n v="226179"/>
    <n v="0"/>
    <n v="226179"/>
    <x v="0"/>
    <x v="0"/>
    <x v="0"/>
    <n v="226179"/>
    <n v="0"/>
    <n v="226179"/>
    <x v="0"/>
    <x v="0"/>
    <x v="0"/>
    <n v="226179"/>
    <n v="0"/>
    <n v="226179"/>
    <x v="0"/>
    <x v="0"/>
    <x v="0"/>
    <x v="0"/>
    <x v="0"/>
  </r>
  <r>
    <x v="7"/>
    <x v="0"/>
    <x v="0"/>
    <x v="0"/>
    <x v="0"/>
    <x v="2"/>
    <x v="2"/>
    <n v="19956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87498 BANCOLOMBIA CUOTA 36"/>
    <n v="61444"/>
    <n v="0"/>
    <n v="61444"/>
    <x v="0"/>
    <x v="0"/>
    <x v="0"/>
    <n v="61444"/>
    <n v="0"/>
    <n v="61444"/>
    <x v="0"/>
    <x v="0"/>
    <x v="0"/>
    <n v="61444"/>
    <n v="0"/>
    <n v="61444"/>
    <x v="0"/>
    <x v="0"/>
    <x v="0"/>
    <x v="0"/>
    <x v="0"/>
  </r>
  <r>
    <x v="7"/>
    <x v="0"/>
    <x v="0"/>
    <x v="0"/>
    <x v="0"/>
    <x v="2"/>
    <x v="2"/>
    <n v="19957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95962 BANCOLOMBIA CUOTA 28"/>
    <n v="281922"/>
    <n v="0"/>
    <n v="281922"/>
    <x v="0"/>
    <x v="0"/>
    <x v="0"/>
    <n v="281922"/>
    <n v="0"/>
    <n v="281922"/>
    <x v="0"/>
    <x v="0"/>
    <x v="0"/>
    <n v="281922"/>
    <n v="0"/>
    <n v="281922"/>
    <x v="0"/>
    <x v="0"/>
    <x v="0"/>
    <x v="0"/>
    <x v="0"/>
  </r>
  <r>
    <x v="7"/>
    <x v="0"/>
    <x v="0"/>
    <x v="0"/>
    <x v="0"/>
    <x v="2"/>
    <x v="2"/>
    <n v="19961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032798.28"/>
    <n v="0"/>
    <n v="1032798.28"/>
    <x v="0"/>
    <x v="0"/>
    <x v="0"/>
    <n v="1032798.28"/>
    <n v="0"/>
    <n v="1032798.28"/>
    <x v="0"/>
    <x v="0"/>
    <x v="0"/>
    <n v="1032798.28"/>
    <n v="0"/>
    <n v="1032798.28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45540.88"/>
    <n v="0"/>
    <n v="345540.88"/>
    <x v="0"/>
    <x v="0"/>
    <x v="0"/>
    <n v="345540.88"/>
    <n v="0"/>
    <n v="345540.88"/>
    <x v="0"/>
    <x v="0"/>
    <x v="0"/>
    <n v="345540.88"/>
    <n v="0"/>
    <n v="345540.88"/>
    <x v="0"/>
    <x v="0"/>
    <x v="0"/>
    <x v="0"/>
    <x v="0"/>
  </r>
  <r>
    <x v="7"/>
    <x v="0"/>
    <x v="0"/>
    <x v="0"/>
    <x v="0"/>
    <x v="2"/>
    <x v="2"/>
    <n v="19964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AV VILLAS"/>
    <n v="569638"/>
    <n v="0"/>
    <n v="569638"/>
    <x v="0"/>
    <x v="0"/>
    <x v="0"/>
    <n v="569638"/>
    <n v="0"/>
    <n v="569638"/>
    <x v="0"/>
    <x v="0"/>
    <x v="0"/>
    <n v="569638"/>
    <n v="0"/>
    <n v="569638"/>
    <x v="0"/>
    <x v="0"/>
    <x v="0"/>
    <x v="0"/>
    <x v="0"/>
  </r>
  <r>
    <x v="7"/>
    <x v="0"/>
    <x v="0"/>
    <x v="0"/>
    <x v="0"/>
    <x v="2"/>
    <x v="2"/>
    <n v="19965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AV VILLAS"/>
    <n v="728011"/>
    <n v="0"/>
    <n v="728011"/>
    <x v="0"/>
    <x v="0"/>
    <x v="0"/>
    <n v="728011"/>
    <n v="0"/>
    <n v="728011"/>
    <x v="0"/>
    <x v="0"/>
    <x v="0"/>
    <n v="728011"/>
    <n v="0"/>
    <n v="728011"/>
    <x v="0"/>
    <x v="0"/>
    <x v="0"/>
    <x v="0"/>
    <x v="0"/>
  </r>
  <r>
    <x v="7"/>
    <x v="0"/>
    <x v="0"/>
    <x v="0"/>
    <x v="0"/>
    <x v="2"/>
    <x v="2"/>
    <n v="19966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791-4 AV VILLAS"/>
    <n v="729437"/>
    <n v="0"/>
    <n v="729437"/>
    <x v="0"/>
    <x v="0"/>
    <x v="0"/>
    <n v="729437"/>
    <n v="0"/>
    <n v="729437"/>
    <x v="0"/>
    <x v="0"/>
    <x v="0"/>
    <n v="729437"/>
    <n v="0"/>
    <n v="729437"/>
    <x v="0"/>
    <x v="0"/>
    <x v="0"/>
    <x v="0"/>
    <x v="0"/>
  </r>
  <r>
    <x v="7"/>
    <x v="0"/>
    <x v="0"/>
    <x v="0"/>
    <x v="0"/>
    <x v="2"/>
    <x v="2"/>
    <n v="19969"/>
    <s v="890903938"/>
    <s v="BANCOLOMBIA S.A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2341075"/>
    <n v="0"/>
    <n v="2341075"/>
    <x v="0"/>
    <x v="0"/>
    <x v="0"/>
    <n v="2341075"/>
    <n v="0"/>
    <n v="2341075"/>
    <x v="0"/>
    <x v="0"/>
    <x v="0"/>
    <n v="2341075"/>
    <n v="0"/>
    <n v="2341075"/>
    <x v="0"/>
    <x v="0"/>
    <x v="0"/>
    <x v="0"/>
    <x v="0"/>
  </r>
  <r>
    <x v="7"/>
    <x v="0"/>
    <x v="0"/>
    <x v="0"/>
    <x v="0"/>
    <x v="2"/>
    <x v="2"/>
    <n v="19970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3422-1  BANCO DE OCCIDENTE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7"/>
    <x v="0"/>
    <x v="0"/>
    <x v="0"/>
    <x v="0"/>
    <x v="2"/>
    <x v="2"/>
    <n v="19972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28580 BANCO DE OCCIDENTE"/>
    <n v="266463"/>
    <n v="0"/>
    <n v="266463"/>
    <x v="0"/>
    <x v="0"/>
    <x v="0"/>
    <n v="266463"/>
    <n v="0"/>
    <n v="266463"/>
    <x v="0"/>
    <x v="0"/>
    <x v="0"/>
    <n v="266463"/>
    <n v="0"/>
    <n v="266463"/>
    <x v="0"/>
    <x v="0"/>
    <x v="0"/>
    <x v="0"/>
    <x v="0"/>
  </r>
  <r>
    <x v="7"/>
    <x v="0"/>
    <x v="0"/>
    <x v="0"/>
    <x v="0"/>
    <x v="2"/>
    <x v="2"/>
    <n v="19973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681427"/>
    <n v="0"/>
    <n v="681427"/>
    <x v="0"/>
    <x v="0"/>
    <x v="0"/>
    <n v="681427"/>
    <n v="0"/>
    <n v="681427"/>
    <x v="0"/>
    <x v="0"/>
    <x v="0"/>
    <n v="681427"/>
    <n v="0"/>
    <n v="681427"/>
    <x v="0"/>
    <x v="0"/>
    <x v="0"/>
    <x v="0"/>
    <x v="0"/>
  </r>
  <r>
    <x v="7"/>
    <x v="0"/>
    <x v="0"/>
    <x v="0"/>
    <x v="0"/>
    <x v="2"/>
    <x v="2"/>
    <n v="19974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0"/>
    <n v="146717"/>
    <n v="-146717"/>
    <x v="0"/>
    <x v="0"/>
    <x v="0"/>
    <n v="0"/>
    <n v="146717"/>
    <n v="-146717"/>
    <x v="0"/>
    <x v="0"/>
    <x v="0"/>
    <n v="0"/>
    <n v="146717"/>
    <n v="-146717"/>
    <x v="0"/>
    <x v="0"/>
    <x v="0"/>
    <x v="0"/>
    <x v="0"/>
  </r>
  <r>
    <x v="7"/>
    <x v="0"/>
    <x v="0"/>
    <x v="0"/>
    <x v="0"/>
    <x v="2"/>
    <x v="2"/>
    <n v="19975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117424"/>
    <n v="0"/>
    <n v="117424"/>
    <x v="0"/>
    <x v="0"/>
    <x v="0"/>
    <n v="117424"/>
    <n v="0"/>
    <n v="117424"/>
    <x v="0"/>
    <x v="0"/>
    <x v="0"/>
    <n v="117424"/>
    <n v="0"/>
    <n v="117424"/>
    <x v="0"/>
    <x v="0"/>
    <x v="0"/>
    <x v="0"/>
    <x v="0"/>
  </r>
  <r>
    <x v="7"/>
    <x v="0"/>
    <x v="0"/>
    <x v="0"/>
    <x v="0"/>
    <x v="2"/>
    <x v="2"/>
    <n v="20040"/>
    <s v="860007660"/>
    <s v="HELM BANK S.A."/>
    <s v="201904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 BANK- INTERES CREDITO ROTATIVO"/>
    <n v="1418552"/>
    <n v="0"/>
    <n v="1418552"/>
    <x v="0"/>
    <x v="0"/>
    <x v="0"/>
    <n v="1418552"/>
    <n v="0"/>
    <n v="1418552"/>
    <x v="0"/>
    <x v="0"/>
    <x v="0"/>
    <n v="1418552"/>
    <n v="0"/>
    <n v="1418552"/>
    <x v="0"/>
    <x v="0"/>
    <x v="0"/>
    <x v="0"/>
    <x v="0"/>
  </r>
  <r>
    <x v="7"/>
    <x v="0"/>
    <x v="0"/>
    <x v="0"/>
    <x v="0"/>
    <x v="2"/>
    <x v="2"/>
    <n v="20068"/>
    <s v="860007660"/>
    <s v="HELM BANK S.A."/>
    <s v="201904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A ROTATIVO HELM BANK"/>
    <n v="40690.379999999997"/>
    <n v="0"/>
    <n v="40690.379999999997"/>
    <x v="0"/>
    <x v="0"/>
    <x v="0"/>
    <n v="40690.379999999997"/>
    <n v="0"/>
    <n v="40690.379999999997"/>
    <x v="0"/>
    <x v="0"/>
    <x v="0"/>
    <n v="40690.379999999997"/>
    <n v="0"/>
    <n v="40690.379999999997"/>
    <x v="0"/>
    <x v="0"/>
    <x v="0"/>
    <x v="0"/>
    <x v="0"/>
  </r>
  <r>
    <x v="6"/>
    <x v="0"/>
    <x v="0"/>
    <x v="0"/>
    <x v="0"/>
    <x v="2"/>
    <x v="2"/>
    <n v="20095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 CUOTA 37"/>
    <n v="58430"/>
    <n v="0"/>
    <n v="58430"/>
    <x v="0"/>
    <x v="0"/>
    <x v="0"/>
    <n v="58430"/>
    <n v="0"/>
    <n v="58430"/>
    <x v="0"/>
    <x v="0"/>
    <x v="0"/>
    <n v="58430"/>
    <n v="0"/>
    <n v="58430"/>
    <x v="0"/>
    <x v="0"/>
    <x v="0"/>
    <x v="0"/>
    <x v="0"/>
  </r>
  <r>
    <x v="6"/>
    <x v="0"/>
    <x v="0"/>
    <x v="0"/>
    <x v="0"/>
    <x v="2"/>
    <x v="2"/>
    <n v="20096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 CUOTA 37"/>
    <n v="211250"/>
    <n v="0"/>
    <n v="211250"/>
    <x v="0"/>
    <x v="0"/>
    <x v="0"/>
    <n v="211250"/>
    <n v="0"/>
    <n v="211250"/>
    <x v="0"/>
    <x v="0"/>
    <x v="0"/>
    <n v="211250"/>
    <n v="0"/>
    <n v="211250"/>
    <x v="0"/>
    <x v="0"/>
    <x v="0"/>
    <x v="0"/>
    <x v="0"/>
  </r>
  <r>
    <x v="6"/>
    <x v="0"/>
    <x v="0"/>
    <x v="0"/>
    <x v="0"/>
    <x v="2"/>
    <x v="2"/>
    <n v="20097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5738  BANCOLOMBIA CUOTA 37"/>
    <n v="344173"/>
    <n v="0"/>
    <n v="344173"/>
    <x v="0"/>
    <x v="0"/>
    <x v="0"/>
    <n v="344173"/>
    <n v="0"/>
    <n v="344173"/>
    <x v="0"/>
    <x v="0"/>
    <x v="0"/>
    <n v="344173"/>
    <n v="0"/>
    <n v="344173"/>
    <x v="0"/>
    <x v="0"/>
    <x v="0"/>
    <x v="0"/>
    <x v="0"/>
  </r>
  <r>
    <x v="6"/>
    <x v="0"/>
    <x v="0"/>
    <x v="0"/>
    <x v="0"/>
    <x v="2"/>
    <x v="2"/>
    <n v="20098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BANCOLOMBIA CUOTA 37"/>
    <n v="857841"/>
    <n v="0"/>
    <n v="857841"/>
    <x v="0"/>
    <x v="0"/>
    <x v="0"/>
    <n v="857841"/>
    <n v="0"/>
    <n v="857841"/>
    <x v="0"/>
    <x v="0"/>
    <x v="0"/>
    <n v="857841"/>
    <n v="0"/>
    <n v="857841"/>
    <x v="0"/>
    <x v="0"/>
    <x v="0"/>
    <x v="0"/>
    <x v="0"/>
  </r>
  <r>
    <x v="6"/>
    <x v="0"/>
    <x v="0"/>
    <x v="0"/>
    <x v="0"/>
    <x v="2"/>
    <x v="2"/>
    <n v="20103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03722"/>
    <n v="0"/>
    <n v="203722"/>
    <x v="0"/>
    <x v="0"/>
    <x v="0"/>
    <n v="203722"/>
    <n v="0"/>
    <n v="203722"/>
    <x v="0"/>
    <x v="0"/>
    <x v="0"/>
    <n v="203722"/>
    <n v="0"/>
    <n v="203722"/>
    <x v="0"/>
    <x v="0"/>
    <x v="0"/>
    <x v="0"/>
    <x v="0"/>
  </r>
  <r>
    <x v="6"/>
    <x v="0"/>
    <x v="0"/>
    <x v="0"/>
    <x v="0"/>
    <x v="2"/>
    <x v="2"/>
    <n v="20104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60402"/>
    <n v="0"/>
    <n v="260402"/>
    <x v="0"/>
    <x v="0"/>
    <x v="0"/>
    <n v="260402"/>
    <n v="0"/>
    <n v="260402"/>
    <x v="0"/>
    <x v="0"/>
    <x v="0"/>
    <n v="260402"/>
    <n v="0"/>
    <n v="260402"/>
    <x v="0"/>
    <x v="0"/>
    <x v="0"/>
    <x v="0"/>
    <x v="0"/>
  </r>
  <r>
    <x v="6"/>
    <x v="0"/>
    <x v="0"/>
    <x v="0"/>
    <x v="0"/>
    <x v="2"/>
    <x v="2"/>
    <n v="20112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AV VILLAS"/>
    <n v="670238"/>
    <n v="0"/>
    <n v="670238"/>
    <x v="0"/>
    <x v="0"/>
    <x v="0"/>
    <n v="670238"/>
    <n v="0"/>
    <n v="670238"/>
    <x v="0"/>
    <x v="0"/>
    <x v="0"/>
    <n v="670238"/>
    <n v="0"/>
    <n v="670238"/>
    <x v="0"/>
    <x v="0"/>
    <x v="0"/>
    <x v="0"/>
    <x v="0"/>
  </r>
  <r>
    <x v="6"/>
    <x v="0"/>
    <x v="0"/>
    <x v="0"/>
    <x v="0"/>
    <x v="11"/>
    <x v="11"/>
    <n v="26218"/>
    <s v="1098657994"/>
    <s v="HERNANDEZ ROJAS JOHN EDISON"/>
    <s v="201905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3+ GASTOS BANCARIOS"/>
    <n v="6768"/>
    <n v="0"/>
    <n v="6768"/>
    <x v="0"/>
    <x v="0"/>
    <x v="0"/>
    <n v="6768"/>
    <n v="0"/>
    <n v="6768"/>
    <x v="0"/>
    <x v="0"/>
    <x v="0"/>
    <n v="6768"/>
    <n v="0"/>
    <n v="6768"/>
    <x v="0"/>
    <x v="0"/>
    <x v="0"/>
    <x v="0"/>
    <x v="0"/>
  </r>
  <r>
    <x v="7"/>
    <x v="0"/>
    <x v="0"/>
    <x v="0"/>
    <x v="0"/>
    <x v="2"/>
    <x v="2"/>
    <n v="19952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AI"/>
    <n v="917340"/>
    <n v="0"/>
    <n v="917340"/>
    <x v="0"/>
    <x v="0"/>
    <x v="0"/>
    <n v="917340"/>
    <n v="0"/>
    <n v="917340"/>
    <x v="0"/>
    <x v="0"/>
    <x v="0"/>
    <n v="917340"/>
    <n v="0"/>
    <n v="917340"/>
    <x v="0"/>
    <x v="0"/>
    <x v="0"/>
    <x v="0"/>
    <x v="0"/>
  </r>
  <r>
    <x v="7"/>
    <x v="0"/>
    <x v="0"/>
    <x v="0"/>
    <x v="0"/>
    <x v="2"/>
    <x v="2"/>
    <n v="19953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85738 BANCOLOMBIA"/>
    <n v="386396"/>
    <n v="0"/>
    <n v="386396"/>
    <x v="0"/>
    <x v="0"/>
    <x v="0"/>
    <n v="386396"/>
    <n v="0"/>
    <n v="386396"/>
    <x v="0"/>
    <x v="0"/>
    <x v="0"/>
    <n v="386396"/>
    <n v="0"/>
    <n v="386396"/>
    <x v="0"/>
    <x v="0"/>
    <x v="0"/>
    <x v="0"/>
    <x v="0"/>
  </r>
  <r>
    <x v="7"/>
    <x v="0"/>
    <x v="0"/>
    <x v="0"/>
    <x v="0"/>
    <x v="2"/>
    <x v="2"/>
    <n v="19990"/>
    <s v="860007660"/>
    <s v="HELM BANK S.A."/>
    <s v="201904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E CREDITO MES DE MARZO HELM"/>
    <n v="211023.33"/>
    <n v="0"/>
    <n v="211023.33000000002"/>
    <x v="0"/>
    <x v="0"/>
    <x v="0"/>
    <n v="211023.33"/>
    <n v="0"/>
    <n v="211023.33000000002"/>
    <x v="0"/>
    <x v="0"/>
    <x v="0"/>
    <n v="211023.33"/>
    <n v="0"/>
    <n v="211023.33000000002"/>
    <x v="0"/>
    <x v="0"/>
    <x v="0"/>
    <x v="0"/>
    <x v="0"/>
  </r>
  <r>
    <x v="6"/>
    <x v="0"/>
    <x v="0"/>
    <x v="0"/>
    <x v="0"/>
    <x v="2"/>
    <x v="2"/>
    <n v="20106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BANCO DE OCCIDENTE"/>
    <n v="640986"/>
    <n v="0"/>
    <n v="640986"/>
    <x v="0"/>
    <x v="0"/>
    <x v="0"/>
    <n v="640986"/>
    <n v="0"/>
    <n v="640986"/>
    <x v="0"/>
    <x v="0"/>
    <x v="0"/>
    <n v="640986"/>
    <n v="0"/>
    <n v="640986"/>
    <x v="0"/>
    <x v="0"/>
    <x v="0"/>
    <x v="0"/>
    <x v="0"/>
  </r>
  <r>
    <x v="6"/>
    <x v="0"/>
    <x v="0"/>
    <x v="0"/>
    <x v="0"/>
    <x v="2"/>
    <x v="2"/>
    <n v="20108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153224"/>
    <n v="0"/>
    <n v="153224"/>
    <x v="0"/>
    <x v="0"/>
    <x v="0"/>
    <n v="153224"/>
    <n v="0"/>
    <n v="153224"/>
    <x v="0"/>
    <x v="0"/>
    <x v="0"/>
    <n v="153224"/>
    <n v="0"/>
    <n v="153224"/>
    <x v="0"/>
    <x v="0"/>
    <x v="0"/>
    <x v="0"/>
    <x v="0"/>
  </r>
  <r>
    <x v="6"/>
    <x v="0"/>
    <x v="0"/>
    <x v="0"/>
    <x v="0"/>
    <x v="2"/>
    <x v="2"/>
    <n v="20109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25183"/>
    <n v="0"/>
    <n v="1225183"/>
    <x v="0"/>
    <x v="0"/>
    <x v="0"/>
    <n v="1225183"/>
    <n v="0"/>
    <n v="1225183"/>
    <x v="0"/>
    <x v="0"/>
    <x v="0"/>
    <n v="1225183"/>
    <n v="0"/>
    <n v="1225183"/>
    <x v="0"/>
    <x v="0"/>
    <x v="0"/>
    <x v="0"/>
    <x v="0"/>
  </r>
  <r>
    <x v="6"/>
    <x v="0"/>
    <x v="0"/>
    <x v="0"/>
    <x v="0"/>
    <x v="2"/>
    <x v="2"/>
    <n v="20110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73683"/>
    <n v="0"/>
    <n v="673683"/>
    <x v="0"/>
    <x v="0"/>
    <x v="0"/>
    <n v="673683"/>
    <n v="0"/>
    <n v="673683"/>
    <x v="0"/>
    <x v="0"/>
    <x v="0"/>
    <n v="673683"/>
    <n v="0"/>
    <n v="673683"/>
    <x v="0"/>
    <x v="0"/>
    <x v="0"/>
    <x v="0"/>
    <x v="0"/>
  </r>
  <r>
    <x v="6"/>
    <x v="0"/>
    <x v="0"/>
    <x v="0"/>
    <x v="0"/>
    <x v="2"/>
    <x v="2"/>
    <n v="20113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AV VILLAS"/>
    <n v="506107"/>
    <n v="0"/>
    <n v="506107"/>
    <x v="0"/>
    <x v="0"/>
    <x v="0"/>
    <n v="506107"/>
    <n v="0"/>
    <n v="506107"/>
    <x v="0"/>
    <x v="0"/>
    <x v="0"/>
    <n v="506107"/>
    <n v="0"/>
    <n v="506107"/>
    <x v="0"/>
    <x v="0"/>
    <x v="0"/>
    <x v="0"/>
    <x v="0"/>
  </r>
  <r>
    <x v="6"/>
    <x v="0"/>
    <x v="0"/>
    <x v="0"/>
    <x v="0"/>
    <x v="2"/>
    <x v="2"/>
    <n v="20115"/>
    <s v="860002964"/>
    <s v="BANCO DE BOGOT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13070.51"/>
    <n v="0"/>
    <n v="113070.51000000001"/>
    <x v="0"/>
    <x v="0"/>
    <x v="0"/>
    <n v="113070.51"/>
    <n v="0"/>
    <n v="113070.51000000001"/>
    <x v="0"/>
    <x v="0"/>
    <x v="0"/>
    <n v="113070.51"/>
    <n v="0"/>
    <n v="113070.51000000001"/>
    <x v="0"/>
    <x v="0"/>
    <x v="0"/>
    <x v="0"/>
    <x v="0"/>
  </r>
  <r>
    <x v="6"/>
    <x v="0"/>
    <x v="0"/>
    <x v="0"/>
    <x v="0"/>
    <x v="2"/>
    <x v="2"/>
    <n v="20159"/>
    <s v="890903938"/>
    <s v="BANCOLOMBIA S.A."/>
    <s v="201905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OBLIGACION 8263"/>
    <n v="2223174"/>
    <n v="0"/>
    <n v="2223174"/>
    <x v="0"/>
    <x v="0"/>
    <x v="0"/>
    <n v="2223174"/>
    <n v="0"/>
    <n v="2223174"/>
    <x v="0"/>
    <x v="0"/>
    <x v="0"/>
    <n v="2223174"/>
    <n v="0"/>
    <n v="2223174"/>
    <x v="0"/>
    <x v="0"/>
    <x v="0"/>
    <x v="0"/>
    <x v="0"/>
  </r>
  <r>
    <x v="6"/>
    <x v="0"/>
    <x v="0"/>
    <x v="0"/>
    <x v="0"/>
    <x v="2"/>
    <x v="2"/>
    <n v="20211"/>
    <s v="860002964"/>
    <s v="BANCO DE BOGOTA S.A."/>
    <s v="201905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659284   BANCO DE BOGOTA"/>
    <n v="328522.71999999997"/>
    <n v="0"/>
    <n v="328522.72000000003"/>
    <x v="0"/>
    <x v="0"/>
    <x v="0"/>
    <n v="328522.71999999997"/>
    <n v="0"/>
    <n v="328522.72000000003"/>
    <x v="0"/>
    <x v="0"/>
    <x v="0"/>
    <n v="328522.71999999997"/>
    <n v="0"/>
    <n v="328522.72000000003"/>
    <x v="0"/>
    <x v="0"/>
    <x v="0"/>
    <x v="0"/>
    <x v="0"/>
  </r>
  <r>
    <x v="6"/>
    <x v="0"/>
    <x v="0"/>
    <x v="0"/>
    <x v="0"/>
    <x v="2"/>
    <x v="2"/>
    <n v="20275"/>
    <s v="890903938"/>
    <s v="BANCOLOMBIA S.A."/>
    <s v="201905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195962- CUOTA 29"/>
    <n v="270500"/>
    <n v="0"/>
    <n v="270500"/>
    <x v="0"/>
    <x v="0"/>
    <x v="0"/>
    <n v="270500"/>
    <n v="0"/>
    <n v="270500"/>
    <x v="0"/>
    <x v="0"/>
    <x v="0"/>
    <n v="270500"/>
    <n v="0"/>
    <n v="270500"/>
    <x v="0"/>
    <x v="0"/>
    <x v="0"/>
    <x v="0"/>
    <x v="0"/>
  </r>
  <r>
    <x v="6"/>
    <x v="0"/>
    <x v="0"/>
    <x v="0"/>
    <x v="0"/>
    <x v="2"/>
    <x v="2"/>
    <n v="20235"/>
    <s v="890300279"/>
    <s v="BANCO DE OCCIDENTE."/>
    <s v="201905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58687"/>
    <n v="0"/>
    <n v="58687"/>
    <x v="0"/>
    <x v="0"/>
    <x v="0"/>
    <n v="58687"/>
    <n v="0"/>
    <n v="58687"/>
    <x v="0"/>
    <x v="0"/>
    <x v="0"/>
    <n v="58687"/>
    <n v="0"/>
    <n v="58687"/>
    <x v="0"/>
    <x v="0"/>
    <x v="0"/>
    <x v="0"/>
    <x v="0"/>
  </r>
  <r>
    <x v="2"/>
    <x v="0"/>
    <x v="0"/>
    <x v="0"/>
    <x v="0"/>
    <x v="2"/>
    <x v="2"/>
    <n v="20316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ON CUOTA DE BCO DE OCCIDENTE- PENDIENTES DE MARZO 2019"/>
    <n v="88038"/>
    <n v="0"/>
    <n v="88038"/>
    <x v="0"/>
    <x v="0"/>
    <x v="0"/>
    <n v="88038"/>
    <n v="0"/>
    <n v="88038"/>
    <x v="0"/>
    <x v="0"/>
    <x v="0"/>
    <n v="88038"/>
    <n v="0"/>
    <n v="88038"/>
    <x v="0"/>
    <x v="0"/>
    <x v="0"/>
    <x v="0"/>
    <x v="0"/>
  </r>
  <r>
    <x v="2"/>
    <x v="0"/>
    <x v="0"/>
    <x v="0"/>
    <x v="0"/>
    <x v="2"/>
    <x v="2"/>
    <n v="20323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VR ABONADO DE MAS EN CAPITAL SE LLEVA A INTERESES- LEASING OCCIDENTE 124073"/>
    <n v="0"/>
    <n v="399179"/>
    <n v="-399179"/>
    <x v="0"/>
    <x v="0"/>
    <x v="0"/>
    <n v="0"/>
    <n v="399179"/>
    <n v="-399179"/>
    <x v="0"/>
    <x v="0"/>
    <x v="0"/>
    <n v="0"/>
    <n v="399179"/>
    <n v="-399179"/>
    <x v="0"/>
    <x v="0"/>
    <x v="0"/>
    <x v="0"/>
    <x v="0"/>
  </r>
  <r>
    <x v="2"/>
    <x v="0"/>
    <x v="0"/>
    <x v="0"/>
    <x v="0"/>
    <x v="2"/>
    <x v="2"/>
    <n v="20272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52841"/>
    <n v="0"/>
    <n v="452841"/>
    <x v="0"/>
    <x v="0"/>
    <x v="0"/>
    <n v="452841"/>
    <n v="0"/>
    <n v="452841"/>
    <x v="0"/>
    <x v="0"/>
    <x v="0"/>
    <n v="452841"/>
    <n v="0"/>
    <n v="452841"/>
    <x v="0"/>
    <x v="0"/>
    <x v="0"/>
    <x v="0"/>
    <x v="0"/>
  </r>
  <r>
    <x v="2"/>
    <x v="0"/>
    <x v="0"/>
    <x v="0"/>
    <x v="0"/>
    <x v="2"/>
    <x v="2"/>
    <n v="20273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28013"/>
    <n v="0"/>
    <n v="628013"/>
    <x v="0"/>
    <x v="0"/>
    <x v="0"/>
    <n v="628013"/>
    <n v="0"/>
    <n v="628013"/>
    <x v="0"/>
    <x v="0"/>
    <x v="0"/>
    <n v="628013"/>
    <n v="0"/>
    <n v="628013"/>
    <x v="0"/>
    <x v="0"/>
    <x v="0"/>
    <x v="0"/>
    <x v="0"/>
  </r>
  <r>
    <x v="2"/>
    <x v="0"/>
    <x v="0"/>
    <x v="0"/>
    <x v="0"/>
    <x v="2"/>
    <x v="2"/>
    <n v="20274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 AV VILLAS"/>
    <n v="622874"/>
    <n v="0"/>
    <n v="622874"/>
    <x v="0"/>
    <x v="0"/>
    <x v="0"/>
    <n v="622874"/>
    <n v="0"/>
    <n v="622874"/>
    <x v="0"/>
    <x v="0"/>
    <x v="0"/>
    <n v="622874"/>
    <n v="0"/>
    <n v="622874"/>
    <x v="0"/>
    <x v="0"/>
    <x v="0"/>
    <x v="0"/>
    <x v="0"/>
  </r>
  <r>
    <x v="2"/>
    <x v="0"/>
    <x v="0"/>
    <x v="0"/>
    <x v="0"/>
    <x v="2"/>
    <x v="2"/>
    <n v="20302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AV VILLAS"/>
    <n v="70015"/>
    <n v="0"/>
    <n v="70015"/>
    <x v="0"/>
    <x v="0"/>
    <x v="0"/>
    <n v="70015"/>
    <n v="0"/>
    <n v="70015"/>
    <x v="0"/>
    <x v="0"/>
    <x v="0"/>
    <n v="70015"/>
    <n v="0"/>
    <n v="70015"/>
    <x v="0"/>
    <x v="0"/>
    <x v="0"/>
    <x v="0"/>
    <x v="0"/>
  </r>
  <r>
    <x v="2"/>
    <x v="0"/>
    <x v="0"/>
    <x v="0"/>
    <x v="0"/>
    <x v="2"/>
    <x v="2"/>
    <n v="20303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01197"/>
    <n v="0"/>
    <n v="1201197"/>
    <x v="0"/>
    <x v="0"/>
    <x v="0"/>
    <n v="1201197"/>
    <n v="0"/>
    <n v="1201197"/>
    <x v="0"/>
    <x v="0"/>
    <x v="0"/>
    <n v="1201197"/>
    <n v="0"/>
    <n v="1201197"/>
    <x v="0"/>
    <x v="0"/>
    <x v="0"/>
    <x v="0"/>
    <x v="0"/>
  </r>
  <r>
    <x v="2"/>
    <x v="0"/>
    <x v="0"/>
    <x v="0"/>
    <x v="0"/>
    <x v="2"/>
    <x v="2"/>
    <n v="20304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  AV VILLAS"/>
    <n v="309302"/>
    <n v="0"/>
    <n v="309302"/>
    <x v="0"/>
    <x v="0"/>
    <x v="0"/>
    <n v="309302"/>
    <n v="0"/>
    <n v="309302"/>
    <x v="0"/>
    <x v="0"/>
    <x v="0"/>
    <n v="309302"/>
    <n v="0"/>
    <n v="309302"/>
    <x v="0"/>
    <x v="0"/>
    <x v="0"/>
    <x v="0"/>
    <x v="0"/>
  </r>
  <r>
    <x v="2"/>
    <x v="0"/>
    <x v="0"/>
    <x v="0"/>
    <x v="0"/>
    <x v="2"/>
    <x v="2"/>
    <n v="20321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307194.63"/>
    <n v="0"/>
    <n v="307194.63"/>
    <x v="0"/>
    <x v="0"/>
    <x v="0"/>
    <n v="307194.63"/>
    <n v="0"/>
    <n v="307194.63"/>
    <x v="0"/>
    <x v="0"/>
    <x v="0"/>
    <n v="307194.63"/>
    <n v="0"/>
    <n v="307194.63"/>
    <x v="0"/>
    <x v="0"/>
    <x v="0"/>
    <x v="0"/>
    <x v="0"/>
  </r>
  <r>
    <x v="2"/>
    <x v="0"/>
    <x v="0"/>
    <x v="0"/>
    <x v="0"/>
    <x v="2"/>
    <x v="2"/>
    <n v="20324"/>
    <s v="860035827"/>
    <s v="BANCO AV VILLAS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VALORES NO APLICADOS EN OBLIGACION FINANCIERA-"/>
    <n v="0"/>
    <n v="5574045"/>
    <n v="-5574045"/>
    <x v="0"/>
    <x v="0"/>
    <x v="0"/>
    <n v="0"/>
    <n v="5574045"/>
    <n v="-5574045"/>
    <x v="0"/>
    <x v="0"/>
    <x v="0"/>
    <n v="0"/>
    <n v="5574045"/>
    <n v="-5574045"/>
    <x v="0"/>
    <x v="0"/>
    <x v="0"/>
    <x v="0"/>
    <x v="0"/>
  </r>
  <r>
    <x v="2"/>
    <x v="0"/>
    <x v="0"/>
    <x v="0"/>
    <x v="0"/>
    <x v="2"/>
    <x v="2"/>
    <n v="20325"/>
    <s v="860002964"/>
    <s v="BANCO DE BOGOTA S.A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9"/>
    <x v="9"/>
    <x v="2"/>
    <x v="2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CO BOGOTA- SE RECLASIFICA VR CUOTA E INTERES CUOTA OBLIGACION 9284"/>
    <n v="0"/>
    <n v="2083333"/>
    <n v="-2083333"/>
    <x v="0"/>
    <x v="0"/>
    <x v="0"/>
    <n v="0"/>
    <n v="2083333"/>
    <n v="-2083333"/>
    <x v="0"/>
    <x v="0"/>
    <x v="0"/>
    <n v="0"/>
    <n v="2083333"/>
    <n v="-2083333"/>
    <x v="0"/>
    <x v="0"/>
    <x v="0"/>
    <x v="0"/>
    <x v="0"/>
  </r>
  <r>
    <x v="2"/>
    <x v="0"/>
    <x v="0"/>
    <x v="0"/>
    <x v="0"/>
    <x v="2"/>
    <x v="2"/>
    <n v="20311"/>
    <s v="890903938"/>
    <s v="BANCOLOMBIA S.A."/>
    <s v="201906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0  BANCOLOMBIA"/>
    <n v="258959"/>
    <n v="0"/>
    <n v="258959"/>
    <x v="0"/>
    <x v="0"/>
    <x v="0"/>
    <n v="258959"/>
    <n v="0"/>
    <n v="258959"/>
    <x v="0"/>
    <x v="0"/>
    <x v="0"/>
    <n v="258959"/>
    <n v="0"/>
    <n v="258959"/>
    <x v="0"/>
    <x v="0"/>
    <x v="0"/>
    <x v="0"/>
    <x v="0"/>
  </r>
  <r>
    <x v="2"/>
    <x v="0"/>
    <x v="0"/>
    <x v="0"/>
    <x v="0"/>
    <x v="2"/>
    <x v="2"/>
    <n v="20317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   BANCO DE OCCIDENTE"/>
    <n v="29305"/>
    <n v="0"/>
    <n v="29305"/>
    <x v="0"/>
    <x v="0"/>
    <x v="0"/>
    <n v="29305"/>
    <n v="0"/>
    <n v="29305"/>
    <x v="0"/>
    <x v="0"/>
    <x v="0"/>
    <n v="29305"/>
    <n v="0"/>
    <n v="29305"/>
    <x v="0"/>
    <x v="0"/>
    <x v="0"/>
    <x v="0"/>
    <x v="0"/>
  </r>
  <r>
    <x v="2"/>
    <x v="0"/>
    <x v="0"/>
    <x v="0"/>
    <x v="0"/>
    <x v="2"/>
    <x v="2"/>
    <n v="20318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  BANCO DE OCCIDENTE"/>
    <n v="593576"/>
    <n v="0"/>
    <n v="593576"/>
    <x v="0"/>
    <x v="0"/>
    <x v="0"/>
    <n v="593576"/>
    <n v="0"/>
    <n v="593576"/>
    <x v="0"/>
    <x v="0"/>
    <x v="0"/>
    <n v="593576"/>
    <n v="0"/>
    <n v="593576"/>
    <x v="0"/>
    <x v="0"/>
    <x v="0"/>
    <x v="0"/>
    <x v="0"/>
  </r>
  <r>
    <x v="2"/>
    <x v="0"/>
    <x v="0"/>
    <x v="0"/>
    <x v="0"/>
    <x v="2"/>
    <x v="2"/>
    <n v="20320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96856.13"/>
    <n v="0"/>
    <n v="96856.13"/>
    <x v="0"/>
    <x v="0"/>
    <x v="0"/>
    <n v="96856.13"/>
    <n v="0"/>
    <n v="96856.13"/>
    <x v="0"/>
    <x v="0"/>
    <x v="0"/>
    <n v="96856.13"/>
    <n v="0"/>
    <n v="96856.13"/>
    <x v="0"/>
    <x v="0"/>
    <x v="0"/>
    <x v="0"/>
    <x v="0"/>
  </r>
  <r>
    <x v="2"/>
    <x v="0"/>
    <x v="0"/>
    <x v="0"/>
    <x v="0"/>
    <x v="2"/>
    <x v="2"/>
    <n v="20306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 BANCOLOMBIA"/>
    <n v="203317"/>
    <n v="0"/>
    <n v="203317"/>
    <x v="0"/>
    <x v="0"/>
    <x v="0"/>
    <n v="203317"/>
    <n v="0"/>
    <n v="203317"/>
    <x v="0"/>
    <x v="0"/>
    <x v="0"/>
    <n v="203317"/>
    <n v="0"/>
    <n v="203317"/>
    <x v="0"/>
    <x v="0"/>
    <x v="0"/>
    <x v="0"/>
    <x v="0"/>
  </r>
  <r>
    <x v="2"/>
    <x v="0"/>
    <x v="0"/>
    <x v="0"/>
    <x v="0"/>
    <x v="2"/>
    <x v="2"/>
    <n v="20307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 187498  BANCOLOMBIA"/>
    <n v="54724"/>
    <n v="0"/>
    <n v="54724"/>
    <x v="0"/>
    <x v="0"/>
    <x v="0"/>
    <n v="54724"/>
    <n v="0"/>
    <n v="54724"/>
    <x v="0"/>
    <x v="0"/>
    <x v="0"/>
    <n v="54724"/>
    <n v="0"/>
    <n v="54724"/>
    <x v="0"/>
    <x v="0"/>
    <x v="0"/>
    <x v="0"/>
    <x v="0"/>
  </r>
  <r>
    <x v="2"/>
    <x v="0"/>
    <x v="0"/>
    <x v="0"/>
    <x v="0"/>
    <x v="2"/>
    <x v="2"/>
    <n v="20308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4268 BANCOLOMBIA"/>
    <n v="809373"/>
    <n v="0"/>
    <n v="809373"/>
    <x v="0"/>
    <x v="0"/>
    <x v="0"/>
    <n v="809373"/>
    <n v="0"/>
    <n v="809373"/>
    <x v="0"/>
    <x v="0"/>
    <x v="0"/>
    <n v="809373"/>
    <n v="0"/>
    <n v="809373"/>
    <x v="0"/>
    <x v="0"/>
    <x v="0"/>
    <x v="0"/>
    <x v="0"/>
  </r>
  <r>
    <x v="2"/>
    <x v="0"/>
    <x v="0"/>
    <x v="0"/>
    <x v="0"/>
    <x v="2"/>
    <x v="2"/>
    <n v="20309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BANCOLOMBIA"/>
    <n v="2087823"/>
    <n v="0"/>
    <n v="2087823"/>
    <x v="0"/>
    <x v="0"/>
    <x v="0"/>
    <n v="2087823"/>
    <n v="0"/>
    <n v="2087823"/>
    <x v="0"/>
    <x v="0"/>
    <x v="0"/>
    <n v="2087823"/>
    <n v="0"/>
    <n v="2087823"/>
    <x v="0"/>
    <x v="0"/>
    <x v="0"/>
    <x v="0"/>
    <x v="0"/>
  </r>
  <r>
    <x v="2"/>
    <x v="0"/>
    <x v="0"/>
    <x v="0"/>
    <x v="0"/>
    <x v="2"/>
    <x v="2"/>
    <n v="20343"/>
    <s v="860007660"/>
    <s v="HELM BANK S.A."/>
    <s v="201906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ROTATIVO"/>
    <n v="1720095"/>
    <n v="0"/>
    <n v="1720095"/>
    <x v="0"/>
    <x v="0"/>
    <x v="0"/>
    <n v="1720095"/>
    <n v="0"/>
    <n v="1720095"/>
    <x v="0"/>
    <x v="0"/>
    <x v="0"/>
    <n v="1720095"/>
    <n v="0"/>
    <n v="1720095"/>
    <x v="0"/>
    <x v="0"/>
    <x v="0"/>
    <x v="0"/>
    <x v="0"/>
  </r>
  <r>
    <x v="2"/>
    <x v="0"/>
    <x v="0"/>
    <x v="0"/>
    <x v="0"/>
    <x v="2"/>
    <x v="2"/>
    <n v="20397"/>
    <s v="860007660"/>
    <s v="HELM BANK S.A."/>
    <s v="201906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TERES CREDITO ROTATIVO"/>
    <n v="593566.31999999995"/>
    <n v="0"/>
    <n v="593566.32000000007"/>
    <x v="0"/>
    <x v="0"/>
    <x v="0"/>
    <n v="593566.31999999995"/>
    <n v="0"/>
    <n v="593566.32000000007"/>
    <x v="0"/>
    <x v="0"/>
    <x v="0"/>
    <n v="593566.31999999995"/>
    <n v="0"/>
    <n v="593566.32000000007"/>
    <x v="0"/>
    <x v="0"/>
    <x v="0"/>
    <x v="0"/>
    <x v="0"/>
  </r>
  <r>
    <x v="3"/>
    <x v="0"/>
    <x v="0"/>
    <x v="0"/>
    <x v="0"/>
    <x v="2"/>
    <x v="2"/>
    <n v="20368"/>
    <s v="860002964"/>
    <s v="BANCO DE BOGOTA S.A."/>
    <s v="201907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3"/>
    <x v="0"/>
    <x v="0"/>
    <x v="0"/>
    <x v="0"/>
    <x v="2"/>
    <x v="2"/>
    <n v="20400"/>
    <s v="890903938"/>
    <s v="BANCOLOMBIA S.A."/>
    <s v="201907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205450 BANCOLOMBIA CUOTA 19"/>
    <n v="195056"/>
    <n v="0"/>
    <n v="195056"/>
    <x v="0"/>
    <x v="0"/>
    <x v="0"/>
    <n v="195056"/>
    <n v="0"/>
    <n v="195056"/>
    <x v="0"/>
    <x v="0"/>
    <x v="0"/>
    <n v="195056"/>
    <n v="0"/>
    <n v="195056"/>
    <x v="0"/>
    <x v="0"/>
    <x v="0"/>
    <x v="0"/>
    <x v="0"/>
  </r>
  <r>
    <x v="3"/>
    <x v="0"/>
    <x v="0"/>
    <x v="0"/>
    <x v="0"/>
    <x v="2"/>
    <x v="2"/>
    <n v="20449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63289"/>
    <n v="0"/>
    <n v="763289"/>
    <x v="0"/>
    <x v="0"/>
    <x v="0"/>
    <n v="763289"/>
    <n v="0"/>
    <n v="763289"/>
    <x v="0"/>
    <x v="0"/>
    <x v="0"/>
    <n v="763289"/>
    <n v="0"/>
    <n v="763289"/>
    <x v="0"/>
    <x v="0"/>
    <x v="0"/>
    <x v="0"/>
    <x v="0"/>
  </r>
  <r>
    <x v="3"/>
    <x v="0"/>
    <x v="0"/>
    <x v="0"/>
    <x v="0"/>
    <x v="2"/>
    <x v="2"/>
    <n v="20450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79393"/>
    <n v="0"/>
    <n v="279393"/>
    <x v="0"/>
    <x v="0"/>
    <x v="0"/>
    <n v="279393"/>
    <n v="0"/>
    <n v="279393"/>
    <x v="0"/>
    <x v="0"/>
    <x v="0"/>
    <n v="279393"/>
    <n v="0"/>
    <n v="279393"/>
    <x v="0"/>
    <x v="0"/>
    <x v="0"/>
    <x v="0"/>
    <x v="0"/>
  </r>
  <r>
    <x v="3"/>
    <x v="0"/>
    <x v="0"/>
    <x v="0"/>
    <x v="0"/>
    <x v="2"/>
    <x v="2"/>
    <n v="20451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950895"/>
    <n v="0"/>
    <n v="1950895"/>
    <x v="0"/>
    <x v="0"/>
    <x v="0"/>
    <n v="1950895"/>
    <n v="0"/>
    <n v="1950895"/>
    <x v="0"/>
    <x v="0"/>
    <x v="0"/>
    <n v="1950895"/>
    <n v="0"/>
    <n v="1950895"/>
    <x v="0"/>
    <x v="0"/>
    <x v="0"/>
    <x v="0"/>
    <x v="0"/>
  </r>
  <r>
    <x v="3"/>
    <x v="0"/>
    <x v="0"/>
    <x v="0"/>
    <x v="0"/>
    <x v="2"/>
    <x v="2"/>
    <n v="20453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80"/>
    <n v="246808"/>
    <n v="0"/>
    <n v="246808"/>
    <x v="0"/>
    <x v="0"/>
    <x v="0"/>
    <n v="246808"/>
    <n v="0"/>
    <n v="246808"/>
    <x v="0"/>
    <x v="0"/>
    <x v="0"/>
    <n v="246808"/>
    <n v="0"/>
    <n v="246808"/>
    <x v="0"/>
    <x v="0"/>
    <x v="0"/>
    <x v="0"/>
    <x v="0"/>
  </r>
  <r>
    <x v="3"/>
    <x v="0"/>
    <x v="0"/>
    <x v="0"/>
    <x v="0"/>
    <x v="2"/>
    <x v="2"/>
    <n v="20454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90552"/>
    <n v="0"/>
    <n v="590552"/>
    <x v="0"/>
    <x v="0"/>
    <x v="0"/>
    <n v="590552"/>
    <n v="0"/>
    <n v="590552"/>
    <x v="0"/>
    <x v="0"/>
    <x v="0"/>
    <n v="590552"/>
    <n v="0"/>
    <n v="590552"/>
    <x v="0"/>
    <x v="0"/>
    <x v="0"/>
    <x v="0"/>
    <x v="0"/>
  </r>
  <r>
    <x v="3"/>
    <x v="0"/>
    <x v="0"/>
    <x v="0"/>
    <x v="0"/>
    <x v="2"/>
    <x v="2"/>
    <n v="20456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07082"/>
    <n v="0"/>
    <n v="407082"/>
    <x v="0"/>
    <x v="0"/>
    <x v="0"/>
    <n v="407082"/>
    <n v="0"/>
    <n v="407082"/>
    <x v="0"/>
    <x v="0"/>
    <x v="0"/>
    <n v="407082"/>
    <n v="0"/>
    <n v="407082"/>
    <x v="0"/>
    <x v="0"/>
    <x v="0"/>
    <x v="0"/>
    <x v="0"/>
  </r>
  <r>
    <x v="3"/>
    <x v="0"/>
    <x v="0"/>
    <x v="0"/>
    <x v="0"/>
    <x v="2"/>
    <x v="2"/>
    <n v="20457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-8  OCCIDENTE"/>
    <n v="546835"/>
    <n v="0"/>
    <n v="546835"/>
    <x v="0"/>
    <x v="0"/>
    <x v="0"/>
    <n v="546835"/>
    <n v="0"/>
    <n v="546835"/>
    <x v="0"/>
    <x v="0"/>
    <x v="0"/>
    <n v="546835"/>
    <n v="0"/>
    <n v="546835"/>
    <x v="0"/>
    <x v="0"/>
    <x v="0"/>
    <x v="0"/>
    <x v="0"/>
  </r>
  <r>
    <x v="3"/>
    <x v="0"/>
    <x v="0"/>
    <x v="0"/>
    <x v="0"/>
    <x v="2"/>
    <x v="2"/>
    <n v="20464"/>
    <s v="860035827"/>
    <s v="BANCO AV VILLAS"/>
    <s v="201907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70968"/>
    <n v="0"/>
    <n v="1170968"/>
    <x v="0"/>
    <x v="0"/>
    <x v="0"/>
    <n v="1170968"/>
    <n v="0"/>
    <n v="1170968"/>
    <x v="0"/>
    <x v="0"/>
    <x v="0"/>
    <n v="1170968"/>
    <n v="0"/>
    <n v="1170968"/>
    <x v="0"/>
    <x v="0"/>
    <x v="0"/>
    <x v="0"/>
    <x v="0"/>
  </r>
  <r>
    <x v="3"/>
    <x v="0"/>
    <x v="0"/>
    <x v="0"/>
    <x v="0"/>
    <x v="2"/>
    <x v="2"/>
    <n v="20470"/>
    <s v="890300279"/>
    <s v="BANCO DE OCCIDENTE."/>
    <s v="201907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128580  DEL MES DE JUNIO ATRARZADA"/>
    <n v="254219"/>
    <n v="0"/>
    <n v="254219"/>
    <x v="0"/>
    <x v="0"/>
    <x v="0"/>
    <n v="254219"/>
    <n v="0"/>
    <n v="254219"/>
    <x v="0"/>
    <x v="0"/>
    <x v="0"/>
    <n v="254219"/>
    <n v="0"/>
    <n v="254219"/>
    <x v="0"/>
    <x v="0"/>
    <x v="0"/>
    <x v="0"/>
    <x v="0"/>
  </r>
  <r>
    <x v="3"/>
    <x v="0"/>
    <x v="0"/>
    <x v="0"/>
    <x v="0"/>
    <x v="2"/>
    <x v="2"/>
    <n v="20495"/>
    <s v="860002964"/>
    <s v="BANCO DE BOGOTA S.A."/>
    <s v="201907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 BOGOTA"/>
    <n v="286118.95"/>
    <n v="0"/>
    <n v="286118.95"/>
    <x v="0"/>
    <x v="0"/>
    <x v="0"/>
    <n v="286118.95"/>
    <n v="0"/>
    <n v="286118.95"/>
    <x v="0"/>
    <x v="0"/>
    <x v="0"/>
    <n v="286118.95"/>
    <n v="0"/>
    <n v="286118.95"/>
    <x v="0"/>
    <x v="0"/>
    <x v="0"/>
    <x v="0"/>
    <x v="0"/>
  </r>
  <r>
    <x v="3"/>
    <x v="0"/>
    <x v="0"/>
    <x v="0"/>
    <x v="0"/>
    <x v="2"/>
    <x v="2"/>
    <n v="20498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51613"/>
    <n v="0"/>
    <n v="51613"/>
    <x v="0"/>
    <x v="0"/>
    <x v="0"/>
    <n v="51613"/>
    <n v="0"/>
    <n v="51613"/>
    <x v="0"/>
    <x v="0"/>
    <x v="0"/>
    <n v="51613"/>
    <n v="0"/>
    <n v="51613"/>
    <x v="0"/>
    <x v="0"/>
    <x v="0"/>
    <x v="0"/>
    <x v="0"/>
  </r>
  <r>
    <x v="3"/>
    <x v="0"/>
    <x v="0"/>
    <x v="0"/>
    <x v="0"/>
    <x v="2"/>
    <x v="2"/>
    <n v="20499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"/>
    <n v="245087"/>
    <n v="0"/>
    <n v="245087"/>
    <x v="0"/>
    <x v="0"/>
    <x v="0"/>
    <n v="245087"/>
    <n v="0"/>
    <n v="245087"/>
    <x v="0"/>
    <x v="0"/>
    <x v="0"/>
    <n v="245087"/>
    <n v="0"/>
    <n v="245087"/>
    <x v="0"/>
    <x v="0"/>
    <x v="0"/>
    <x v="0"/>
    <x v="0"/>
  </r>
  <r>
    <x v="3"/>
    <x v="0"/>
    <x v="0"/>
    <x v="0"/>
    <x v="0"/>
    <x v="2"/>
    <x v="2"/>
    <n v="20594"/>
    <s v="860002964"/>
    <s v="BANCO DE BOGOTA S.A."/>
    <s v="201907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4"/>
    <x v="0"/>
    <x v="0"/>
    <x v="0"/>
    <x v="0"/>
    <x v="2"/>
    <x v="2"/>
    <n v="20578"/>
    <s v="860002964"/>
    <s v="BANCO DE BOGOT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CUOTA 21"/>
    <n v="64394.69"/>
    <n v="0"/>
    <n v="64394.69"/>
    <x v="0"/>
    <x v="0"/>
    <x v="0"/>
    <n v="64394.69"/>
    <n v="0"/>
    <n v="64394.69"/>
    <x v="0"/>
    <x v="0"/>
    <x v="0"/>
    <n v="64394.69"/>
    <n v="0"/>
    <n v="64394.69"/>
    <x v="0"/>
    <x v="0"/>
    <x v="0"/>
    <x v="0"/>
    <x v="0"/>
  </r>
  <r>
    <x v="4"/>
    <x v="0"/>
    <x v="0"/>
    <x v="0"/>
    <x v="0"/>
    <x v="2"/>
    <x v="2"/>
    <n v="20579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06599"/>
    <n v="0"/>
    <n v="1106599"/>
    <x v="0"/>
    <x v="0"/>
    <x v="0"/>
    <n v="1106599"/>
    <n v="0"/>
    <n v="1106599"/>
    <x v="0"/>
    <x v="0"/>
    <x v="0"/>
    <n v="1106599"/>
    <n v="0"/>
    <n v="1106599"/>
    <x v="0"/>
    <x v="0"/>
    <x v="0"/>
    <x v="0"/>
    <x v="0"/>
  </r>
  <r>
    <x v="4"/>
    <x v="0"/>
    <x v="0"/>
    <x v="0"/>
    <x v="0"/>
    <x v="2"/>
    <x v="2"/>
    <n v="20580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35809"/>
    <n v="0"/>
    <n v="535809"/>
    <x v="0"/>
    <x v="0"/>
    <x v="0"/>
    <n v="535809"/>
    <n v="0"/>
    <n v="535809"/>
    <x v="0"/>
    <x v="0"/>
    <x v="0"/>
    <n v="535809"/>
    <n v="0"/>
    <n v="535809"/>
    <x v="0"/>
    <x v="0"/>
    <x v="0"/>
    <x v="0"/>
    <x v="0"/>
  </r>
  <r>
    <x v="4"/>
    <x v="0"/>
    <x v="0"/>
    <x v="0"/>
    <x v="0"/>
    <x v="2"/>
    <x v="2"/>
    <n v="20581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 AV VILLAS"/>
    <n v="345776"/>
    <n v="0"/>
    <n v="345776"/>
    <x v="0"/>
    <x v="0"/>
    <x v="0"/>
    <n v="345776"/>
    <n v="0"/>
    <n v="345776"/>
    <x v="0"/>
    <x v="0"/>
    <x v="0"/>
    <n v="345776"/>
    <n v="0"/>
    <n v="345776"/>
    <x v="0"/>
    <x v="0"/>
    <x v="0"/>
    <x v="0"/>
    <x v="0"/>
  </r>
  <r>
    <x v="4"/>
    <x v="0"/>
    <x v="0"/>
    <x v="0"/>
    <x v="0"/>
    <x v="2"/>
    <x v="2"/>
    <n v="20584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259  mes de agosto del 2019"/>
    <n v="1494791"/>
    <n v="0"/>
    <n v="1494791"/>
    <x v="0"/>
    <x v="0"/>
    <x v="0"/>
    <n v="1494791"/>
    <n v="0"/>
    <n v="1494791"/>
    <x v="0"/>
    <x v="0"/>
    <x v="0"/>
    <n v="1494791"/>
    <n v="0"/>
    <n v="1494791"/>
    <x v="0"/>
    <x v="0"/>
    <x v="0"/>
    <x v="0"/>
    <x v="0"/>
  </r>
  <r>
    <x v="4"/>
    <x v="0"/>
    <x v="0"/>
    <x v="0"/>
    <x v="0"/>
    <x v="2"/>
    <x v="2"/>
    <n v="20585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39149"/>
    <n v="0"/>
    <n v="239149"/>
    <x v="0"/>
    <x v="0"/>
    <x v="0"/>
    <n v="239149"/>
    <n v="0"/>
    <n v="239149"/>
    <x v="0"/>
    <x v="0"/>
    <x v="0"/>
    <n v="239149"/>
    <n v="0"/>
    <n v="239149"/>
    <x v="0"/>
    <x v="0"/>
    <x v="0"/>
    <x v="0"/>
    <x v="0"/>
  </r>
  <r>
    <x v="4"/>
    <x v="0"/>
    <x v="0"/>
    <x v="0"/>
    <x v="0"/>
    <x v="2"/>
    <x v="2"/>
    <n v="20586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11278"/>
    <n v="0"/>
    <n v="711278"/>
    <x v="0"/>
    <x v="0"/>
    <x v="0"/>
    <n v="711278"/>
    <n v="0"/>
    <n v="711278"/>
    <x v="0"/>
    <x v="0"/>
    <x v="0"/>
    <n v="711278"/>
    <n v="0"/>
    <n v="711278"/>
    <x v="0"/>
    <x v="0"/>
    <x v="0"/>
    <x v="0"/>
    <x v="0"/>
  </r>
  <r>
    <x v="4"/>
    <x v="0"/>
    <x v="0"/>
    <x v="0"/>
    <x v="0"/>
    <x v="2"/>
    <x v="2"/>
    <n v="20587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 8"/>
    <n v="511070"/>
    <n v="0"/>
    <n v="511070"/>
    <x v="0"/>
    <x v="0"/>
    <x v="0"/>
    <n v="511070"/>
    <n v="0"/>
    <n v="511070"/>
    <x v="0"/>
    <x v="0"/>
    <x v="0"/>
    <n v="511070"/>
    <n v="0"/>
    <n v="511070"/>
    <x v="0"/>
    <x v="0"/>
    <x v="0"/>
    <x v="0"/>
    <x v="0"/>
  </r>
  <r>
    <x v="4"/>
    <x v="0"/>
    <x v="0"/>
    <x v="0"/>
    <x v="0"/>
    <x v="2"/>
    <x v="2"/>
    <n v="20596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0   BANCO DE OCCIDENTE"/>
    <n v="241159"/>
    <n v="0"/>
    <n v="241159"/>
    <x v="0"/>
    <x v="0"/>
    <x v="0"/>
    <n v="241159"/>
    <n v="0"/>
    <n v="241159"/>
    <x v="0"/>
    <x v="0"/>
    <x v="0"/>
    <n v="241159"/>
    <n v="0"/>
    <n v="241159"/>
    <x v="0"/>
    <x v="0"/>
    <x v="0"/>
    <x v="0"/>
    <x v="0"/>
  </r>
  <r>
    <x v="4"/>
    <x v="0"/>
    <x v="0"/>
    <x v="0"/>
    <x v="0"/>
    <x v="2"/>
    <x v="2"/>
    <n v="20608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186999"/>
    <n v="0"/>
    <n v="186999"/>
    <x v="0"/>
    <x v="0"/>
    <x v="0"/>
    <n v="186999"/>
    <n v="0"/>
    <n v="186999"/>
    <x v="0"/>
    <x v="0"/>
    <x v="0"/>
    <n v="186999"/>
    <n v="0"/>
    <n v="186999"/>
    <x v="0"/>
    <x v="0"/>
    <x v="0"/>
    <x v="0"/>
    <x v="0"/>
  </r>
  <r>
    <x v="4"/>
    <x v="0"/>
    <x v="0"/>
    <x v="0"/>
    <x v="0"/>
    <x v="2"/>
    <x v="2"/>
    <n v="20609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47840"/>
    <n v="0"/>
    <n v="47840"/>
    <x v="0"/>
    <x v="0"/>
    <x v="0"/>
    <n v="47840"/>
    <n v="0"/>
    <n v="47840"/>
    <x v="0"/>
    <x v="0"/>
    <x v="0"/>
    <n v="47840"/>
    <n v="0"/>
    <n v="47840"/>
    <x v="0"/>
    <x v="0"/>
    <x v="0"/>
    <x v="0"/>
    <x v="0"/>
  </r>
  <r>
    <x v="4"/>
    <x v="0"/>
    <x v="0"/>
    <x v="0"/>
    <x v="0"/>
    <x v="2"/>
    <x v="2"/>
    <n v="20611"/>
    <s v="860002964"/>
    <s v="BANCO DE BOGOTA S.A."/>
    <s v="201908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267816.62"/>
    <n v="0"/>
    <n v="267816.62"/>
    <x v="0"/>
    <x v="0"/>
    <x v="0"/>
    <n v="267816.62"/>
    <n v="0"/>
    <n v="267816.62"/>
    <x v="0"/>
    <x v="0"/>
    <x v="0"/>
    <n v="267816.62"/>
    <n v="0"/>
    <n v="267816.62"/>
    <x v="0"/>
    <x v="0"/>
    <x v="0"/>
    <x v="0"/>
    <x v="0"/>
  </r>
  <r>
    <x v="4"/>
    <x v="0"/>
    <x v="0"/>
    <x v="0"/>
    <x v="0"/>
    <x v="2"/>
    <x v="2"/>
    <n v="20641"/>
    <s v="860007660"/>
    <s v="HELM BANK S.A."/>
    <s v="201908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HELM BANK - CREDITO ROTATIVO"/>
    <n v="1676732.31"/>
    <n v="0"/>
    <n v="1676732.31"/>
    <x v="0"/>
    <x v="0"/>
    <x v="0"/>
    <n v="1676732.31"/>
    <n v="0"/>
    <n v="1676732.31"/>
    <x v="0"/>
    <x v="0"/>
    <x v="0"/>
    <n v="1676732.31"/>
    <n v="0"/>
    <n v="1676732.31"/>
    <x v="0"/>
    <x v="0"/>
    <x v="0"/>
    <x v="0"/>
    <x v="0"/>
  </r>
  <r>
    <x v="6"/>
    <x v="0"/>
    <x v="0"/>
    <x v="0"/>
    <x v="0"/>
    <x v="2"/>
    <x v="2"/>
    <n v="20184"/>
    <s v="800242106"/>
    <s v="SODIMAC COLOMBIA S.A."/>
    <s v="201905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98479.74"/>
    <n v="0"/>
    <n v="98479.74"/>
    <x v="0"/>
    <x v="0"/>
    <x v="0"/>
    <n v="98479.74"/>
    <n v="0"/>
    <n v="98479.74"/>
    <x v="0"/>
    <x v="0"/>
    <x v="0"/>
    <n v="98479.74"/>
    <n v="0"/>
    <n v="98479.74"/>
    <x v="0"/>
    <x v="0"/>
    <x v="0"/>
    <x v="0"/>
    <x v="0"/>
  </r>
  <r>
    <x v="6"/>
    <x v="0"/>
    <x v="0"/>
    <x v="0"/>
    <x v="0"/>
    <x v="11"/>
    <x v="11"/>
    <n v="26301"/>
    <s v="1036930909"/>
    <s v="ALZATE SANCHEZ NATACHA"/>
    <s v="201905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8+ GASTOS BANCARIOS"/>
    <n v="11677"/>
    <n v="0"/>
    <n v="11677"/>
    <x v="0"/>
    <x v="0"/>
    <x v="0"/>
    <n v="11677"/>
    <n v="0"/>
    <n v="11677"/>
    <x v="0"/>
    <x v="0"/>
    <x v="0"/>
    <n v="11677"/>
    <n v="0"/>
    <n v="11677"/>
    <x v="0"/>
    <x v="0"/>
    <x v="0"/>
    <x v="0"/>
    <x v="0"/>
  </r>
  <r>
    <x v="6"/>
    <x v="0"/>
    <x v="0"/>
    <x v="0"/>
    <x v="0"/>
    <x v="11"/>
    <x v="11"/>
    <n v="26311"/>
    <s v="1045717933"/>
    <s v="PALMA GUTIERREZ KETTY JANETH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6+ GASTOS BANCARIOS"/>
    <n v="4353"/>
    <n v="0"/>
    <n v="4353"/>
    <x v="0"/>
    <x v="0"/>
    <x v="0"/>
    <n v="4353"/>
    <n v="0"/>
    <n v="4353"/>
    <x v="0"/>
    <x v="0"/>
    <x v="0"/>
    <n v="4353"/>
    <n v="0"/>
    <n v="4353"/>
    <x v="0"/>
    <x v="0"/>
    <x v="0"/>
    <x v="0"/>
    <x v="0"/>
  </r>
  <r>
    <x v="6"/>
    <x v="0"/>
    <x v="0"/>
    <x v="0"/>
    <x v="0"/>
    <x v="11"/>
    <x v="11"/>
    <n v="26312"/>
    <s v="31908098"/>
    <s v="LOPEZ GARCIA MARIA DEL SOCORRO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3"/>
    <n v="7588"/>
    <n v="0"/>
    <n v="7588"/>
    <x v="0"/>
    <x v="0"/>
    <x v="0"/>
    <n v="7588"/>
    <n v="0"/>
    <n v="7588"/>
    <x v="0"/>
    <x v="0"/>
    <x v="0"/>
    <n v="7588"/>
    <n v="0"/>
    <n v="7588"/>
    <x v="0"/>
    <x v="0"/>
    <x v="0"/>
    <x v="0"/>
    <x v="0"/>
  </r>
  <r>
    <x v="6"/>
    <x v="0"/>
    <x v="0"/>
    <x v="0"/>
    <x v="0"/>
    <x v="11"/>
    <x v="11"/>
    <n v="26313"/>
    <s v="29873536"/>
    <s v="ZUÑIGA CEBALLOS CLAUDIA MARIA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6 + GASTOS BANCARIOS"/>
    <n v="7714"/>
    <n v="0"/>
    <n v="7714"/>
    <x v="0"/>
    <x v="0"/>
    <x v="0"/>
    <n v="7714"/>
    <n v="0"/>
    <n v="7714"/>
    <x v="0"/>
    <x v="0"/>
    <x v="0"/>
    <n v="7714"/>
    <n v="0"/>
    <n v="7714"/>
    <x v="0"/>
    <x v="0"/>
    <x v="0"/>
    <x v="0"/>
    <x v="0"/>
  </r>
  <r>
    <x v="4"/>
    <x v="0"/>
    <x v="0"/>
    <x v="0"/>
    <x v="0"/>
    <x v="2"/>
    <x v="2"/>
    <n v="20607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808800"/>
    <n v="0"/>
    <n v="1808800"/>
    <x v="0"/>
    <x v="0"/>
    <x v="0"/>
    <n v="1808800"/>
    <n v="0"/>
    <n v="1808800"/>
    <x v="0"/>
    <x v="0"/>
    <x v="0"/>
    <n v="1808800"/>
    <n v="0"/>
    <n v="1808800"/>
    <x v="0"/>
    <x v="0"/>
    <x v="0"/>
    <x v="0"/>
    <x v="0"/>
  </r>
  <r>
    <x v="4"/>
    <x v="0"/>
    <x v="0"/>
    <x v="0"/>
    <x v="0"/>
    <x v="2"/>
    <x v="2"/>
    <n v="20649"/>
    <s v="890903938"/>
    <s v="BANCOLOMBIA S.A."/>
    <s v="2019082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2"/>
    <n v="233412"/>
    <n v="0"/>
    <n v="233412"/>
    <x v="0"/>
    <x v="0"/>
    <x v="0"/>
    <n v="233412"/>
    <n v="0"/>
    <n v="233412"/>
    <x v="0"/>
    <x v="0"/>
    <x v="0"/>
    <n v="233412"/>
    <n v="0"/>
    <n v="233412"/>
    <x v="0"/>
    <x v="0"/>
    <x v="0"/>
    <x v="0"/>
    <x v="0"/>
  </r>
  <r>
    <x v="6"/>
    <x v="0"/>
    <x v="0"/>
    <x v="0"/>
    <x v="0"/>
    <x v="11"/>
    <x v="11"/>
    <n v="26349"/>
    <s v="1018441067"/>
    <s v="ALONSO GUTIERREZ YINNETH CATALINA"/>
    <s v="201905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9"/>
    <n v="12293"/>
    <n v="0"/>
    <n v="12293"/>
    <x v="0"/>
    <x v="0"/>
    <x v="0"/>
    <n v="12293"/>
    <n v="0"/>
    <n v="12293"/>
    <x v="0"/>
    <x v="0"/>
    <x v="0"/>
    <n v="12293"/>
    <n v="0"/>
    <n v="12293"/>
    <x v="0"/>
    <x v="0"/>
    <x v="0"/>
    <x v="0"/>
    <x v="0"/>
  </r>
  <r>
    <x v="6"/>
    <x v="0"/>
    <x v="0"/>
    <x v="0"/>
    <x v="0"/>
    <x v="11"/>
    <x v="11"/>
    <n v="26289"/>
    <s v="71631400"/>
    <s v="CARRASQUILLA PIZARRO MARCO ANTONIO"/>
    <s v="201905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6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11"/>
    <x v="11"/>
    <n v="26416"/>
    <s v="71631400"/>
    <s v="CARRASQUILLA PIZARRO MARCO ANTONIO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2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11"/>
    <x v="11"/>
    <n v="26417"/>
    <s v="1098657994"/>
    <s v="HERNANDEZ ROJAS JOHN EDISON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0+GAST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31199.03999999998"/>
    <n v="0"/>
    <n v="331199.03999999998"/>
    <x v="0"/>
    <x v="0"/>
    <x v="0"/>
    <n v="331199.03999999998"/>
    <n v="0"/>
    <n v="331199.03999999998"/>
    <x v="0"/>
    <x v="0"/>
    <x v="0"/>
    <n v="331199.03999999998"/>
    <n v="0"/>
    <n v="331199.03999999998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1054174"/>
    <n v="0"/>
    <n v="1054174"/>
    <x v="0"/>
    <x v="0"/>
    <x v="0"/>
    <n v="1054174"/>
    <n v="0"/>
    <n v="1054174"/>
    <x v="0"/>
    <x v="0"/>
    <x v="0"/>
    <n v="0"/>
    <n v="0"/>
    <n v="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306530"/>
    <n v="0"/>
    <n v="306530"/>
    <x v="0"/>
    <x v="0"/>
    <x v="0"/>
    <n v="306530"/>
    <n v="0"/>
    <n v="306530"/>
    <x v="0"/>
    <x v="0"/>
    <x v="0"/>
    <n v="306530"/>
    <n v="0"/>
    <n v="30653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0"/>
    <n v="0"/>
    <n v="0"/>
    <x v="0"/>
    <x v="0"/>
    <x v="0"/>
    <n v="147862"/>
    <n v="0"/>
    <n v="147862"/>
    <x v="0"/>
    <x v="0"/>
    <x v="0"/>
    <n v="0"/>
    <n v="0"/>
    <n v="0"/>
    <x v="0"/>
    <x v="0"/>
    <x v="0"/>
    <x v="0"/>
    <x v="0"/>
  </r>
  <r>
    <x v="0"/>
    <x v="0"/>
    <x v="0"/>
    <x v="0"/>
    <x v="0"/>
    <x v="2"/>
    <x v="2"/>
    <n v="19608"/>
    <s v="PME001013J84"/>
    <s v="PANAMSAT DE MEXICO S DE RL DE CV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ANAMSAT  - (USD 17586 ) TRM 3136.59"/>
    <n v="2891313.74"/>
    <n v="0"/>
    <n v="2891313.74"/>
    <x v="0"/>
    <x v="0"/>
    <x v="0"/>
    <n v="2891313.74"/>
    <n v="0"/>
    <n v="2891313.74"/>
    <x v="0"/>
    <x v="0"/>
    <x v="0"/>
    <n v="2891313.74"/>
    <n v="0"/>
    <n v="2891313.74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37586"/>
    <n v="0"/>
    <n v="37586"/>
    <x v="0"/>
    <x v="0"/>
    <x v="0"/>
    <n v="37586"/>
    <n v="0"/>
    <n v="37586"/>
    <x v="0"/>
    <x v="0"/>
    <x v="0"/>
    <n v="37586"/>
    <n v="0"/>
    <n v="37586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17214"/>
    <n v="0"/>
    <n v="1117214"/>
    <x v="0"/>
    <x v="0"/>
    <x v="0"/>
    <n v="1117214"/>
    <n v="0"/>
    <n v="1117214"/>
    <x v="0"/>
    <x v="0"/>
    <x v="0"/>
    <n v="0"/>
    <n v="0"/>
    <n v="0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0"/>
    <n v="0"/>
    <n v="0"/>
    <x v="0"/>
    <x v="0"/>
    <x v="0"/>
    <n v="156705"/>
    <n v="0"/>
    <n v="156705"/>
    <x v="0"/>
    <x v="0"/>
    <x v="0"/>
    <n v="0"/>
    <n v="0"/>
    <n v="0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440198"/>
    <n v="0"/>
    <n v="440198"/>
    <x v="0"/>
    <x v="0"/>
    <x v="0"/>
    <n v="440198"/>
    <n v="0"/>
    <n v="440198"/>
    <x v="0"/>
    <x v="0"/>
    <x v="0"/>
    <n v="440198"/>
    <n v="0"/>
    <n v="44019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8"/>
    <n v="0"/>
    <n v="1910268"/>
    <x v="0"/>
    <x v="0"/>
    <x v="0"/>
    <n v="1910268"/>
    <n v="0"/>
    <n v="1910268"/>
    <x v="0"/>
    <x v="0"/>
    <x v="0"/>
    <n v="1910268"/>
    <n v="0"/>
    <n v="191026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807488"/>
    <n v="0"/>
    <n v="1807488"/>
    <x v="0"/>
    <x v="0"/>
    <x v="0"/>
    <n v="1807488"/>
    <n v="0"/>
    <n v="1807488"/>
    <x v="0"/>
    <x v="0"/>
    <x v="0"/>
    <n v="1807488"/>
    <n v="0"/>
    <n v="180748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9"/>
    <n v="0"/>
    <n v="1910269"/>
    <x v="0"/>
    <x v="0"/>
    <x v="0"/>
    <n v="1910269"/>
    <n v="0"/>
    <n v="1910269"/>
    <x v="0"/>
    <x v="0"/>
    <x v="0"/>
    <n v="1910269"/>
    <n v="0"/>
    <n v="1910269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250793"/>
    <n v="0"/>
    <n v="250793"/>
    <x v="0"/>
    <x v="0"/>
    <x v="0"/>
    <n v="250793"/>
    <n v="0"/>
    <n v="250793"/>
    <x v="0"/>
    <x v="0"/>
    <x v="0"/>
    <n v="250793"/>
    <n v="0"/>
    <n v="250793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097936"/>
    <n v="0"/>
    <n v="1097936"/>
    <x v="0"/>
    <x v="0"/>
    <x v="0"/>
    <n v="1097936"/>
    <n v="0"/>
    <n v="1097936"/>
    <x v="0"/>
    <x v="0"/>
    <x v="0"/>
    <n v="1097936"/>
    <n v="0"/>
    <n v="109793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6"/>
    <x v="0"/>
    <x v="0"/>
    <x v="0"/>
    <x v="0"/>
    <x v="2"/>
    <x v="2"/>
    <n v="20253"/>
    <s v="PME001013J84"/>
    <s v="PANAMSAT DE MEXICO S DE RL DE CV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PANAMSAT - USD 18586 (TRM 3290.27)"/>
    <n v="790835.22"/>
    <n v="0"/>
    <n v="790835.22"/>
    <x v="0"/>
    <x v="0"/>
    <x v="0"/>
    <n v="790835.22"/>
    <n v="0"/>
    <n v="790835.22"/>
    <x v="0"/>
    <x v="0"/>
    <x v="0"/>
    <n v="790835.22"/>
    <n v="0"/>
    <n v="790835.22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9"/>
    <n v="0"/>
    <n v="2046319"/>
    <x v="0"/>
    <x v="0"/>
    <x v="0"/>
    <n v="2046319"/>
    <n v="0"/>
    <n v="2046319"/>
    <x v="0"/>
    <x v="0"/>
    <x v="0"/>
    <n v="2046319"/>
    <n v="0"/>
    <n v="2046319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8"/>
    <n v="0"/>
    <n v="2046318"/>
    <x v="0"/>
    <x v="0"/>
    <x v="0"/>
    <n v="2046318"/>
    <n v="0"/>
    <n v="2046318"/>
    <x v="0"/>
    <x v="0"/>
    <x v="0"/>
    <n v="2046318"/>
    <n v="0"/>
    <n v="2046318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117214"/>
    <n v="0"/>
    <n v="1117214"/>
    <x v="0"/>
    <x v="0"/>
    <x v="0"/>
    <n v="1117214"/>
    <n v="0"/>
    <n v="1117214"/>
    <x v="0"/>
    <x v="0"/>
    <x v="0"/>
    <n v="1117214"/>
    <n v="0"/>
    <n v="111721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054174"/>
    <n v="-1054174"/>
    <x v="0"/>
    <x v="0"/>
    <x v="0"/>
    <n v="0"/>
    <n v="1054174"/>
    <n v="-1054174"/>
    <x v="0"/>
    <x v="0"/>
    <x v="0"/>
    <n v="0"/>
    <n v="1054174"/>
    <n v="-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054174"/>
    <n v="0"/>
    <n v="1054174"/>
    <x v="0"/>
    <x v="0"/>
    <x v="0"/>
    <n v="1054174"/>
    <n v="0"/>
    <n v="1054174"/>
    <x v="0"/>
    <x v="0"/>
    <x v="0"/>
    <n v="1054174"/>
    <n v="0"/>
    <n v="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117214"/>
    <n v="-1117214"/>
    <x v="0"/>
    <x v="0"/>
    <x v="0"/>
    <n v="0"/>
    <n v="1117214"/>
    <n v="-1117214"/>
    <x v="0"/>
    <x v="0"/>
    <x v="0"/>
    <n v="0"/>
    <n v="1117214"/>
    <n v="-1117214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47862"/>
    <n v="-147862"/>
    <x v="0"/>
    <x v="0"/>
    <x v="0"/>
    <n v="0"/>
    <n v="0"/>
    <n v="0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56705"/>
    <n v="-156705"/>
    <x v="0"/>
    <x v="0"/>
    <x v="0"/>
    <n v="0"/>
    <n v="0"/>
    <n v="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90243"/>
    <n v="0"/>
    <n v="190243"/>
    <x v="0"/>
    <x v="0"/>
    <x v="0"/>
    <n v="190243"/>
    <n v="0"/>
    <n v="190243"/>
    <x v="0"/>
    <x v="0"/>
    <x v="0"/>
    <n v="190243"/>
    <n v="0"/>
    <n v="190243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858764"/>
    <n v="0"/>
    <n v="1858764"/>
    <x v="0"/>
    <x v="0"/>
    <x v="0"/>
    <n v="1858764"/>
    <n v="0"/>
    <n v="1858764"/>
    <x v="0"/>
    <x v="0"/>
    <x v="0"/>
    <n v="1858764"/>
    <n v="0"/>
    <n v="18587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0"/>
    <n v="0"/>
    <n v="0"/>
    <x v="0"/>
    <x v="0"/>
    <x v="0"/>
    <n v="721682"/>
    <n v="0"/>
    <n v="721682"/>
    <x v="0"/>
    <x v="0"/>
    <x v="0"/>
    <n v="0"/>
    <n v="0"/>
    <n v="0"/>
    <x v="0"/>
    <x v="0"/>
    <x v="0"/>
    <x v="0"/>
    <x v="0"/>
  </r>
  <r>
    <x v="3"/>
    <x v="0"/>
    <x v="0"/>
    <x v="0"/>
    <x v="0"/>
    <x v="2"/>
    <x v="2"/>
    <n v="20569"/>
    <s v="PME001013J84"/>
    <s v="PANAMSAT DE MEXICO S DE RL DE CV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ARZO (TRM 3199.72)"/>
    <n v="11209723.92"/>
    <n v="0"/>
    <n v="11209723.92"/>
    <x v="0"/>
    <x v="0"/>
    <x v="0"/>
    <n v="11209723.92"/>
    <n v="0"/>
    <n v="11209723.92"/>
    <x v="0"/>
    <x v="0"/>
    <x v="0"/>
    <n v="11209723.92"/>
    <n v="0"/>
    <n v="11209723.92"/>
    <x v="0"/>
    <x v="0"/>
    <x v="0"/>
    <x v="0"/>
    <x v="0"/>
  </r>
  <r>
    <x v="3"/>
    <x v="0"/>
    <x v="0"/>
    <x v="0"/>
    <x v="0"/>
    <x v="2"/>
    <x v="2"/>
    <n v="20560"/>
    <s v="900397145"/>
    <s v="TILETRADE S.A.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DIVIDENDOS CUOTA 04 (USD 3718.47   / TRM 3195)"/>
    <n v="8.65"/>
    <n v="0"/>
    <n v="8.65"/>
    <x v="0"/>
    <x v="0"/>
    <x v="0"/>
    <n v="8.65"/>
    <n v="0"/>
    <n v="8.65"/>
    <x v="0"/>
    <x v="0"/>
    <x v="0"/>
    <n v="8.65"/>
    <n v="0"/>
    <n v="8.65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2"/>
    <n v="0"/>
    <n v="1694672"/>
    <x v="0"/>
    <x v="0"/>
    <x v="0"/>
    <n v="1694672"/>
    <n v="0"/>
    <n v="1694672"/>
    <x v="0"/>
    <x v="0"/>
    <x v="0"/>
    <n v="1694672"/>
    <n v="0"/>
    <n v="1694672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479651"/>
    <n v="0"/>
    <n v="479651"/>
    <x v="0"/>
    <x v="0"/>
    <x v="0"/>
    <n v="479651"/>
    <n v="0"/>
    <n v="479651"/>
    <x v="0"/>
    <x v="0"/>
    <x v="0"/>
    <n v="479651"/>
    <n v="0"/>
    <n v="47965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0"/>
    <n v="0"/>
    <n v="0"/>
    <x v="0"/>
    <x v="0"/>
    <x v="0"/>
    <n v="0"/>
    <n v="0"/>
    <n v="0"/>
    <x v="0"/>
    <x v="0"/>
    <x v="0"/>
    <n v="1113914"/>
    <n v="0"/>
    <n v="1113914"/>
    <x v="0"/>
    <x v="0"/>
    <x v="0"/>
    <x v="0"/>
    <x v="0"/>
  </r>
  <r>
    <x v="4"/>
    <x v="0"/>
    <x v="0"/>
    <x v="0"/>
    <x v="0"/>
    <x v="2"/>
    <x v="2"/>
    <n v="20687"/>
    <s v="900397145"/>
    <s v="TILETRADE S.A.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435.77 - TRM 3457.89)"/>
    <n v="11.73"/>
    <n v="0"/>
    <n v="11.73"/>
    <x v="0"/>
    <x v="0"/>
    <x v="0"/>
    <n v="11.73"/>
    <n v="0"/>
    <n v="11.73"/>
    <x v="0"/>
    <x v="0"/>
    <x v="0"/>
    <n v="11.73"/>
    <n v="0"/>
    <n v="11.73"/>
    <x v="0"/>
    <x v="0"/>
    <x v="0"/>
    <x v="0"/>
    <x v="0"/>
  </r>
  <r>
    <x v="4"/>
    <x v="0"/>
    <x v="0"/>
    <x v="0"/>
    <x v="0"/>
    <x v="2"/>
    <x v="2"/>
    <n v="20690"/>
    <s v="440000000330"/>
    <s v="BANCOLOMBIA CAYMAN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1707136"/>
    <s v="CODINGTON TRADING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865.24 - TRM 3457.89)"/>
    <n v="347884.34"/>
    <n v="0"/>
    <n v="347884.34"/>
    <x v="0"/>
    <x v="0"/>
    <x v="0"/>
    <n v="347884.34"/>
    <n v="0"/>
    <n v="347884.34"/>
    <x v="0"/>
    <x v="0"/>
    <x v="0"/>
    <n v="347884.34"/>
    <n v="0"/>
    <n v="347884.34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0"/>
    <n v="0"/>
    <n v="0"/>
    <x v="0"/>
    <x v="0"/>
    <x v="0"/>
    <n v="0"/>
    <n v="0"/>
    <n v="0"/>
    <x v="0"/>
    <x v="0"/>
    <x v="0"/>
    <n v="1593541"/>
    <n v="0"/>
    <n v="159354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01518"/>
    <n v="0"/>
    <n v="501518"/>
    <x v="0"/>
    <x v="0"/>
    <x v="0"/>
    <n v="501518"/>
    <n v="0"/>
    <n v="501518"/>
    <x v="0"/>
    <x v="0"/>
    <x v="0"/>
    <n v="501518"/>
    <n v="0"/>
    <n v="50151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0360.100000000006"/>
    <n v="0"/>
    <n v="70360.100000000006"/>
    <x v="0"/>
    <x v="0"/>
    <x v="0"/>
    <n v="70360.100000000006"/>
    <n v="0"/>
    <n v="70360.100000000006"/>
    <x v="0"/>
    <x v="0"/>
    <x v="0"/>
    <n v="70360.100000000006"/>
    <n v="0"/>
    <n v="70360.10000000000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15589.04"/>
    <n v="-15589.04"/>
    <x v="0"/>
    <x v="0"/>
    <x v="0"/>
    <n v="0"/>
    <n v="15589.04"/>
    <n v="-15589.04"/>
    <x v="0"/>
    <x v="0"/>
    <x v="0"/>
    <n v="0"/>
    <n v="15589.04"/>
    <n v="-15589.04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6391.51"/>
    <n v="-6391.51"/>
    <x v="0"/>
    <x v="0"/>
    <x v="0"/>
    <n v="0"/>
    <n v="6391.51"/>
    <n v="-6391.51"/>
    <x v="0"/>
    <x v="0"/>
    <x v="0"/>
    <n v="0"/>
    <n v="6391.51"/>
    <n v="-6391.5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2"/>
    <x v="2"/>
    <n v="20281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COLOMBIA -SERVIDOR PANTALLAS"/>
    <n v="18119.080000000002"/>
    <n v="0"/>
    <n v="18119.080000000002"/>
    <x v="0"/>
    <x v="0"/>
    <x v="0"/>
    <n v="18119.080000000002"/>
    <n v="0"/>
    <n v="18119.080000000002"/>
    <x v="0"/>
    <x v="0"/>
    <x v="0"/>
    <n v="18119.080000000002"/>
    <n v="0"/>
    <n v="18119.080000000002"/>
    <x v="0"/>
    <x v="0"/>
    <x v="0"/>
    <x v="0"/>
    <x v="0"/>
  </r>
  <r>
    <x v="6"/>
    <x v="0"/>
    <x v="0"/>
    <x v="0"/>
    <x v="0"/>
    <x v="2"/>
    <x v="2"/>
    <n v="20285"/>
    <s v="444444464"/>
    <s v="DANQ ENVIRONMENTAL TECHNOLOGY Co., LTD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4444437"/>
    <s v="PAYP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BANCOLOMBIA"/>
    <n v="740191.07"/>
    <n v="0"/>
    <n v="740191.07000000007"/>
    <x v="0"/>
    <x v="0"/>
    <x v="0"/>
    <n v="740191.07"/>
    <n v="0"/>
    <n v="740191.07000000007"/>
    <x v="0"/>
    <x v="0"/>
    <x v="0"/>
    <n v="740191.07"/>
    <n v="0"/>
    <n v="740191.07000000007"/>
    <x v="0"/>
    <x v="0"/>
    <x v="0"/>
    <x v="0"/>
    <x v="0"/>
  </r>
  <r>
    <x v="2"/>
    <x v="0"/>
    <x v="0"/>
    <x v="0"/>
    <x v="0"/>
    <x v="11"/>
    <x v="11"/>
    <n v="26433"/>
    <s v="4519543"/>
    <s v="GARCIA CASTAÑO FREDY JHOVANNY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0_x000d__x000a_CJM 255_x000d__x000a_GASTOS BANCARIOS"/>
    <n v="7940"/>
    <n v="0"/>
    <n v="7940"/>
    <x v="0"/>
    <x v="0"/>
    <x v="0"/>
    <n v="7940"/>
    <n v="0"/>
    <n v="7940"/>
    <x v="0"/>
    <x v="0"/>
    <x v="0"/>
    <n v="7940"/>
    <n v="0"/>
    <n v="7940"/>
    <x v="0"/>
    <x v="0"/>
    <x v="0"/>
    <x v="0"/>
    <x v="0"/>
  </r>
  <r>
    <x v="2"/>
    <x v="0"/>
    <x v="0"/>
    <x v="0"/>
    <x v="0"/>
    <x v="11"/>
    <x v="11"/>
    <n v="26434"/>
    <s v="71631400"/>
    <s v="CARRASQUILLA PIZARRO MARCO ANTONIO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3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35"/>
    <s v="1045717933"/>
    <s v="PALMA GUTIERREZ KETTY JANETH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5"/>
    <s v="71631400"/>
    <s v="CARRASQUILLA PIZARRO MARCO ANTONIO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83 + GASTOS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0"/>
    <x v="0"/>
    <x v="11"/>
    <x v="11"/>
    <n v="26446"/>
    <s v="1045717933"/>
    <s v="PALMA GUTIERREZ KETTY JANETH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76 - LAN 193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7"/>
    <s v="1018441067"/>
    <s v="ALONSO GUTIERREZ YINNETH CATALINA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0+GASTOS BANCARIOS"/>
    <n v="11484"/>
    <n v="0"/>
    <n v="11484"/>
    <x v="0"/>
    <x v="0"/>
    <x v="0"/>
    <n v="11484"/>
    <n v="0"/>
    <n v="11484"/>
    <x v="0"/>
    <x v="0"/>
    <x v="0"/>
    <n v="11484"/>
    <n v="0"/>
    <n v="11484"/>
    <x v="0"/>
    <x v="0"/>
    <x v="0"/>
    <x v="0"/>
    <x v="0"/>
  </r>
  <r>
    <x v="2"/>
    <x v="0"/>
    <x v="0"/>
    <x v="0"/>
    <x v="0"/>
    <x v="11"/>
    <x v="11"/>
    <n v="26448"/>
    <s v="1098657994"/>
    <s v="HERNANDEZ ROJAS JOHN EDISON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4+ GASTOS BANCARIOS"/>
    <n v="6739"/>
    <n v="0"/>
    <n v="6739"/>
    <x v="0"/>
    <x v="0"/>
    <x v="0"/>
    <n v="6739"/>
    <n v="0"/>
    <n v="6739"/>
    <x v="0"/>
    <x v="0"/>
    <x v="0"/>
    <n v="6739"/>
    <n v="0"/>
    <n v="6739"/>
    <x v="0"/>
    <x v="0"/>
    <x v="0"/>
    <x v="0"/>
    <x v="0"/>
  </r>
  <r>
    <x v="2"/>
    <x v="0"/>
    <x v="0"/>
    <x v="0"/>
    <x v="0"/>
    <x v="2"/>
    <x v="2"/>
    <n v="20310"/>
    <s v="860002964"/>
    <s v="BANCO DE BOGOTA S.A.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84981.45"/>
    <n v="0"/>
    <n v="84981.45"/>
    <x v="0"/>
    <x v="0"/>
    <x v="0"/>
    <n v="84981.45"/>
    <n v="0"/>
    <n v="84981.45"/>
    <x v="0"/>
    <x v="0"/>
    <x v="0"/>
    <n v="84981.45"/>
    <n v="0"/>
    <n v="84981.45"/>
    <x v="0"/>
    <x v="0"/>
    <x v="0"/>
    <x v="0"/>
    <x v="0"/>
  </r>
  <r>
    <x v="2"/>
    <x v="0"/>
    <x v="0"/>
    <x v="0"/>
    <x v="0"/>
    <x v="2"/>
    <x v="2"/>
    <n v="20322"/>
    <s v="890300279"/>
    <s v="BANCO DE OCCIDENTE."/>
    <s v="201906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135874"/>
    <n v="0"/>
    <n v="135874"/>
    <x v="0"/>
    <x v="0"/>
    <x v="0"/>
    <n v="135874"/>
    <n v="0"/>
    <n v="135874"/>
    <x v="0"/>
    <x v="0"/>
    <x v="0"/>
    <n v="135874"/>
    <n v="0"/>
    <n v="135874"/>
    <x v="0"/>
    <x v="0"/>
    <x v="0"/>
    <x v="0"/>
    <x v="0"/>
  </r>
  <r>
    <x v="2"/>
    <x v="0"/>
    <x v="0"/>
    <x v="0"/>
    <x v="0"/>
    <x v="11"/>
    <x v="11"/>
    <n v="26519"/>
    <s v="71631400"/>
    <s v="CARRASQUILLA PIZARRO MARCO ANTONIO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7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2"/>
    <x v="0"/>
    <x v="0"/>
    <x v="0"/>
    <x v="0"/>
    <x v="11"/>
    <x v="11"/>
    <n v="26520"/>
    <s v="1045717933"/>
    <s v="PALMA GUTIERREZ KETTY JANETH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4"/>
    <n v="2400"/>
    <n v="0"/>
    <n v="2400"/>
    <x v="0"/>
    <x v="0"/>
    <x v="0"/>
    <n v="2400"/>
    <n v="0"/>
    <n v="2400"/>
    <x v="0"/>
    <x v="0"/>
    <x v="0"/>
    <n v="2400"/>
    <n v="0"/>
    <n v="2400"/>
    <x v="0"/>
    <x v="0"/>
    <x v="0"/>
    <x v="0"/>
    <x v="0"/>
  </r>
  <r>
    <x v="2"/>
    <x v="0"/>
    <x v="0"/>
    <x v="0"/>
    <x v="0"/>
    <x v="11"/>
    <x v="11"/>
    <n v="26608"/>
    <s v="1045717933"/>
    <s v="PALMA GUTIERREZ KETTY JANETH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609"/>
    <s v="1018441067"/>
    <s v="ALONSO GUTIERREZ YINNETH CATALIN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2"/>
    <n v="3754"/>
    <n v="0"/>
    <n v="3754"/>
    <x v="0"/>
    <x v="0"/>
    <x v="0"/>
    <n v="3754"/>
    <n v="0"/>
    <n v="3754"/>
    <x v="0"/>
    <x v="0"/>
    <x v="0"/>
    <n v="3754"/>
    <n v="0"/>
    <n v="3754"/>
    <x v="0"/>
    <x v="0"/>
    <x v="0"/>
    <x v="0"/>
    <x v="0"/>
  </r>
  <r>
    <x v="2"/>
    <x v="0"/>
    <x v="0"/>
    <x v="0"/>
    <x v="0"/>
    <x v="11"/>
    <x v="11"/>
    <n v="26610"/>
    <s v="1036930909"/>
    <s v="ALZATE SANCHEZ NATACH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9"/>
    <n v="8506"/>
    <n v="0"/>
    <n v="8506"/>
    <x v="0"/>
    <x v="0"/>
    <x v="0"/>
    <n v="8506"/>
    <n v="0"/>
    <n v="8506"/>
    <x v="0"/>
    <x v="0"/>
    <x v="0"/>
    <n v="8506"/>
    <n v="0"/>
    <n v="8506"/>
    <x v="0"/>
    <x v="0"/>
    <x v="0"/>
    <x v="0"/>
    <x v="0"/>
  </r>
  <r>
    <x v="2"/>
    <x v="0"/>
    <x v="0"/>
    <x v="0"/>
    <x v="0"/>
    <x v="2"/>
    <x v="2"/>
    <n v="20378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8655.7000000000007"/>
    <n v="0"/>
    <n v="8655.7000000000007"/>
    <x v="0"/>
    <x v="0"/>
    <x v="0"/>
    <n v="8655.7000000000007"/>
    <n v="0"/>
    <n v="8655.7000000000007"/>
    <x v="0"/>
    <x v="0"/>
    <x v="0"/>
    <n v="8655.7000000000007"/>
    <n v="0"/>
    <n v="8655.700000000000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2"/>
    <x v="0"/>
    <x v="0"/>
    <x v="0"/>
    <x v="0"/>
    <x v="11"/>
    <x v="11"/>
    <n v="26491"/>
    <s v="1045717933"/>
    <s v="PALMA GUTIERREZ KETTY JANETH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3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512"/>
    <s v="31908098"/>
    <s v="LOPEZ GARCIA MARIA DEL SOCORRO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4"/>
    <n v="11250"/>
    <n v="0"/>
    <n v="11250"/>
    <x v="0"/>
    <x v="0"/>
    <x v="0"/>
    <n v="11250"/>
    <n v="0"/>
    <n v="11250"/>
    <x v="0"/>
    <x v="0"/>
    <x v="0"/>
    <n v="11250"/>
    <n v="0"/>
    <n v="11250"/>
    <x v="0"/>
    <x v="0"/>
    <x v="0"/>
    <x v="0"/>
    <x v="0"/>
  </r>
  <r>
    <x v="2"/>
    <x v="0"/>
    <x v="0"/>
    <x v="0"/>
    <x v="0"/>
    <x v="11"/>
    <x v="11"/>
    <n v="26513"/>
    <s v="1018441067"/>
    <s v="ALONSO GUTIERREZ YINNETH CATALINA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1"/>
    <n v="7687.01"/>
    <n v="0"/>
    <n v="7687.01"/>
    <x v="0"/>
    <x v="0"/>
    <x v="0"/>
    <n v="7687.01"/>
    <n v="0"/>
    <n v="7687.01"/>
    <x v="0"/>
    <x v="0"/>
    <x v="0"/>
    <n v="7687.01"/>
    <n v="0"/>
    <n v="7687.01"/>
    <x v="0"/>
    <x v="0"/>
    <x v="0"/>
    <x v="0"/>
    <x v="0"/>
  </r>
  <r>
    <x v="2"/>
    <x v="0"/>
    <x v="0"/>
    <x v="0"/>
    <x v="0"/>
    <x v="11"/>
    <x v="11"/>
    <n v="26526"/>
    <s v="1045717933"/>
    <s v="PALMA GUTIERREZ KETTY JANETH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7+ GASTOS BANCARIOS"/>
    <n v="5158"/>
    <n v="0"/>
    <n v="5158"/>
    <x v="0"/>
    <x v="0"/>
    <x v="0"/>
    <n v="5158"/>
    <n v="0"/>
    <n v="5158"/>
    <x v="0"/>
    <x v="0"/>
    <x v="0"/>
    <n v="5158"/>
    <n v="0"/>
    <n v="5158"/>
    <x v="0"/>
    <x v="0"/>
    <x v="0"/>
    <x v="0"/>
    <x v="0"/>
  </r>
  <r>
    <x v="6"/>
    <x v="0"/>
    <x v="0"/>
    <x v="0"/>
    <x v="0"/>
    <x v="2"/>
    <x v="2"/>
    <n v="2026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-  CONCILIACION BANCOLOMBIA"/>
    <n v="153000"/>
    <n v="0"/>
    <n v="153000"/>
    <x v="0"/>
    <x v="0"/>
    <x v="0"/>
    <n v="153000"/>
    <n v="0"/>
    <n v="153000"/>
    <x v="0"/>
    <x v="0"/>
    <x v="0"/>
    <n v="153000"/>
    <n v="0"/>
    <n v="153000"/>
    <x v="0"/>
    <x v="0"/>
    <x v="0"/>
    <x v="0"/>
    <x v="0"/>
  </r>
  <r>
    <x v="2"/>
    <x v="0"/>
    <x v="0"/>
    <x v="0"/>
    <x v="0"/>
    <x v="11"/>
    <x v="11"/>
    <n v="26490"/>
    <s v="71631400"/>
    <s v="CARRASQUILLA PIZARRO MARCO ANTONIO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5 + GAST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2"/>
    <x v="0"/>
    <x v="0"/>
    <x v="0"/>
    <x v="0"/>
    <x v="11"/>
    <x v="11"/>
    <n v="26531"/>
    <s v="1098657994"/>
    <s v="HERNANDEZ ROJAS JOHN EDISON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69893.9"/>
    <n v="0"/>
    <n v="169893.9"/>
    <x v="0"/>
    <x v="0"/>
    <x v="0"/>
    <n v="169893.9"/>
    <n v="0"/>
    <n v="169893.9"/>
    <x v="0"/>
    <x v="0"/>
    <x v="0"/>
    <n v="169893.9"/>
    <n v="0"/>
    <n v="169893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60000"/>
    <n v="0"/>
    <n v="60000"/>
    <x v="0"/>
    <x v="0"/>
    <x v="0"/>
    <n v="60000"/>
    <n v="0"/>
    <n v="60000"/>
    <x v="0"/>
    <x v="0"/>
    <x v="0"/>
    <n v="60000"/>
    <n v="0"/>
    <n v="6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605224"/>
    <n v="0"/>
    <n v="605224"/>
    <x v="0"/>
    <x v="0"/>
    <x v="0"/>
    <n v="605224"/>
    <n v="0"/>
    <n v="605224"/>
    <x v="0"/>
    <x v="0"/>
    <x v="0"/>
    <n v="605224"/>
    <n v="0"/>
    <n v="60522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3.79999999999"/>
    <n v="0"/>
    <n v="159013.80000000002"/>
    <x v="0"/>
    <x v="0"/>
    <x v="0"/>
    <n v="159013.79999999999"/>
    <n v="0"/>
    <n v="159013.80000000002"/>
    <x v="0"/>
    <x v="0"/>
    <x v="0"/>
    <n v="159013.79999999999"/>
    <n v="0"/>
    <n v="159013.8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4750.45"/>
    <n v="0"/>
    <n v="4750.45"/>
    <x v="0"/>
    <x v="0"/>
    <x v="0"/>
    <n v="4750.45"/>
    <n v="0"/>
    <n v="4750.45"/>
    <x v="0"/>
    <x v="0"/>
    <x v="0"/>
    <n v="4750.45"/>
    <n v="0"/>
    <n v="4750.4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42088"/>
    <n v="0"/>
    <n v="342088"/>
    <x v="0"/>
    <x v="0"/>
    <x v="0"/>
    <n v="342088"/>
    <n v="0"/>
    <n v="342088"/>
    <x v="0"/>
    <x v="0"/>
    <x v="0"/>
    <n v="342088"/>
    <n v="0"/>
    <n v="34208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2"/>
    <x v="2"/>
    <n v="20405"/>
    <s v="900406150"/>
    <s v="BANCO COOMEV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 DE GASTOS BANCARIOS BANCOOMEVA"/>
    <n v="0"/>
    <n v="57110.080000000002"/>
    <n v="-57110.080000000002"/>
    <x v="0"/>
    <x v="0"/>
    <x v="0"/>
    <n v="0"/>
    <n v="57110.080000000002"/>
    <n v="-57110.080000000002"/>
    <x v="0"/>
    <x v="0"/>
    <x v="0"/>
    <n v="0"/>
    <n v="57110.080000000002"/>
    <n v="-57110.080000000002"/>
    <x v="0"/>
    <x v="0"/>
    <x v="0"/>
    <x v="0"/>
    <x v="0"/>
  </r>
  <r>
    <x v="3"/>
    <x v="0"/>
    <x v="0"/>
    <x v="0"/>
    <x v="0"/>
    <x v="11"/>
    <x v="11"/>
    <n v="26672"/>
    <s v="1036930909"/>
    <s v="ALZATE SANCHEZ NATACHA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7"/>
    <n v="41500"/>
    <n v="0"/>
    <n v="41500"/>
    <x v="0"/>
    <x v="0"/>
    <x v="0"/>
    <n v="41500"/>
    <n v="0"/>
    <n v="41500"/>
    <x v="0"/>
    <x v="0"/>
    <x v="0"/>
    <n v="41500"/>
    <n v="0"/>
    <n v="41500"/>
    <x v="0"/>
    <x v="0"/>
    <x v="0"/>
    <x v="0"/>
    <x v="0"/>
  </r>
  <r>
    <x v="3"/>
    <x v="0"/>
    <x v="0"/>
    <x v="0"/>
    <x v="0"/>
    <x v="11"/>
    <x v="11"/>
    <n v="26673"/>
    <s v="66915560"/>
    <s v="PEREZ ARCE GRETTY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2"/>
    <x v="2"/>
    <n v="20455"/>
    <s v="860035827"/>
    <s v="BANCO AV VILLAS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0520-1 AV VILLAS"/>
    <n v="573457"/>
    <n v="0"/>
    <n v="573457"/>
    <x v="0"/>
    <x v="0"/>
    <x v="0"/>
    <n v="573457"/>
    <n v="0"/>
    <n v="573457"/>
    <x v="0"/>
    <x v="0"/>
    <x v="0"/>
    <n v="573457"/>
    <n v="0"/>
    <n v="573457"/>
    <x v="0"/>
    <x v="0"/>
    <x v="0"/>
    <x v="0"/>
    <x v="0"/>
  </r>
  <r>
    <x v="3"/>
    <x v="0"/>
    <x v="0"/>
    <x v="0"/>
    <x v="0"/>
    <x v="11"/>
    <x v="11"/>
    <n v="26686"/>
    <s v="1045717933"/>
    <s v="PALMA GUTIERREZ KETTY JANETH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687"/>
    <s v="1098657994"/>
    <s v="HERNANDEZ ROJAS JOHN EDISON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5"/>
    <n v="7218"/>
    <n v="0"/>
    <n v="7218"/>
    <x v="0"/>
    <x v="0"/>
    <x v="0"/>
    <n v="7218"/>
    <n v="0"/>
    <n v="7218"/>
    <x v="0"/>
    <x v="0"/>
    <x v="0"/>
    <n v="7218"/>
    <n v="0"/>
    <n v="7218"/>
    <x v="0"/>
    <x v="0"/>
    <x v="0"/>
    <x v="0"/>
    <x v="0"/>
  </r>
  <r>
    <x v="3"/>
    <x v="0"/>
    <x v="0"/>
    <x v="0"/>
    <x v="0"/>
    <x v="11"/>
    <x v="11"/>
    <n v="26688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1"/>
    <n v="2224"/>
    <n v="0"/>
    <n v="2224"/>
    <x v="0"/>
    <x v="0"/>
    <x v="0"/>
    <n v="2224"/>
    <n v="0"/>
    <n v="2224"/>
    <x v="0"/>
    <x v="0"/>
    <x v="0"/>
    <n v="2224"/>
    <n v="0"/>
    <n v="2224"/>
    <x v="0"/>
    <x v="0"/>
    <x v="0"/>
    <x v="0"/>
    <x v="0"/>
  </r>
  <r>
    <x v="3"/>
    <x v="0"/>
    <x v="0"/>
    <x v="0"/>
    <x v="0"/>
    <x v="11"/>
    <x v="11"/>
    <n v="26689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7"/>
    <n v="2468"/>
    <n v="0"/>
    <n v="2468"/>
    <x v="0"/>
    <x v="0"/>
    <x v="0"/>
    <n v="2468"/>
    <n v="0"/>
    <n v="2468"/>
    <x v="0"/>
    <x v="0"/>
    <x v="0"/>
    <n v="2468"/>
    <n v="0"/>
    <n v="2468"/>
    <x v="0"/>
    <x v="0"/>
    <x v="0"/>
    <x v="0"/>
    <x v="0"/>
  </r>
  <r>
    <x v="3"/>
    <x v="0"/>
    <x v="0"/>
    <x v="0"/>
    <x v="0"/>
    <x v="2"/>
    <x v="2"/>
    <n v="20465"/>
    <s v="860035827"/>
    <s v="BANCO AV VILLAS"/>
    <s v="201907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 OBLIGACION 7366-7"/>
    <n v="184383"/>
    <n v="0"/>
    <n v="184383"/>
    <x v="0"/>
    <x v="0"/>
    <x v="0"/>
    <n v="184383"/>
    <n v="0"/>
    <n v="184383"/>
    <x v="0"/>
    <x v="0"/>
    <x v="0"/>
    <n v="184383"/>
    <n v="0"/>
    <n v="184383"/>
    <x v="0"/>
    <x v="0"/>
    <x v="0"/>
    <x v="0"/>
    <x v="0"/>
  </r>
  <r>
    <x v="3"/>
    <x v="0"/>
    <x v="0"/>
    <x v="0"/>
    <x v="0"/>
    <x v="2"/>
    <x v="2"/>
    <n v="20469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7666-7  18490 DEL MES DE JUNIO ATRARZADA"/>
    <n v="194576"/>
    <n v="0"/>
    <n v="194576"/>
    <x v="0"/>
    <x v="0"/>
    <x v="0"/>
    <n v="194576"/>
    <n v="0"/>
    <n v="194576"/>
    <x v="0"/>
    <x v="0"/>
    <x v="0"/>
    <n v="194576"/>
    <n v="0"/>
    <n v="194576"/>
    <x v="0"/>
    <x v="0"/>
    <x v="0"/>
    <x v="0"/>
    <x v="0"/>
  </r>
  <r>
    <x v="3"/>
    <x v="0"/>
    <x v="0"/>
    <x v="0"/>
    <x v="0"/>
    <x v="2"/>
    <x v="2"/>
    <n v="20471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NIO DEL 2019"/>
    <n v="71722"/>
    <n v="0"/>
    <n v="71722"/>
    <x v="0"/>
    <x v="0"/>
    <x v="0"/>
    <n v="71722"/>
    <n v="0"/>
    <n v="71722"/>
    <x v="0"/>
    <x v="0"/>
    <x v="0"/>
    <n v="71722"/>
    <n v="0"/>
    <n v="71722"/>
    <x v="0"/>
    <x v="0"/>
    <x v="0"/>
    <x v="0"/>
    <x v="0"/>
  </r>
  <r>
    <x v="3"/>
    <x v="0"/>
    <x v="0"/>
    <x v="0"/>
    <x v="0"/>
    <x v="11"/>
    <x v="11"/>
    <n v="26753"/>
    <s v="31908098"/>
    <s v="LOPEZ GARCIA MARIA DEL SOCORRO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"/>
    <n v="8503"/>
    <n v="0"/>
    <n v="8503"/>
    <x v="0"/>
    <x v="0"/>
    <x v="0"/>
    <n v="8503"/>
    <n v="0"/>
    <n v="8503"/>
    <x v="0"/>
    <x v="0"/>
    <x v="0"/>
    <n v="8503"/>
    <n v="0"/>
    <n v="8503"/>
    <x v="0"/>
    <x v="0"/>
    <x v="0"/>
    <x v="0"/>
    <x v="0"/>
  </r>
  <r>
    <x v="3"/>
    <x v="0"/>
    <x v="0"/>
    <x v="0"/>
    <x v="0"/>
    <x v="11"/>
    <x v="11"/>
    <n v="26658"/>
    <s v="1018441067"/>
    <s v="ALONSO GUTIERREZ YINNETH CATALINA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3"/>
    <n v="7410"/>
    <n v="0"/>
    <n v="7410"/>
    <x v="0"/>
    <x v="0"/>
    <x v="0"/>
    <n v="7410"/>
    <n v="0"/>
    <n v="7410"/>
    <x v="0"/>
    <x v="0"/>
    <x v="0"/>
    <n v="7410"/>
    <n v="0"/>
    <n v="7410"/>
    <x v="0"/>
    <x v="0"/>
    <x v="0"/>
    <x v="0"/>
    <x v="0"/>
  </r>
  <r>
    <x v="3"/>
    <x v="0"/>
    <x v="0"/>
    <x v="0"/>
    <x v="0"/>
    <x v="11"/>
    <x v="11"/>
    <n v="26659"/>
    <s v="31908098"/>
    <s v="LOPEZ GARCIA MARIA DEL SOCORR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235"/>
    <n v="7032"/>
    <n v="0"/>
    <n v="7032"/>
    <x v="0"/>
    <x v="0"/>
    <x v="0"/>
    <n v="7032"/>
    <n v="0"/>
    <n v="7032"/>
    <x v="0"/>
    <x v="0"/>
    <x v="0"/>
    <n v="7032"/>
    <n v="0"/>
    <n v="7032"/>
    <x v="0"/>
    <x v="0"/>
    <x v="0"/>
    <x v="0"/>
    <x v="0"/>
  </r>
  <r>
    <x v="3"/>
    <x v="0"/>
    <x v="0"/>
    <x v="0"/>
    <x v="0"/>
    <x v="11"/>
    <x v="11"/>
    <n v="26660"/>
    <s v="71631400"/>
    <s v="CARRASQUILLA PIZARRO MARCO ANTONI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8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27"/>
    <s v="71631400"/>
    <s v="CARRASQUILLA PIZARRO MARCO ANTONIO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3"/>
    <x v="0"/>
    <x v="0"/>
    <x v="0"/>
    <x v="0"/>
    <x v="11"/>
    <x v="11"/>
    <n v="26728"/>
    <s v="1045717933"/>
    <s v="PALMA GUTIERREZ KETTY JANETH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1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49"/>
    <s v="1098657994"/>
    <s v="HERNANDEZ ROJAS JOHN EDISON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2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750"/>
    <s v="4519543"/>
    <s v="GARCIA CASTAÑO FREDY JHOVANNY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4 _x000d__x000a_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51"/>
    <s v="1018441067"/>
    <s v="ALONSO GUTIERREZ YINNETH CATALINA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4_x000d__x000a_AE 752"/>
    <n v="10073"/>
    <n v="0"/>
    <n v="10073"/>
    <x v="0"/>
    <x v="0"/>
    <x v="0"/>
    <n v="10073"/>
    <n v="0"/>
    <n v="10073"/>
    <x v="0"/>
    <x v="0"/>
    <x v="0"/>
    <n v="10073"/>
    <n v="0"/>
    <n v="10073"/>
    <x v="0"/>
    <x v="0"/>
    <x v="0"/>
    <x v="0"/>
    <x v="0"/>
  </r>
  <r>
    <x v="3"/>
    <x v="0"/>
    <x v="0"/>
    <x v="0"/>
    <x v="0"/>
    <x v="11"/>
    <x v="11"/>
    <n v="26752"/>
    <s v="1045717933"/>
    <s v="PALMA GUTIERREZ KETTY JANETH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SN 199"/>
    <n v="3968"/>
    <n v="0"/>
    <n v="3968"/>
    <x v="0"/>
    <x v="0"/>
    <x v="0"/>
    <n v="3968"/>
    <n v="0"/>
    <n v="3968"/>
    <x v="0"/>
    <x v="0"/>
    <x v="0"/>
    <n v="3968"/>
    <n v="0"/>
    <n v="396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2"/>
    <x v="2"/>
    <n v="20493"/>
    <s v="IE9692928F"/>
    <s v="FACEBOOK IRELAND LIMITED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CK"/>
    <n v="5082.54"/>
    <n v="0"/>
    <n v="5082.54"/>
    <x v="0"/>
    <x v="0"/>
    <x v="0"/>
    <n v="5082.54"/>
    <n v="0"/>
    <n v="5082.54"/>
    <x v="0"/>
    <x v="0"/>
    <x v="0"/>
    <n v="5082.54"/>
    <n v="0"/>
    <n v="5082.54"/>
    <x v="0"/>
    <x v="0"/>
    <x v="0"/>
    <x v="0"/>
    <x v="0"/>
  </r>
  <r>
    <x v="3"/>
    <x v="0"/>
    <x v="0"/>
    <x v="0"/>
    <x v="0"/>
    <x v="12"/>
    <x v="12"/>
    <n v="6925"/>
    <s v="860035827"/>
    <s v="BANCO AV VILLAS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credito 002527366-7_x000d__x000a_saldo         credito  002277483-7"/>
    <n v="16319"/>
    <n v="0"/>
    <n v="16319"/>
    <x v="0"/>
    <x v="0"/>
    <x v="0"/>
    <n v="16319"/>
    <n v="0"/>
    <n v="16319"/>
    <x v="0"/>
    <x v="0"/>
    <x v="0"/>
    <n v="16319"/>
    <n v="0"/>
    <n v="16319"/>
    <x v="0"/>
    <x v="0"/>
    <x v="0"/>
    <x v="0"/>
    <x v="0"/>
  </r>
  <r>
    <x v="3"/>
    <x v="0"/>
    <x v="0"/>
    <x v="0"/>
    <x v="0"/>
    <x v="2"/>
    <x v="2"/>
    <n v="20494"/>
    <s v="860002964"/>
    <s v="BANCO DE BOGOTA S.A.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0349 BANCO DE BOGOTA"/>
    <n v="17493"/>
    <n v="0"/>
    <n v="17493"/>
    <x v="0"/>
    <x v="0"/>
    <x v="0"/>
    <n v="17493"/>
    <n v="0"/>
    <n v="17493"/>
    <x v="0"/>
    <x v="0"/>
    <x v="0"/>
    <n v="17493"/>
    <n v="0"/>
    <n v="17493"/>
    <x v="0"/>
    <x v="0"/>
    <x v="0"/>
    <x v="0"/>
    <x v="0"/>
  </r>
  <r>
    <x v="3"/>
    <x v="0"/>
    <x v="0"/>
    <x v="0"/>
    <x v="0"/>
    <x v="2"/>
    <x v="2"/>
    <n v="20501"/>
    <s v="860002964"/>
    <s v="BANCO DE BOGOTA S.A."/>
    <s v="201907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DE BANCARIOS BANCO DE BOGOTA  - MES DE JUNIO"/>
    <n v="103984.24"/>
    <n v="0"/>
    <n v="103984.24"/>
    <x v="0"/>
    <x v="0"/>
    <x v="0"/>
    <n v="103984.24"/>
    <n v="0"/>
    <n v="103984.24"/>
    <x v="0"/>
    <x v="0"/>
    <x v="0"/>
    <n v="103984.24"/>
    <n v="0"/>
    <n v="103984.24"/>
    <x v="0"/>
    <x v="0"/>
    <x v="0"/>
    <x v="0"/>
    <x v="0"/>
  </r>
  <r>
    <x v="3"/>
    <x v="0"/>
    <x v="0"/>
    <x v="0"/>
    <x v="0"/>
    <x v="11"/>
    <x v="11"/>
    <n v="26763"/>
    <s v="32896574"/>
    <s v="DE PAZ DIAZ JOHADYS ELENA"/>
    <s v="2019071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6"/>
    <n v="10607"/>
    <n v="0"/>
    <n v="10607"/>
    <x v="0"/>
    <x v="0"/>
    <x v="0"/>
    <n v="10607"/>
    <n v="0"/>
    <n v="10607"/>
    <x v="0"/>
    <x v="0"/>
    <x v="0"/>
    <n v="10607"/>
    <n v="0"/>
    <n v="10607"/>
    <x v="0"/>
    <x v="0"/>
    <x v="0"/>
    <x v="0"/>
    <x v="0"/>
  </r>
  <r>
    <x v="3"/>
    <x v="0"/>
    <x v="0"/>
    <x v="0"/>
    <x v="0"/>
    <x v="11"/>
    <x v="11"/>
    <n v="26764"/>
    <s v="71631400"/>
    <s v="CARRASQUILLA PIZARRO MARCO ANTONIO"/>
    <s v="201907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5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70"/>
    <s v="71631400"/>
    <s v="CARRASQUILLA PIZARRO MARCO ANTONIO"/>
    <s v="201907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589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3"/>
    <x v="0"/>
    <x v="0"/>
    <x v="0"/>
    <x v="0"/>
    <x v="11"/>
    <x v="11"/>
    <n v="26771"/>
    <s v="71631400"/>
    <s v="CARRASQUILLA PIZARRO MARCO ANTONIO"/>
    <s v="201907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"/>
    <n v="6000"/>
    <n v="0"/>
    <n v="6000"/>
    <x v="0"/>
    <x v="0"/>
    <x v="0"/>
    <n v="6000"/>
    <n v="0"/>
    <n v="6000"/>
    <x v="0"/>
    <x v="0"/>
    <x v="0"/>
    <n v="6000"/>
    <n v="0"/>
    <n v="6000"/>
    <x v="0"/>
    <x v="0"/>
    <x v="0"/>
    <x v="0"/>
    <x v="0"/>
  </r>
  <r>
    <x v="3"/>
    <x v="0"/>
    <x v="0"/>
    <x v="0"/>
    <x v="0"/>
    <x v="11"/>
    <x v="11"/>
    <n v="26887"/>
    <s v="1045717933"/>
    <s v="PALMA GUTIERREZ KETTY JANETH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888"/>
    <s v="4519543"/>
    <s v="GARCIA CASTAÑO FREDY JHOVANNY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8"/>
    <n v="2560"/>
    <n v="0"/>
    <n v="2560"/>
    <x v="0"/>
    <x v="0"/>
    <x v="0"/>
    <n v="2560"/>
    <n v="0"/>
    <n v="2560"/>
    <x v="0"/>
    <x v="0"/>
    <x v="0"/>
    <n v="2560"/>
    <n v="0"/>
    <n v="2560"/>
    <x v="0"/>
    <x v="0"/>
    <x v="0"/>
    <x v="0"/>
    <x v="0"/>
  </r>
  <r>
    <x v="3"/>
    <x v="0"/>
    <x v="0"/>
    <x v="0"/>
    <x v="0"/>
    <x v="11"/>
    <x v="11"/>
    <n v="26889"/>
    <s v="31908098"/>
    <s v="LOPEZ GARCIA MARIA DEL SOCORRO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"/>
    <n v="8557"/>
    <n v="0"/>
    <n v="8557"/>
    <x v="0"/>
    <x v="0"/>
    <x v="0"/>
    <n v="8557"/>
    <n v="0"/>
    <n v="8557"/>
    <x v="0"/>
    <x v="0"/>
    <x v="0"/>
    <n v="8557"/>
    <n v="0"/>
    <n v="8557"/>
    <x v="0"/>
    <x v="0"/>
    <x v="0"/>
    <x v="0"/>
    <x v="0"/>
  </r>
  <r>
    <x v="3"/>
    <x v="0"/>
    <x v="0"/>
    <x v="0"/>
    <x v="0"/>
    <x v="11"/>
    <x v="11"/>
    <n v="26890"/>
    <s v="1098657994"/>
    <s v="HERNANDEZ ROJAS JOHN EDISON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6"/>
    <n v="6596"/>
    <n v="0"/>
    <n v="6596"/>
    <x v="0"/>
    <x v="0"/>
    <x v="0"/>
    <n v="6596"/>
    <n v="0"/>
    <n v="6596"/>
    <x v="0"/>
    <x v="0"/>
    <x v="0"/>
    <n v="6596"/>
    <n v="0"/>
    <n v="6596"/>
    <x v="0"/>
    <x v="0"/>
    <x v="0"/>
    <x v="0"/>
    <x v="0"/>
  </r>
  <r>
    <x v="3"/>
    <x v="0"/>
    <x v="0"/>
    <x v="0"/>
    <x v="0"/>
    <x v="11"/>
    <x v="11"/>
    <n v="26891"/>
    <s v="1018441067"/>
    <s v="ALONSO GUTIERREZ YINNETH CATALINA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5"/>
    <n v="10938"/>
    <n v="0"/>
    <n v="10938"/>
    <x v="0"/>
    <x v="0"/>
    <x v="0"/>
    <n v="10938"/>
    <n v="0"/>
    <n v="10938"/>
    <x v="0"/>
    <x v="0"/>
    <x v="0"/>
    <n v="10938"/>
    <n v="0"/>
    <n v="10938"/>
    <x v="0"/>
    <x v="0"/>
    <x v="0"/>
    <x v="0"/>
    <x v="0"/>
  </r>
  <r>
    <x v="3"/>
    <x v="0"/>
    <x v="0"/>
    <x v="0"/>
    <x v="0"/>
    <x v="2"/>
    <x v="2"/>
    <n v="20590"/>
    <s v="890300279"/>
    <s v="BANCO DE OCCIDENTE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141400.89000000001"/>
    <n v="0"/>
    <n v="141400.89000000001"/>
    <x v="0"/>
    <x v="0"/>
    <x v="0"/>
    <n v="141400.89000000001"/>
    <n v="0"/>
    <n v="141400.89000000001"/>
    <x v="0"/>
    <x v="0"/>
    <x v="0"/>
    <n v="141400.89000000001"/>
    <n v="0"/>
    <n v="141400.89000000001"/>
    <x v="0"/>
    <x v="0"/>
    <x v="0"/>
    <x v="0"/>
    <x v="0"/>
  </r>
  <r>
    <x v="3"/>
    <x v="0"/>
    <x v="0"/>
    <x v="0"/>
    <x v="0"/>
    <x v="2"/>
    <x v="2"/>
    <n v="20595"/>
    <s v="860002964"/>
    <s v="BANCO DE BOGOT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87363.27"/>
    <n v="0"/>
    <n v="87363.27"/>
    <x v="0"/>
    <x v="0"/>
    <x v="0"/>
    <n v="87363.27"/>
    <n v="0"/>
    <n v="87363.27"/>
    <x v="0"/>
    <x v="0"/>
    <x v="0"/>
    <n v="87363.27"/>
    <n v="0"/>
    <n v="87363.2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81282"/>
    <n v="0"/>
    <n v="381282"/>
    <x v="0"/>
    <x v="0"/>
    <x v="0"/>
    <n v="381282"/>
    <n v="0"/>
    <n v="381282"/>
    <x v="0"/>
    <x v="0"/>
    <x v="0"/>
    <n v="381282"/>
    <n v="0"/>
    <n v="381282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7999.88"/>
    <n v="0"/>
    <n v="17999.88"/>
    <x v="0"/>
    <x v="0"/>
    <x v="0"/>
    <n v="17999.88"/>
    <n v="0"/>
    <n v="17999.88"/>
    <x v="0"/>
    <x v="0"/>
    <x v="0"/>
    <n v="17999.88"/>
    <n v="0"/>
    <n v="1799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36906"/>
    <n v="0"/>
    <n v="436906"/>
    <x v="0"/>
    <x v="0"/>
    <x v="0"/>
    <n v="436906"/>
    <n v="0"/>
    <n v="436906"/>
    <x v="0"/>
    <x v="0"/>
    <x v="0"/>
    <n v="436906"/>
    <n v="0"/>
    <n v="4369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5508.399999999994"/>
    <n v="0"/>
    <n v="75508.400000000009"/>
    <x v="0"/>
    <x v="0"/>
    <x v="0"/>
    <n v="75508.399999999994"/>
    <n v="0"/>
    <n v="75508.400000000009"/>
    <x v="0"/>
    <x v="0"/>
    <x v="0"/>
    <n v="75508.399999999994"/>
    <n v="0"/>
    <n v="75508.4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403.68"/>
    <n v="0"/>
    <n v="50403.68"/>
    <x v="0"/>
    <x v="0"/>
    <x v="0"/>
    <n v="50403.68"/>
    <n v="0"/>
    <n v="50403.68"/>
    <x v="0"/>
    <x v="0"/>
    <x v="0"/>
    <n v="50403.68"/>
    <n v="0"/>
    <n v="50403.68"/>
    <x v="0"/>
    <x v="0"/>
    <x v="0"/>
    <x v="0"/>
    <x v="0"/>
  </r>
  <r>
    <x v="4"/>
    <x v="0"/>
    <x v="0"/>
    <x v="0"/>
    <x v="0"/>
    <x v="1"/>
    <x v="1"/>
    <n v="2439"/>
    <s v="900466196"/>
    <s v="BLUEFIELDS FINANCIAL COLOMBIA"/>
    <s v="2019080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66196"/>
    <s v="BLUEFIELDS FINANCIAL COLOM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VALOR PAGADO DOBLE A PROVEEDOR, ESTE SE HABIA PAGADO CON TC_x000d__x000a_(PEL 26239 - NI 20407)"/>
    <n v="6783"/>
    <n v="0"/>
    <n v="6783"/>
    <x v="0"/>
    <x v="0"/>
    <x v="0"/>
    <n v="6783"/>
    <n v="0"/>
    <n v="6783"/>
    <x v="0"/>
    <x v="0"/>
    <x v="0"/>
    <n v="6783"/>
    <n v="0"/>
    <n v="6783"/>
    <x v="0"/>
    <x v="0"/>
    <x v="0"/>
    <x v="0"/>
    <x v="0"/>
  </r>
  <r>
    <x v="4"/>
    <x v="0"/>
    <x v="0"/>
    <x v="0"/>
    <x v="0"/>
    <x v="11"/>
    <x v="11"/>
    <n v="26911"/>
    <s v="1045717933"/>
    <s v="PALMA GUTIERREZ KETTY JANETH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8"/>
    <n v="6877"/>
    <n v="0"/>
    <n v="6877"/>
    <x v="0"/>
    <x v="0"/>
    <x v="0"/>
    <n v="6877"/>
    <n v="0"/>
    <n v="6877"/>
    <x v="0"/>
    <x v="0"/>
    <x v="0"/>
    <n v="6877"/>
    <n v="0"/>
    <n v="6877"/>
    <x v="0"/>
    <x v="0"/>
    <x v="0"/>
    <x v="0"/>
    <x v="0"/>
  </r>
  <r>
    <x v="4"/>
    <x v="0"/>
    <x v="0"/>
    <x v="0"/>
    <x v="0"/>
    <x v="11"/>
    <x v="11"/>
    <n v="26912"/>
    <s v="1036930909"/>
    <s v="ALZATE SANCHEZ NATACHA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0"/>
    <n v="11603"/>
    <n v="0"/>
    <n v="11603"/>
    <x v="0"/>
    <x v="0"/>
    <x v="0"/>
    <n v="11603"/>
    <n v="0"/>
    <n v="11603"/>
    <x v="0"/>
    <x v="0"/>
    <x v="0"/>
    <n v="11603"/>
    <n v="0"/>
    <n v="11603"/>
    <x v="0"/>
    <x v="0"/>
    <x v="0"/>
    <x v="0"/>
    <x v="0"/>
  </r>
  <r>
    <x v="4"/>
    <x v="0"/>
    <x v="0"/>
    <x v="0"/>
    <x v="0"/>
    <x v="11"/>
    <x v="11"/>
    <n v="26913"/>
    <s v="4519543"/>
    <s v="GARCIA CASTAÑO FREDY JHOVANNY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8"/>
    <n v="6515.88"/>
    <n v="0"/>
    <n v="6515.88"/>
    <x v="0"/>
    <x v="0"/>
    <x v="0"/>
    <n v="6515.88"/>
    <n v="0"/>
    <n v="6515.88"/>
    <x v="0"/>
    <x v="0"/>
    <x v="0"/>
    <n v="6515.88"/>
    <n v="0"/>
    <n v="6515.88"/>
    <x v="0"/>
    <x v="0"/>
    <x v="0"/>
    <x v="0"/>
    <x v="0"/>
  </r>
  <r>
    <x v="4"/>
    <x v="0"/>
    <x v="0"/>
    <x v="0"/>
    <x v="0"/>
    <x v="11"/>
    <x v="11"/>
    <n v="26914"/>
    <s v="71631400"/>
    <s v="CARRASQUILLA PIZARRO MARCO ANTONIO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91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2"/>
    <x v="2"/>
    <n v="20582"/>
    <s v="860035827"/>
    <s v="BANCO AV VILLAS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 AV VILLAS"/>
    <n v="516768"/>
    <n v="0"/>
    <n v="516768"/>
    <x v="0"/>
    <x v="0"/>
    <x v="0"/>
    <n v="516768"/>
    <n v="0"/>
    <n v="516768"/>
    <x v="0"/>
    <x v="0"/>
    <x v="0"/>
    <n v="516768"/>
    <n v="0"/>
    <n v="516768"/>
    <x v="0"/>
    <x v="0"/>
    <x v="0"/>
    <x v="0"/>
    <x v="0"/>
  </r>
  <r>
    <x v="4"/>
    <x v="0"/>
    <x v="0"/>
    <x v="0"/>
    <x v="0"/>
    <x v="13"/>
    <x v="13"/>
    <n v="138"/>
    <s v="29873536"/>
    <s v="ZUÑIGA CEBALLOS CLAUDIA MARIA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V VILLAS - FALTANTE EN ULTIMA CUOTA CREDITO 22774837"/>
    <n v="13962"/>
    <n v="0"/>
    <n v="13962"/>
    <x v="0"/>
    <x v="0"/>
    <x v="0"/>
    <n v="13962"/>
    <n v="0"/>
    <n v="13962"/>
    <x v="0"/>
    <x v="0"/>
    <x v="0"/>
    <n v="13962"/>
    <n v="0"/>
    <n v="13962"/>
    <x v="0"/>
    <x v="0"/>
    <x v="0"/>
    <x v="0"/>
    <x v="0"/>
  </r>
  <r>
    <x v="4"/>
    <x v="0"/>
    <x v="0"/>
    <x v="0"/>
    <x v="0"/>
    <x v="2"/>
    <x v="2"/>
    <n v="20618"/>
    <s v="890300279"/>
    <s v="BANCO DE OCCIDENTE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ACION DE CUENTA BANCO DE OCCIDENTE PAGO DE OBLIGACION"/>
    <n v="215451.21"/>
    <n v="0"/>
    <n v="215451.21"/>
    <x v="0"/>
    <x v="0"/>
    <x v="0"/>
    <n v="215451.21"/>
    <n v="0"/>
    <n v="215451.21"/>
    <x v="0"/>
    <x v="0"/>
    <x v="0"/>
    <n v="215451.21"/>
    <n v="0"/>
    <n v="215451.21"/>
    <x v="0"/>
    <x v="0"/>
    <x v="0"/>
    <x v="0"/>
    <x v="0"/>
  </r>
  <r>
    <x v="4"/>
    <x v="0"/>
    <x v="0"/>
    <x v="0"/>
    <x v="0"/>
    <x v="2"/>
    <x v="2"/>
    <n v="20619"/>
    <s v="900406150"/>
    <s v="BANCO COOMEV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 JULIO BANCOOMEVA"/>
    <n v="69668"/>
    <n v="0"/>
    <n v="69668"/>
    <x v="0"/>
    <x v="0"/>
    <x v="0"/>
    <n v="69668"/>
    <n v="0"/>
    <n v="69668"/>
    <x v="0"/>
    <x v="0"/>
    <x v="0"/>
    <n v="69668"/>
    <n v="0"/>
    <n v="69668"/>
    <x v="0"/>
    <x v="0"/>
    <x v="0"/>
    <x v="0"/>
    <x v="0"/>
  </r>
  <r>
    <x v="4"/>
    <x v="0"/>
    <x v="0"/>
    <x v="0"/>
    <x v="0"/>
    <x v="2"/>
    <x v="2"/>
    <n v="20620"/>
    <s v="890903938"/>
    <s v="BANCOLOMBI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JULIO 9028"/>
    <n v="0"/>
    <n v="438.82"/>
    <n v="-438.82"/>
    <x v="0"/>
    <x v="0"/>
    <x v="0"/>
    <n v="0"/>
    <n v="438.82"/>
    <n v="-438.82"/>
    <x v="0"/>
    <x v="0"/>
    <x v="0"/>
    <n v="0"/>
    <n v="438.82"/>
    <n v="-438.82"/>
    <x v="0"/>
    <x v="0"/>
    <x v="0"/>
    <x v="0"/>
    <x v="0"/>
  </r>
  <r>
    <x v="4"/>
    <x v="0"/>
    <x v="0"/>
    <x v="0"/>
    <x v="0"/>
    <x v="11"/>
    <x v="11"/>
    <n v="27010"/>
    <s v="1018441067"/>
    <s v="ALONSO GUTIERREZ YINNETH CATALINA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1_x000d__x000a_CJM 246"/>
    <n v="15981"/>
    <n v="0"/>
    <n v="15981"/>
    <x v="0"/>
    <x v="0"/>
    <x v="0"/>
    <n v="15981"/>
    <n v="0"/>
    <n v="15981"/>
    <x v="0"/>
    <x v="0"/>
    <x v="0"/>
    <n v="15981"/>
    <n v="0"/>
    <n v="15981"/>
    <x v="0"/>
    <x v="0"/>
    <x v="0"/>
    <x v="0"/>
    <x v="0"/>
  </r>
  <r>
    <x v="4"/>
    <x v="0"/>
    <x v="0"/>
    <x v="0"/>
    <x v="0"/>
    <x v="2"/>
    <x v="2"/>
    <n v="20648"/>
    <s v="860007660"/>
    <s v="HELM BANK S.A.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115174.86"/>
    <n v="0"/>
    <n v="115174.86"/>
    <x v="0"/>
    <x v="0"/>
    <x v="0"/>
    <n v="115174.86"/>
    <n v="0"/>
    <n v="115174.86"/>
    <x v="0"/>
    <x v="0"/>
    <x v="0"/>
    <n v="115174.86"/>
    <n v="0"/>
    <n v="115174.86"/>
    <x v="0"/>
    <x v="0"/>
    <x v="0"/>
    <x v="0"/>
    <x v="0"/>
  </r>
  <r>
    <x v="4"/>
    <x v="0"/>
    <x v="0"/>
    <x v="0"/>
    <x v="0"/>
    <x v="11"/>
    <x v="11"/>
    <n v="27042"/>
    <s v="1045717933"/>
    <s v="PALMA GUTIERREZ KETTY JANETH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85"/>
    <n v="3420"/>
    <n v="0"/>
    <n v="3420"/>
    <x v="0"/>
    <x v="0"/>
    <x v="0"/>
    <n v="3420"/>
    <n v="0"/>
    <n v="3420"/>
    <x v="0"/>
    <x v="0"/>
    <x v="0"/>
    <n v="3420"/>
    <n v="0"/>
    <n v="3420"/>
    <x v="0"/>
    <x v="0"/>
    <x v="0"/>
    <x v="0"/>
    <x v="0"/>
  </r>
  <r>
    <x v="4"/>
    <x v="0"/>
    <x v="0"/>
    <x v="0"/>
    <x v="0"/>
    <x v="11"/>
    <x v="11"/>
    <n v="27043"/>
    <s v="4519543"/>
    <s v="GARCIA CASTAÑO FREDY JHOVANNY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AN 106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11"/>
    <x v="11"/>
    <n v="27044"/>
    <s v="1098657994"/>
    <s v="HERNANDEZ ROJAS JOHN EDISON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4_x000d__x000a_CJM 187"/>
    <n v="9356"/>
    <n v="0"/>
    <n v="9356"/>
    <x v="0"/>
    <x v="0"/>
    <x v="0"/>
    <n v="9356"/>
    <n v="0"/>
    <n v="9356"/>
    <x v="0"/>
    <x v="0"/>
    <x v="0"/>
    <n v="9356"/>
    <n v="0"/>
    <n v="9356"/>
    <x v="0"/>
    <x v="0"/>
    <x v="0"/>
    <x v="0"/>
    <x v="0"/>
  </r>
  <r>
    <x v="4"/>
    <x v="0"/>
    <x v="0"/>
    <x v="0"/>
    <x v="0"/>
    <x v="2"/>
    <x v="2"/>
    <n v="20689"/>
    <s v="440000000330"/>
    <s v="BANCOLOMBIA CAYMAN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GOSTO 2019  (TR 3427.29)"/>
    <n v="373403.25"/>
    <n v="0"/>
    <n v="373403.25"/>
    <x v="0"/>
    <x v="0"/>
    <x v="0"/>
    <n v="373403.25"/>
    <n v="0"/>
    <n v="373403.25"/>
    <x v="0"/>
    <x v="0"/>
    <x v="0"/>
    <n v="373403.25"/>
    <n v="0"/>
    <n v="373403.25"/>
    <x v="0"/>
    <x v="0"/>
    <x v="0"/>
    <x v="0"/>
    <x v="0"/>
  </r>
  <r>
    <x v="4"/>
    <x v="0"/>
    <x v="0"/>
    <x v="0"/>
    <x v="0"/>
    <x v="2"/>
    <x v="2"/>
    <n v="20740"/>
    <s v="860002964"/>
    <s v="BANCO DE BOGOT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BOGOTA MES DE AGOSTO DEL 2019"/>
    <n v="102214.69"/>
    <n v="0"/>
    <n v="102214.69"/>
    <x v="0"/>
    <x v="0"/>
    <x v="0"/>
    <n v="102214.69"/>
    <n v="0"/>
    <n v="102214.69"/>
    <x v="0"/>
    <x v="0"/>
    <x v="0"/>
    <n v="102214.69"/>
    <n v="0"/>
    <n v="102214.69"/>
    <x v="0"/>
    <x v="0"/>
    <x v="0"/>
    <x v="0"/>
    <x v="0"/>
  </r>
  <r>
    <x v="4"/>
    <x v="0"/>
    <x v="0"/>
    <x v="0"/>
    <x v="0"/>
    <x v="2"/>
    <x v="2"/>
    <n v="20729"/>
    <s v="900406150"/>
    <s v="BANCO COOMEV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A  GASTOS BANCARIOS MES DE AGOSTOS DEL 2019"/>
    <n v="0"/>
    <n v="23104"/>
    <n v="-23104"/>
    <x v="0"/>
    <x v="0"/>
    <x v="0"/>
    <n v="0"/>
    <n v="23104"/>
    <n v="-23104"/>
    <x v="0"/>
    <x v="0"/>
    <x v="0"/>
    <n v="0"/>
    <n v="23104"/>
    <n v="-23104"/>
    <x v="0"/>
    <x v="0"/>
    <x v="0"/>
    <x v="0"/>
    <x v="0"/>
  </r>
  <r>
    <x v="4"/>
    <x v="0"/>
    <x v="0"/>
    <x v="0"/>
    <x v="0"/>
    <x v="2"/>
    <x v="2"/>
    <n v="20730"/>
    <s v="890300279"/>
    <s v="BANCO DE OCCIDENTE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OS MES DE AGOSTO DEL 2019"/>
    <n v="31134.66"/>
    <n v="0"/>
    <n v="31134.66"/>
    <x v="0"/>
    <x v="0"/>
    <x v="0"/>
    <n v="31134.66"/>
    <n v="0"/>
    <n v="31134.66"/>
    <x v="0"/>
    <x v="0"/>
    <x v="0"/>
    <n v="31134.66"/>
    <n v="0"/>
    <n v="31134.66"/>
    <x v="0"/>
    <x v="0"/>
    <x v="0"/>
    <x v="0"/>
    <x v="0"/>
  </r>
  <r>
    <x v="4"/>
    <x v="0"/>
    <x v="0"/>
    <x v="0"/>
    <x v="0"/>
    <x v="2"/>
    <x v="2"/>
    <n v="20696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TARJETA DE CREDITO EN PESOS BANCOLOMBIA"/>
    <n v="3211.06"/>
    <n v="0"/>
    <n v="3211.06"/>
    <x v="0"/>
    <x v="0"/>
    <x v="0"/>
    <n v="3211.06"/>
    <n v="0"/>
    <n v="3211.06"/>
    <x v="0"/>
    <x v="0"/>
    <x v="0"/>
    <n v="3211.06"/>
    <n v="0"/>
    <n v="3211.06"/>
    <x v="0"/>
    <x v="0"/>
    <x v="0"/>
    <x v="0"/>
    <x v="0"/>
  </r>
  <r>
    <x v="4"/>
    <x v="0"/>
    <x v="0"/>
    <x v="0"/>
    <x v="0"/>
    <x v="2"/>
    <x v="2"/>
    <n v="20697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DE VALORES Y GASTOS BANCARIOS EN CONCILIACION DE AGOSTO DE 2019"/>
    <n v="62810"/>
    <n v="0"/>
    <n v="62810"/>
    <x v="0"/>
    <x v="0"/>
    <x v="0"/>
    <n v="62810"/>
    <n v="0"/>
    <n v="62810"/>
    <x v="0"/>
    <x v="0"/>
    <x v="0"/>
    <n v="62810"/>
    <n v="0"/>
    <n v="6281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1309.66"/>
    <n v="0"/>
    <n v="111309.66"/>
    <x v="0"/>
    <x v="0"/>
    <x v="0"/>
    <n v="111309.66"/>
    <n v="0"/>
    <n v="111309.66"/>
    <x v="0"/>
    <x v="0"/>
    <x v="0"/>
    <n v="111309.66"/>
    <n v="0"/>
    <n v="111309.6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11"/>
    <x v="11"/>
    <n v="26930"/>
    <s v="1098657994"/>
    <s v="HERNANDEZ ROJAS JOHN EDISON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4"/>
    <x v="0"/>
    <x v="0"/>
    <x v="0"/>
    <x v="0"/>
    <x v="11"/>
    <x v="11"/>
    <n v="26997"/>
    <s v="29873536"/>
    <s v="ZUÑIGA CEBALLOS CLAUDIA MARIA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7"/>
    <n v="10202"/>
    <n v="0"/>
    <n v="10202"/>
    <x v="0"/>
    <x v="0"/>
    <x v="0"/>
    <n v="10202"/>
    <n v="0"/>
    <n v="10202"/>
    <x v="0"/>
    <x v="0"/>
    <x v="0"/>
    <n v="10202"/>
    <n v="0"/>
    <n v="10202"/>
    <x v="0"/>
    <x v="0"/>
    <x v="0"/>
    <x v="0"/>
    <x v="0"/>
  </r>
  <r>
    <x v="4"/>
    <x v="0"/>
    <x v="0"/>
    <x v="0"/>
    <x v="0"/>
    <x v="11"/>
    <x v="11"/>
    <n v="26998"/>
    <s v="31908098"/>
    <s v="LOPEZ GARCIA MARIA DEL SOCORRO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"/>
    <n v="10749"/>
    <n v="0"/>
    <n v="10749"/>
    <x v="0"/>
    <x v="0"/>
    <x v="0"/>
    <n v="10749"/>
    <n v="0"/>
    <n v="10749"/>
    <x v="0"/>
    <x v="0"/>
    <x v="0"/>
    <n v="10749"/>
    <n v="0"/>
    <n v="10749"/>
    <x v="0"/>
    <x v="0"/>
    <x v="0"/>
    <x v="0"/>
    <x v="0"/>
  </r>
  <r>
    <x v="4"/>
    <x v="0"/>
    <x v="0"/>
    <x v="0"/>
    <x v="0"/>
    <x v="11"/>
    <x v="11"/>
    <n v="27089"/>
    <s v="71631400"/>
    <s v="CARRASQUILLA PIZARRO MARCO ANTONIO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2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37218"/>
    <n v="0"/>
    <n v="537218"/>
    <x v="0"/>
    <x v="0"/>
    <x v="0"/>
    <n v="537218"/>
    <n v="0"/>
    <n v="537218"/>
    <x v="0"/>
    <x v="0"/>
    <x v="0"/>
    <n v="537218"/>
    <n v="0"/>
    <n v="5372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7754.199999999997"/>
    <n v="0"/>
    <n v="37754.200000000004"/>
    <x v="0"/>
    <x v="0"/>
    <x v="0"/>
    <n v="37754.199999999997"/>
    <n v="0"/>
    <n v="37754.200000000004"/>
    <x v="0"/>
    <x v="0"/>
    <x v="0"/>
    <n v="37754.199999999997"/>
    <n v="0"/>
    <n v="37754.2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3495.7"/>
    <n v="0"/>
    <n v="63495.700000000004"/>
    <x v="0"/>
    <x v="0"/>
    <x v="0"/>
    <n v="63495.7"/>
    <n v="0"/>
    <n v="63495.700000000004"/>
    <x v="0"/>
    <x v="0"/>
    <x v="0"/>
    <n v="63495.7"/>
    <n v="0"/>
    <n v="63495.7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426756"/>
    <n v="0"/>
    <n v="426756"/>
    <x v="0"/>
    <x v="0"/>
    <x v="0"/>
    <n v="426756"/>
    <n v="0"/>
    <n v="426756"/>
    <x v="0"/>
    <x v="0"/>
    <x v="0"/>
    <n v="426756"/>
    <n v="0"/>
    <n v="426756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1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0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1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0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1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0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  <r>
    <x v="0"/>
    <x v="0"/>
    <x v="0"/>
    <x v="1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0"/>
    <x v="0"/>
    <x v="0"/>
    <x v="1"/>
  </r>
  <r>
    <x v="0"/>
    <x v="0"/>
    <x v="0"/>
    <x v="0"/>
    <x v="0"/>
    <x v="2"/>
    <x v="2"/>
    <x v="1"/>
    <x v="1"/>
    <x v="1"/>
    <x v="2"/>
    <x v="2"/>
    <x v="2"/>
    <x v="2"/>
    <x v="2"/>
    <x v="2"/>
    <x v="2"/>
    <x v="2"/>
    <x v="2"/>
    <x v="2"/>
    <x v="2"/>
    <x v="2"/>
    <x v="2"/>
    <x v="2"/>
    <x v="0"/>
    <x v="0"/>
    <x v="0"/>
    <x v="0"/>
    <x v="0"/>
    <x v="0"/>
    <x v="0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ED6E0B-9969-43E2-A156-6DD916CE0F93}" name="UnoBiable: SmartZoom 002 en ctas" cacheId="2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542:G547" firstHeaderRow="2" firstDataRow="2" firstDataCol="2" rowPageCount="1" colPageCount="1"/>
  <pivotFields count="33"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3">
        <item x="0"/>
        <item x="1"/>
        <item x="2"/>
      </items>
    </pivotField>
    <pivotField axis="axisRow" compact="0" outline="0" showAll="0">
      <items count="4"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2">
    <field x="5"/>
    <field x="6"/>
  </rowFields>
  <rowItems count="4">
    <i>
      <x/>
      <x/>
    </i>
    <i>
      <x v="1"/>
      <x v="1"/>
    </i>
    <i>
      <x v="2"/>
      <x v="2"/>
    </i>
    <i t="grand">
      <x/>
    </i>
  </rowItems>
  <colItems count="1">
    <i/>
  </colItems>
  <pageFields count="1">
    <pageField fld="0" hier="-1"/>
  </pageFields>
  <dataFields count="1">
    <dataField name="Suma de Valor Presupuesto" fld="32" baseField="0" baseItem="0" numFmtId="41"/>
  </dataFields>
  <formats count="23">
    <format dxfId="0">
      <pivotArea outline="0" collapsedLevelsAreSubtotals="1" fieldPosition="0"/>
    </format>
    <format dxfId="1">
      <pivotArea type="all" dataOnly="0" outline="0" fieldPosition="0"/>
    </format>
    <format dxfId="2">
      <pivotArea outline="0" collapsedLevelsAreSubtotals="1" fieldPosition="0"/>
    </format>
    <format dxfId="3">
      <pivotArea type="origin" dataOnly="0" labelOnly="1" outline="0" fieldPosition="0"/>
    </format>
    <format dxfId="4">
      <pivotArea field="5" type="button" dataOnly="0" labelOnly="1" outline="0" axis="axisRow" fieldPosition="0"/>
    </format>
    <format dxfId="5">
      <pivotArea field="6" type="button" dataOnly="0" labelOnly="1" outline="0" axis="axisRow" fieldPosition="1"/>
    </format>
    <format dxfId="6">
      <pivotArea dataOnly="0" labelOnly="1" outline="0" fieldPosition="0">
        <references count="1">
          <reference field="5" count="0"/>
        </references>
      </pivotArea>
    </format>
    <format dxfId="7">
      <pivotArea dataOnly="0" labelOnly="1" grandRow="1" outline="0" fieldPosition="0"/>
    </format>
    <format dxfId="8">
      <pivotArea dataOnly="0" labelOnly="1" outline="0" fieldPosition="0">
        <references count="2">
          <reference field="5" count="1" selected="0">
            <x v="0"/>
          </reference>
          <reference field="6" count="1">
            <x v="0"/>
          </reference>
        </references>
      </pivotArea>
    </format>
    <format dxfId="9">
      <pivotArea dataOnly="0" labelOnly="1" outline="0" fieldPosition="0">
        <references count="2">
          <reference field="5" count="1" selected="0">
            <x v="1"/>
          </reference>
          <reference field="6" count="1">
            <x v="1"/>
          </reference>
        </references>
      </pivotArea>
    </format>
    <format dxfId="10">
      <pivotArea dataOnly="0" labelOnly="1" outline="0" fieldPosition="0">
        <references count="2">
          <reference field="5" count="1" selected="0">
            <x v="2"/>
          </reference>
          <reference field="6" count="1">
            <x v="2"/>
          </reference>
        </references>
      </pivotArea>
    </format>
    <format dxfId="11">
      <pivotArea type="topRight" dataOnly="0" labelOnly="1" outline="0" fieldPosition="0"/>
    </format>
    <format dxfId="12">
      <pivotArea type="all" dataOnly="0" outline="0" fieldPosition="0"/>
    </format>
    <format dxfId="13">
      <pivotArea outline="0" collapsedLevelsAreSubtotals="1" fieldPosition="0"/>
    </format>
    <format dxfId="14">
      <pivotArea type="origin" dataOnly="0" labelOnly="1" outline="0" fieldPosition="0"/>
    </format>
    <format dxfId="15">
      <pivotArea field="5" type="button" dataOnly="0" labelOnly="1" outline="0" axis="axisRow" fieldPosition="0"/>
    </format>
    <format dxfId="16">
      <pivotArea field="6" type="button" dataOnly="0" labelOnly="1" outline="0" axis="axisRow" fieldPosition="1"/>
    </format>
    <format dxfId="17">
      <pivotArea dataOnly="0" labelOnly="1" outline="0" fieldPosition="0">
        <references count="1">
          <reference field="5" count="0"/>
        </references>
      </pivotArea>
    </format>
    <format dxfId="18">
      <pivotArea dataOnly="0" labelOnly="1" grandRow="1" outline="0" fieldPosition="0"/>
    </format>
    <format dxfId="19">
      <pivotArea dataOnly="0" labelOnly="1" outline="0" fieldPosition="0">
        <references count="2">
          <reference field="5" count="1" selected="0">
            <x v="0"/>
          </reference>
          <reference field="6" count="1">
            <x v="0"/>
          </reference>
        </references>
      </pivotArea>
    </format>
    <format dxfId="20">
      <pivotArea dataOnly="0" labelOnly="1" outline="0" fieldPosition="0">
        <references count="2">
          <reference field="5" count="1" selected="0">
            <x v="1"/>
          </reference>
          <reference field="6" count="1">
            <x v="1"/>
          </reference>
        </references>
      </pivotArea>
    </format>
    <format dxfId="21">
      <pivotArea dataOnly="0" labelOnly="1" outline="0" fieldPosition="0">
        <references count="2">
          <reference field="5" count="1" selected="0">
            <x v="2"/>
          </reference>
          <reference field="6" count="1">
            <x v="2"/>
          </reference>
        </references>
      </pivotArea>
    </format>
    <format dxfId="22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902A77-4444-43E7-8D26-83315690DBDE}" name="UnoBiable: SmartZoom 000 en ctas" cacheId="0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C187:D195" firstHeaderRow="2" firstDataRow="2" firstDataCol="1"/>
  <pivotFields count="31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7">
        <item x="1"/>
        <item x="2"/>
        <item x="4"/>
        <item x="0"/>
        <item x="3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VALOR_PRESUPUESTO" fld="30" baseField="0" baseItem="0"/>
  </dataFields>
  <formats count="14">
    <format dxfId="23">
      <pivotArea type="all" dataOnly="0" outline="0" fieldPosition="0"/>
    </format>
    <format dxfId="24">
      <pivotArea outline="0" collapsedLevelsAreSubtotals="1" fieldPosition="0"/>
    </format>
    <format dxfId="25">
      <pivotArea type="origin" dataOnly="0" labelOnly="1" outline="0" fieldPosition="0"/>
    </format>
    <format dxfId="26">
      <pivotArea field="4" type="button" dataOnly="0" labelOnly="1" outline="0" axis="axisRow" fieldPosition="0"/>
    </format>
    <format dxfId="27">
      <pivotArea dataOnly="0" labelOnly="1" outline="0" fieldPosition="0">
        <references count="1">
          <reference field="4" count="0"/>
        </references>
      </pivotArea>
    </format>
    <format dxfId="28">
      <pivotArea dataOnly="0" labelOnly="1" grandRow="1" outline="0" fieldPosition="0"/>
    </format>
    <format dxfId="29">
      <pivotArea type="topRight" dataOnly="0" labelOnly="1" outline="0" fieldPosition="0"/>
    </format>
    <format dxfId="30">
      <pivotArea type="all" dataOnly="0" outline="0" fieldPosition="0"/>
    </format>
    <format dxfId="31">
      <pivotArea outline="0" collapsedLevelsAreSubtotals="1" fieldPosition="0"/>
    </format>
    <format dxfId="32">
      <pivotArea type="origin" dataOnly="0" labelOnly="1" outline="0" fieldPosition="0"/>
    </format>
    <format dxfId="33">
      <pivotArea field="4" type="button" dataOnly="0" labelOnly="1" outline="0" axis="axisRow" fieldPosition="0"/>
    </format>
    <format dxfId="34">
      <pivotArea dataOnly="0" labelOnly="1" outline="0" fieldPosition="0">
        <references count="1">
          <reference field="4" count="0"/>
        </references>
      </pivotArea>
    </format>
    <format dxfId="35">
      <pivotArea dataOnly="0" labelOnly="1" grandRow="1" outline="0" fieldPosition="0"/>
    </format>
    <format dxfId="36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D68A59-4AE6-43BF-AF9A-582E4B235C65}" name="UnoBiable: SmartZoom 001 en ctas" cacheId="1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126:G129" firstHeaderRow="2" firstDataRow="2" firstDataCol="2"/>
  <pivotFields count="10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0">
        <item x="9"/>
        <item h="1" x="1"/>
        <item h="1" x="0"/>
        <item h="1" x="6"/>
        <item h="1" x="4"/>
        <item h="1" x="7"/>
        <item h="1" x="3"/>
        <item h="1" x="2"/>
        <item h="1" x="8"/>
        <item h="1" x="5"/>
      </items>
    </pivotField>
    <pivotField axis="axisRow" compact="0" outline="0" showAll="0">
      <items count="11">
        <item x="1"/>
        <item x="5"/>
        <item x="2"/>
        <item x="4"/>
        <item x="7"/>
        <item x="0"/>
        <item x="8"/>
        <item x="6"/>
        <item x="3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31"/>
    <field x="32"/>
  </rowFields>
  <rowItems count="2">
    <i>
      <x/>
      <x v="9"/>
    </i>
    <i t="grand">
      <x/>
    </i>
  </rowItems>
  <colItems count="1">
    <i/>
  </colItems>
  <dataFields count="1">
    <dataField name="Suma de MOVTO_LIBRO2" fld="96" baseField="0" baseItem="0" numFmtId="41"/>
  </dataFields>
  <formats count="19">
    <format dxfId="37">
      <pivotArea outline="0" collapsedLevelsAreSubtotals="1" fieldPosition="0"/>
    </format>
    <format dxfId="38">
      <pivotArea type="all" dataOnly="0" outline="0" fieldPosition="0"/>
    </format>
    <format dxfId="39">
      <pivotArea outline="0" collapsedLevelsAreSubtotals="1" fieldPosition="0"/>
    </format>
    <format dxfId="40">
      <pivotArea type="origin" dataOnly="0" labelOnly="1" outline="0" fieldPosition="0"/>
    </format>
    <format dxfId="41">
      <pivotArea field="31" type="button" dataOnly="0" labelOnly="1" outline="0" axis="axisRow" fieldPosition="0"/>
    </format>
    <format dxfId="42">
      <pivotArea field="32" type="button" dataOnly="0" labelOnly="1" outline="0" axis="axisRow" fieldPosition="1"/>
    </format>
    <format dxfId="43">
      <pivotArea dataOnly="0" labelOnly="1" outline="0" fieldPosition="0">
        <references count="1">
          <reference field="31" count="0"/>
        </references>
      </pivotArea>
    </format>
    <format dxfId="44">
      <pivotArea dataOnly="0" labelOnly="1" grandRow="1" outline="0" fieldPosition="0"/>
    </format>
    <format dxfId="45">
      <pivotArea dataOnly="0" labelOnly="1" outline="0" fieldPosition="0">
        <references count="2">
          <reference field="31" count="0" selected="0"/>
          <reference field="32" count="1">
            <x v="9"/>
          </reference>
        </references>
      </pivotArea>
    </format>
    <format dxfId="46">
      <pivotArea type="topRight" dataOnly="0" labelOnly="1" outline="0" fieldPosition="0"/>
    </format>
    <format dxfId="47">
      <pivotArea type="all" dataOnly="0" outline="0" fieldPosition="0"/>
    </format>
    <format dxfId="48">
      <pivotArea outline="0" collapsedLevelsAreSubtotals="1" fieldPosition="0"/>
    </format>
    <format dxfId="49">
      <pivotArea type="origin" dataOnly="0" labelOnly="1" outline="0" fieldPosition="0"/>
    </format>
    <format dxfId="50">
      <pivotArea field="31" type="button" dataOnly="0" labelOnly="1" outline="0" axis="axisRow" fieldPosition="0"/>
    </format>
    <format dxfId="51">
      <pivotArea field="32" type="button" dataOnly="0" labelOnly="1" outline="0" axis="axisRow" fieldPosition="1"/>
    </format>
    <format dxfId="52">
      <pivotArea dataOnly="0" labelOnly="1" outline="0" fieldPosition="0">
        <references count="1">
          <reference field="31" count="0"/>
        </references>
      </pivotArea>
    </format>
    <format dxfId="53">
      <pivotArea dataOnly="0" labelOnly="1" grandRow="1" outline="0" fieldPosition="0"/>
    </format>
    <format dxfId="54">
      <pivotArea dataOnly="0" labelOnly="1" outline="0" fieldPosition="0">
        <references count="2">
          <reference field="31" count="0" selected="0"/>
          <reference field="32" count="1">
            <x v="9"/>
          </reference>
        </references>
      </pivotArea>
    </format>
    <format dxfId="55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03223-2D6F-405B-BAAD-92BADAA5B22B}">
  <dimension ref="A2:C10"/>
  <sheetViews>
    <sheetView showGridLines="0" workbookViewId="0"/>
  </sheetViews>
  <sheetFormatPr baseColWidth="10" defaultRowHeight="12.75" x14ac:dyDescent="0.2"/>
  <cols>
    <col min="1" max="1" width="12.5703125" style="1" customWidth="1"/>
    <col min="2" max="2" width="16.5703125" style="1" customWidth="1"/>
    <col min="3" max="16384" width="11.42578125" style="1"/>
  </cols>
  <sheetData>
    <row r="2" spans="1:3" x14ac:dyDescent="0.2">
      <c r="A2" s="1" t="s">
        <v>0</v>
      </c>
      <c r="B2" s="1" t="s">
        <v>1</v>
      </c>
    </row>
    <row r="3" spans="1:3" x14ac:dyDescent="0.2">
      <c r="A3" s="2">
        <v>202101</v>
      </c>
      <c r="B3" s="3">
        <v>202201</v>
      </c>
    </row>
    <row r="4" spans="1:3" x14ac:dyDescent="0.2">
      <c r="A4" s="2">
        <v>202107</v>
      </c>
      <c r="B4" s="3">
        <v>202207</v>
      </c>
    </row>
    <row r="5" spans="1:3" x14ac:dyDescent="0.2">
      <c r="A5" s="2"/>
      <c r="B5" s="3">
        <f>+B4-1</f>
        <v>202206</v>
      </c>
    </row>
    <row r="8" spans="1:3" x14ac:dyDescent="0.2">
      <c r="A8" s="1" t="s">
        <v>2</v>
      </c>
      <c r="B8" s="4" t="str">
        <f>+'COL. CONS.$'!B6</f>
        <v>JULIO de 2022</v>
      </c>
      <c r="C8" s="5">
        <v>4300.3</v>
      </c>
    </row>
    <row r="9" spans="1:3" x14ac:dyDescent="0.2">
      <c r="A9" s="1" t="s">
        <v>2</v>
      </c>
      <c r="B9" s="1">
        <f>+Paramet!A4</f>
        <v>202107</v>
      </c>
      <c r="C9" s="6">
        <v>3867.88</v>
      </c>
    </row>
    <row r="10" spans="1:3" x14ac:dyDescent="0.2">
      <c r="A10" s="1" t="s">
        <v>3</v>
      </c>
      <c r="C10" s="6">
        <v>3400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C1A76-49A7-479A-8EE6-00DBA450B7D9}">
  <dimension ref="A1:AK46"/>
  <sheetViews>
    <sheetView showGridLines="0" topLeftCell="A4" workbookViewId="0">
      <selection activeCell="T3" sqref="T3"/>
    </sheetView>
  </sheetViews>
  <sheetFormatPr baseColWidth="10" defaultRowHeight="12.75" x14ac:dyDescent="0.2"/>
  <cols>
    <col min="1" max="1" width="4.5703125" style="2" customWidth="1"/>
    <col min="2" max="2" width="35.7109375" style="2" customWidth="1"/>
    <col min="3" max="3" width="7.85546875" style="2" customWidth="1"/>
    <col min="4" max="4" width="8.5703125" style="2" customWidth="1"/>
    <col min="5" max="5" width="10.42578125" style="2" customWidth="1"/>
    <col min="6" max="6" width="5.85546875" style="2" customWidth="1"/>
    <col min="7" max="7" width="11.140625" style="2" customWidth="1"/>
    <col min="8" max="8" width="13.140625" style="2" customWidth="1"/>
    <col min="9" max="9" width="7.42578125" style="2" customWidth="1"/>
    <col min="10" max="10" width="9.5703125" style="2" customWidth="1"/>
    <col min="11" max="11" width="11.7109375" style="2" customWidth="1"/>
    <col min="12" max="12" width="8.42578125" style="2" customWidth="1"/>
    <col min="13" max="13" width="9.85546875" style="2" customWidth="1"/>
    <col min="14" max="14" width="6.7109375" style="2" customWidth="1"/>
    <col min="15" max="15" width="9.42578125" style="2" customWidth="1"/>
    <col min="16" max="16" width="11.28515625" style="2" customWidth="1"/>
    <col min="17" max="18" width="9.5703125" style="2" customWidth="1"/>
    <col min="19" max="19" width="11.5703125" style="59" bestFit="1" customWidth="1"/>
    <col min="20" max="21" width="11.42578125" style="59" customWidth="1"/>
    <col min="22" max="22" width="34.140625" style="2" customWidth="1"/>
    <col min="23" max="28" width="11.5703125" style="2" bestFit="1" customWidth="1"/>
    <col min="29" max="29" width="11.85546875" style="2" bestFit="1" customWidth="1"/>
    <col min="30" max="30" width="9.85546875" style="2" customWidth="1"/>
    <col min="31" max="31" width="10" style="2" customWidth="1"/>
    <col min="32" max="32" width="11.42578125" style="2"/>
    <col min="33" max="33" width="14.28515625" style="2" customWidth="1"/>
    <col min="34" max="37" width="11.5703125" style="2" bestFit="1" customWidth="1"/>
    <col min="38" max="16384" width="11.42578125" style="2"/>
  </cols>
  <sheetData>
    <row r="1" spans="1:37" s="46" customFormat="1" x14ac:dyDescent="0.2">
      <c r="B1" s="41"/>
      <c r="S1" s="59"/>
      <c r="T1" s="59"/>
      <c r="U1" s="59"/>
    </row>
    <row r="2" spans="1:37" x14ac:dyDescent="0.2">
      <c r="A2" s="46"/>
      <c r="Y2" s="46"/>
      <c r="Z2" s="46"/>
      <c r="AA2" s="46"/>
      <c r="AB2" s="46"/>
    </row>
    <row r="3" spans="1:37" ht="18" x14ac:dyDescent="0.25">
      <c r="B3" s="13" t="s">
        <v>147</v>
      </c>
      <c r="T3" s="107"/>
      <c r="V3" s="2" t="str">
        <f>+B3</f>
        <v>MUSICAR S.A. COLOMBIA CONSOLIDADO USD</v>
      </c>
    </row>
    <row r="4" spans="1:37" x14ac:dyDescent="0.2">
      <c r="B4" s="2" t="s">
        <v>5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V4" s="46"/>
      <c r="W4" s="46"/>
      <c r="X4" s="46"/>
      <c r="Y4" s="46"/>
      <c r="Z4" s="46"/>
      <c r="AA4" s="46"/>
      <c r="AB4" s="46"/>
      <c r="AC4" s="46"/>
      <c r="AD4" s="46"/>
      <c r="AE4" s="46"/>
    </row>
    <row r="5" spans="1:37" x14ac:dyDescent="0.2">
      <c r="B5" s="3" t="s">
        <v>79</v>
      </c>
      <c r="V5" s="46"/>
      <c r="W5" s="2">
        <f>+'COLOMB$ '!U6:W6</f>
        <v>0</v>
      </c>
      <c r="Z5" s="2">
        <f>+'COLOMB$ '!X6:AB6</f>
        <v>0</v>
      </c>
      <c r="AC5" s="2" t="s">
        <v>11</v>
      </c>
      <c r="AD5" s="2" t="s">
        <v>9</v>
      </c>
      <c r="AE5" s="2" t="s">
        <v>10</v>
      </c>
    </row>
    <row r="6" spans="1:37" ht="15.75" customHeight="1" thickBot="1" x14ac:dyDescent="0.25">
      <c r="B6" s="17" t="str">
        <f>+'COL. CONS.$'!B6</f>
        <v>JULIO de 2022</v>
      </c>
      <c r="C6" s="84"/>
      <c r="K6" s="18" t="s">
        <v>8</v>
      </c>
      <c r="L6" s="18"/>
      <c r="M6" s="18"/>
      <c r="N6" s="18"/>
      <c r="O6" s="18"/>
      <c r="P6" s="18"/>
      <c r="Q6" s="18"/>
      <c r="R6" s="18"/>
      <c r="V6" s="3" t="s">
        <v>79</v>
      </c>
      <c r="W6" s="46" t="str">
        <f>+C8</f>
        <v>Valor</v>
      </c>
      <c r="X6" s="46" t="str">
        <f>+E8</f>
        <v>Valor</v>
      </c>
      <c r="Y6" s="46" t="str">
        <f>+O8</f>
        <v>%</v>
      </c>
      <c r="Z6" s="46" t="str">
        <f>+W6</f>
        <v>Valor</v>
      </c>
      <c r="AA6" s="46" t="str">
        <f>+X6</f>
        <v>Valor</v>
      </c>
      <c r="AB6" s="46" t="str">
        <f>+G8</f>
        <v>%</v>
      </c>
      <c r="AC6" s="46" t="s">
        <v>11</v>
      </c>
      <c r="AD6" s="46" t="s">
        <v>9</v>
      </c>
      <c r="AE6" s="46" t="s">
        <v>10</v>
      </c>
    </row>
    <row r="7" spans="1:37" x14ac:dyDescent="0.2">
      <c r="B7" s="53"/>
      <c r="C7" s="53"/>
      <c r="D7" s="53" t="s">
        <v>49</v>
      </c>
      <c r="E7" s="53"/>
      <c r="F7" s="53" t="s">
        <v>50</v>
      </c>
      <c r="G7" s="54" t="s">
        <v>9</v>
      </c>
      <c r="H7" s="53"/>
      <c r="I7" s="53" t="s">
        <v>51</v>
      </c>
      <c r="J7" s="54" t="s">
        <v>10</v>
      </c>
      <c r="K7" s="54"/>
      <c r="L7" s="53" t="str">
        <f>+D7</f>
        <v>Ppto 2022</v>
      </c>
      <c r="M7" s="54"/>
      <c r="N7" s="53" t="str">
        <f>+F7</f>
        <v>Real 2022</v>
      </c>
      <c r="O7" s="54" t="s">
        <v>9</v>
      </c>
      <c r="P7" s="54" t="str">
        <f>+I7</f>
        <v>Real 2021</v>
      </c>
      <c r="Q7" s="54"/>
      <c r="R7" s="54" t="s">
        <v>10</v>
      </c>
      <c r="V7" s="3" t="str">
        <f>+'COLOMB$ '!T4</f>
        <v xml:space="preserve">Flujo de Caja </v>
      </c>
      <c r="W7" s="46" t="s">
        <v>13</v>
      </c>
      <c r="X7" s="46" t="s">
        <v>13</v>
      </c>
      <c r="Y7" s="46" t="s">
        <v>13</v>
      </c>
      <c r="Z7" s="2" t="s">
        <v>148</v>
      </c>
      <c r="AC7" s="46" t="s">
        <v>13</v>
      </c>
      <c r="AD7" s="46" t="s">
        <v>15</v>
      </c>
      <c r="AE7" s="46" t="s">
        <v>15</v>
      </c>
    </row>
    <row r="8" spans="1:37" ht="13.5" thickBot="1" x14ac:dyDescent="0.25">
      <c r="B8" s="57" t="s">
        <v>12</v>
      </c>
      <c r="C8" s="58" t="s">
        <v>13</v>
      </c>
      <c r="D8" s="58" t="s">
        <v>14</v>
      </c>
      <c r="E8" s="58" t="s">
        <v>13</v>
      </c>
      <c r="F8" s="58" t="s">
        <v>14</v>
      </c>
      <c r="G8" s="58" t="s">
        <v>15</v>
      </c>
      <c r="H8" s="58" t="s">
        <v>13</v>
      </c>
      <c r="I8" s="58" t="s">
        <v>14</v>
      </c>
      <c r="J8" s="58" t="s">
        <v>15</v>
      </c>
      <c r="K8" s="58" t="s">
        <v>13</v>
      </c>
      <c r="L8" s="58" t="s">
        <v>14</v>
      </c>
      <c r="M8" s="58" t="s">
        <v>13</v>
      </c>
      <c r="N8" s="58" t="s">
        <v>14</v>
      </c>
      <c r="O8" s="58" t="s">
        <v>15</v>
      </c>
      <c r="P8" s="58" t="s">
        <v>13</v>
      </c>
      <c r="Q8" s="58" t="s">
        <v>14</v>
      </c>
      <c r="R8" s="58" t="s">
        <v>15</v>
      </c>
      <c r="V8" s="3" t="s">
        <v>16</v>
      </c>
      <c r="W8" s="59">
        <f>'COLOMBIA USD'!W10+'EL SALVADOR USD'!V10+'VENEZUELA USD'!W9+'PANAMA USD'!U10</f>
        <v>18093.148768995576</v>
      </c>
      <c r="X8" s="59">
        <f>'COLOMBIA USD'!Y10+'EL SALVADOR USD'!X10+'VENEZUELA USD'!X9+'PANAMA USD'!W10</f>
        <v>291016.24413456459</v>
      </c>
      <c r="Y8" s="59">
        <f>'COLOMBIA USD'!X10+'EL SALVADOR USD'!W10+'VENEZUELA USD'!Y9+'PANAMA USD'!V10</f>
        <v>22874.07036555589</v>
      </c>
      <c r="Z8" s="59">
        <f>'COLOMBIA USD'!Z10+'EL SALVADOR USD'!Y10+'VENEZUELA USD'!Z9+'PANAMA USD'!X10</f>
        <v>173872.23529411765</v>
      </c>
      <c r="AA8" s="59">
        <f>'COLOMBIA USD'!AD10+'EL SALVADOR USD'!AC10+'VENEZUELA USD'!AA9+'PANAMA USD'!AB10</f>
        <v>177492.86468690861</v>
      </c>
      <c r="AB8" s="59">
        <f>'COLOMBIA USD'!AA10+'EL SALVADOR USD'!Z10+'VENEZUELA USD'!AB9+'PANAMA USD'!Y10</f>
        <v>144045.44362021255</v>
      </c>
      <c r="AC8" s="55">
        <f>+AB8-Z8</f>
        <v>-29826.7916739051</v>
      </c>
      <c r="AD8" s="61">
        <f>IF(Z8=0,"",(AB8-Z8)/ABS(Z8)+1)</f>
        <v>0.82845569550853881</v>
      </c>
      <c r="AE8" s="61">
        <f>IF(X8=0,"",(AB8-AA8)/ABS(AA8))</f>
        <v>-0.18844375026396792</v>
      </c>
      <c r="AF8" s="47"/>
      <c r="AG8" s="47">
        <f>+'COLOMBIA USD'!Y10+'EL SALVADOR USD'!X10+'VENEZUELA USD'!X9+'PANAMA USD'!W10</f>
        <v>291016.24413456459</v>
      </c>
      <c r="AH8" s="47">
        <f>+'COLOMBIA USD'!X10+'EL SALVADOR USD'!W10+'VENEZUELA USD'!Y9+'PANAMA USD'!V10</f>
        <v>22874.07036555589</v>
      </c>
      <c r="AI8" s="47">
        <f>+'COLOMBIA USD'!Z10+'EL SALVADOR USD'!Y10+'VENEZUELA USD'!Z9+'PANAMA USD'!X10</f>
        <v>173872.23529411765</v>
      </c>
      <c r="AJ8" s="47">
        <f>+'COLOMBIA USD'!AD10+'EL SALVADOR USD'!AC10+'VENEZUELA USD'!AA9+'PANAMA USD'!AB10</f>
        <v>177492.86468690861</v>
      </c>
      <c r="AK8" s="47">
        <f>+'COLOMBIA USD'!AA10+'EL SALVADOR USD'!Z10+'VENEZUELA USD'!AB9+'PANAMA USD'!Y10</f>
        <v>144045.44362021255</v>
      </c>
    </row>
    <row r="9" spans="1:37" x14ac:dyDescent="0.2">
      <c r="B9" s="3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V9" s="3" t="s">
        <v>17</v>
      </c>
      <c r="W9" s="59">
        <f>'COLOMBIA USD'!W11+'EL SALVADOR USD'!V11+'VENEZUELA USD'!W10+'PANAMA USD'!U11</f>
        <v>273147021.44370925</v>
      </c>
      <c r="X9" s="59">
        <f>'COLOMBIA USD'!Y11+'EL SALVADOR USD'!X11+'VENEZUELA USD'!X10+'PANAMA USD'!W11</f>
        <v>287909.23279069865</v>
      </c>
      <c r="Y9" s="59">
        <f>'COLOMBIA USD'!X11+'EL SALVADOR USD'!W11+'VENEZUELA USD'!Y10+'PANAMA USD'!V11</f>
        <v>256889.45655441031</v>
      </c>
      <c r="Z9" s="59">
        <f>'COLOMBIA USD'!Z11+'EL SALVADOR USD'!Y11+'VENEZUELA USD'!Z10+'PANAMA USD'!X11</f>
        <v>2092814.3859830264</v>
      </c>
      <c r="AA9" s="59">
        <f>'COLOMBIA USD'!AD11+'EL SALVADOR USD'!AC11+'VENEZUELA USD'!AA10+'PANAMA USD'!AB11</f>
        <v>1818589.1190715136</v>
      </c>
      <c r="AB9" s="59">
        <f>'COLOMBIA USD'!AA11+'EL SALVADOR USD'!Z11+'VENEZUELA USD'!AB10+'PANAMA USD'!Y11</f>
        <v>79278398.017563432</v>
      </c>
      <c r="AC9" s="55">
        <f>+AB9-Z9</f>
        <v>77185583.631580412</v>
      </c>
      <c r="AD9" s="61">
        <f>IF(Z9=0,"",(AB9-Z9)/ABS(Z9)+1)</f>
        <v>37.881237126686315</v>
      </c>
      <c r="AE9" s="61">
        <f>IF(AA9=0,"",(AB9-AA9)/ABS(AA9))</f>
        <v>42.59335332328353</v>
      </c>
      <c r="AF9" s="47"/>
      <c r="AG9" s="47">
        <f>+'COLOMBIA USD'!Y11+'EL SALVADOR USD'!X11+'VENEZUELA USD'!X10+'PANAMA USD'!W11</f>
        <v>287909.23279069865</v>
      </c>
      <c r="AH9" s="47">
        <f>+'COLOMBIA USD'!X11+'EL SALVADOR USD'!W11+'VENEZUELA USD'!Y10+'PANAMA USD'!V11</f>
        <v>256889.45655441031</v>
      </c>
      <c r="AI9" s="47">
        <f>+'COLOMBIA USD'!AB11+'EL SALVADOR USD'!AA11+'VENEZUELA USD'!AC10+'PANAMA USD'!Z11</f>
        <v>-444289.10104390042</v>
      </c>
      <c r="AK9" s="47">
        <f>+'COLOMBIA USD'!AA11+'EL SALVADOR USD'!Z11+'VENEZUELA USD'!AB10+'PANAMA USD'!Y11</f>
        <v>79278398.017563432</v>
      </c>
    </row>
    <row r="10" spans="1:37" x14ac:dyDescent="0.2">
      <c r="B10" s="3" t="s">
        <v>54</v>
      </c>
      <c r="C10" s="59">
        <f>+'COLOMBIA USD'!C10+'EL SALVADOR USD'!C10+'VENEZUELA USD'!C10+'PANAMA USD'!C10</f>
        <v>119857.88235294117</v>
      </c>
      <c r="D10" s="28">
        <f t="shared" ref="D10:D15" si="0">+C10/$C$20</f>
        <v>0.4595113107998412</v>
      </c>
      <c r="E10" s="59">
        <f>+'COLOMBIA USD'!E10+'EL SALVADOR USD'!E10+'VENEZUELA USD'!E10+'PANAMA USD'!E10</f>
        <v>100482.96126213598</v>
      </c>
      <c r="F10" s="28">
        <f t="shared" ref="F10:F20" si="1">+E10/$E$20</f>
        <v>0.46738764700384194</v>
      </c>
      <c r="G10" s="28">
        <f t="shared" ref="G10:G20" si="2">IF(C10=0,"",(E10-C10)/ABS(C10)+1)</f>
        <v>0.83835088097291288</v>
      </c>
      <c r="H10" s="59">
        <f>+'COLOMBIA USD'!H10+'EL SALVADOR USD'!H10+'VENEZUELA USD'!H10+'PANAMA USD'!H10</f>
        <v>102840.72148307649</v>
      </c>
      <c r="I10" s="28">
        <f t="shared" ref="I10:I18" si="3">+H10/$H$20</f>
        <v>0.42875595560657048</v>
      </c>
      <c r="J10" s="28">
        <f t="shared" ref="J10:J20" si="4">IF(H10=0,"",(E10-H10)/ABS(H10))</f>
        <v>-2.2926329054668244E-2</v>
      </c>
      <c r="K10" s="59">
        <f>+'COLOMBIA USD'!K10+'EL SALVADOR USD'!K10+'VENEZUELA USD'!K10+'PANAMA USD'!K10</f>
        <v>797064.6470588235</v>
      </c>
      <c r="L10" s="28">
        <f t="shared" ref="L10:L46" si="5">+K10/$K$20</f>
        <v>0.44494353909196793</v>
      </c>
      <c r="M10" s="59">
        <f>+'COLOMBIA USD'!M10+'EL SALVADOR USD'!M10+'VENEZUELA USD'!M10+'PANAMA USD'!M10</f>
        <v>651446.13123813935</v>
      </c>
      <c r="N10" s="28">
        <f t="shared" ref="N10:N20" si="6">+M10/$M$20</f>
        <v>0.45882066444825081</v>
      </c>
      <c r="O10" s="28">
        <f t="shared" ref="O10:O18" si="7">IF(K10=0,"",(M10-K10)/ABS(K10)+1)</f>
        <v>0.81730651791166764</v>
      </c>
      <c r="P10" s="59">
        <f>+'COLOMBIA USD'!P10+'EL SALVADOR USD'!P10+'VENEZUELA USD'!P10+'PANAMA USD'!P10</f>
        <v>682210.48488664243</v>
      </c>
      <c r="Q10" s="28">
        <f t="shared" ref="Q10:Q46" si="8">+P10/$P$20</f>
        <v>0.47728146861997145</v>
      </c>
      <c r="R10" s="28">
        <f t="shared" ref="R10:R18" si="9">IF(P10=0,"",(M10-P10)/ABS(P10))</f>
        <v>-4.5095105293808183E-2</v>
      </c>
      <c r="V10" s="3" t="s">
        <v>18</v>
      </c>
      <c r="W10" s="59">
        <f>'COLOMBIA USD'!W13+'EL SALVADOR USD'!V13+'VENEZUELA USD'!W11+'PANAMA USD'!U13</f>
        <v>1252039497.7633555</v>
      </c>
      <c r="X10" s="59">
        <f>'COLOMBIA USD'!Y13+'EL SALVADOR USD'!X13+'VENEZUELA USD'!X11+'PANAMA USD'!W13</f>
        <v>46762.997378408851</v>
      </c>
      <c r="Y10" s="59">
        <f>'COLOMBIA USD'!X13+'EL SALVADOR USD'!W13+'VENEZUELA USD'!Y11+'PANAMA USD'!V13</f>
        <v>54010.137944364091</v>
      </c>
      <c r="Z10" s="59">
        <f>'COLOMBIA USD'!Z13+'EL SALVADOR USD'!Y13+'VENEZUELA USD'!Z11+'PANAMA USD'!X13</f>
        <v>351535.95973247389</v>
      </c>
      <c r="AA10" s="59" t="e">
        <f>'COLOMBIA USD'!AD13+'EL SALVADOR USD'!AC13+'VENEZUELA USD'!AA11+'PANAMA USD'!AB13</f>
        <v>#VALUE!</v>
      </c>
      <c r="AB10" s="59">
        <f>'COLOMBIA USD'!AA13+'EL SALVADOR USD'!Z13+'VENEZUELA USD'!AB11+'PANAMA USD'!Y13</f>
        <v>4736008799.9659433</v>
      </c>
      <c r="AC10" s="55">
        <f>+Z10-AB10</f>
        <v>-4735657264.0062113</v>
      </c>
      <c r="AD10" s="61">
        <f>IF(Z10=0,"",(AB10-Z10)/ABS(Z10)+1)</f>
        <v>13472.330977377518</v>
      </c>
      <c r="AE10" s="61" t="e">
        <f t="shared" ref="AE10:AE22" si="10">IF(AA10=0,"",(AB10-AA10)/ABS(AA10))</f>
        <v>#VALUE!</v>
      </c>
      <c r="AF10" s="47"/>
      <c r="AG10" s="47">
        <f>+'COLOMBIA USD'!Y13+'EL SALVADOR USD'!X13+'VENEZUELA USD'!X11+'PANAMA USD'!W13</f>
        <v>46762.997378408851</v>
      </c>
      <c r="AH10" s="47">
        <f>+'COLOMBIA USD'!X13+'EL SALVADOR USD'!W13+'VENEZUELA USD'!Y11+'PANAMA USD'!V13</f>
        <v>54010.137944364091</v>
      </c>
      <c r="AI10" s="47">
        <f>+'COLOMBIA USD'!AB13+'EL SALVADOR USD'!AA13+'VENEZUELA USD'!AC11+'PANAMA USD'!Z13</f>
        <v>104233.23068269105</v>
      </c>
      <c r="AK10" s="47">
        <f>+'COLOMBIA USD'!AA13+'EL SALVADOR USD'!Z13+'VENEZUELA USD'!AB11+'PANAMA USD'!Y13</f>
        <v>4736008799.9659433</v>
      </c>
    </row>
    <row r="11" spans="1:37" x14ac:dyDescent="0.2">
      <c r="B11" s="3" t="s">
        <v>56</v>
      </c>
      <c r="C11" s="59">
        <f>+'COLOMBIA USD'!C11+'EL SALVADOR USD'!C11+'VENEZUELA USD'!C11+'PANAMA USD'!C11</f>
        <v>16685.742941176472</v>
      </c>
      <c r="D11" s="28">
        <f t="shared" si="0"/>
        <v>6.3969823761708164E-2</v>
      </c>
      <c r="E11" s="59">
        <f>+'COLOMBIA USD'!E11+'EL SALVADOR USD'!E11+'VENEZUELA USD'!E11+'PANAMA USD'!E11</f>
        <v>6078.6979507942087</v>
      </c>
      <c r="F11" s="28">
        <f t="shared" si="1"/>
        <v>2.8274528301937774E-2</v>
      </c>
      <c r="G11" s="28">
        <f t="shared" si="2"/>
        <v>0.36430490222844192</v>
      </c>
      <c r="H11" s="59">
        <f>+'COLOMBIA USD'!H11+'EL SALVADOR USD'!H11+'VENEZUELA USD'!H11+'PANAMA USD'!H11</f>
        <v>9375.7866552480991</v>
      </c>
      <c r="I11" s="28">
        <f t="shared" si="3"/>
        <v>3.9088838632814829E-2</v>
      </c>
      <c r="J11" s="28">
        <f t="shared" si="4"/>
        <v>-0.35165995405925154</v>
      </c>
      <c r="K11" s="59">
        <f>+'COLOMBIA USD'!K11+'EL SALVADOR USD'!K11+'VENEZUELA USD'!K11+'PANAMA USD'!K11</f>
        <v>89690.412352941174</v>
      </c>
      <c r="L11" s="28">
        <f t="shared" si="5"/>
        <v>5.0067669720634901E-2</v>
      </c>
      <c r="M11" s="59">
        <f>+'COLOMBIA USD'!M11+'EL SALVADOR USD'!M11+'VENEZUELA USD'!M11+'PANAMA USD'!M11</f>
        <v>56198.518026770878</v>
      </c>
      <c r="N11" s="28">
        <f t="shared" si="6"/>
        <v>3.958123342146945E-2</v>
      </c>
      <c r="O11" s="28">
        <f t="shared" si="7"/>
        <v>0.62658333875892791</v>
      </c>
      <c r="P11" s="59">
        <f>+'COLOMBIA USD'!P11+'EL SALVADOR USD'!P11+'VENEZUELA USD'!P11+'PANAMA USD'!P11</f>
        <v>55683.830012510727</v>
      </c>
      <c r="Q11" s="28">
        <f t="shared" si="8"/>
        <v>3.8956979928521665E-2</v>
      </c>
      <c r="R11" s="28">
        <f t="shared" si="9"/>
        <v>9.2430426237655357E-3</v>
      </c>
      <c r="V11" s="3" t="s">
        <v>19</v>
      </c>
      <c r="W11" s="59">
        <f>'COLOMBIA USD'!W14+'EL SALVADOR USD'!V14+'VENEZUELA USD'!W12+'PANAMA USD'!U14</f>
        <v>2456.7647058823527</v>
      </c>
      <c r="X11" s="59">
        <f>'COLOMBIA USD'!Y14+'EL SALVADOR USD'!X14+'VENEZUELA USD'!X12+'PANAMA USD'!W14</f>
        <v>1885.0230617289058</v>
      </c>
      <c r="Y11" s="59">
        <f>'COLOMBIA USD'!X14+'EL SALVADOR USD'!W14+'VENEZUELA USD'!Y12+'PANAMA USD'!V14</f>
        <v>2397.6336348626842</v>
      </c>
      <c r="Z11" s="59">
        <f>'COLOMBIA USD'!Z14+'EL SALVADOR USD'!Y14+'VENEZUELA USD'!Z12+'PANAMA USD'!X14</f>
        <v>17197.352941176472</v>
      </c>
      <c r="AA11" s="59">
        <f>'COLOMBIA USD'!AD14+'EL SALVADOR USD'!AC14+'VENEZUELA USD'!AA12+'PANAMA USD'!AB14</f>
        <v>12745.430571786095</v>
      </c>
      <c r="AB11" s="59">
        <f>'COLOMBIA USD'!AA14+'EL SALVADOR USD'!Z14+'VENEZUELA USD'!AB12+'PANAMA USD'!Y14</f>
        <v>15888.164007162293</v>
      </c>
      <c r="AC11" s="55">
        <f>+Z11-AB11</f>
        <v>1309.1889340141788</v>
      </c>
      <c r="AD11" s="61">
        <f t="shared" ref="AD11:AD22" si="11">IF(Z11=0,"",(AB11-Z11)/ABS(Z11)+1)</f>
        <v>0.92387264839581662</v>
      </c>
      <c r="AE11" s="61">
        <f t="shared" si="10"/>
        <v>0.24657726686245543</v>
      </c>
      <c r="AF11" s="47"/>
      <c r="AG11" s="47">
        <f>+'COLOMBIA USD'!Y14+'EL SALVADOR USD'!X14+'VENEZUELA USD'!X12+'PANAMA USD'!W14</f>
        <v>1885.0230617289058</v>
      </c>
      <c r="AH11" s="47">
        <f>+'COLOMBIA USD'!X14+'EL SALVADOR USD'!W14+'VENEZUELA USD'!Y12+'PANAMA USD'!V14</f>
        <v>2397.6336348626842</v>
      </c>
      <c r="AI11" s="47">
        <f>+'COLOMBIA USD'!AB14+'EL SALVADOR USD'!AA14+'VENEZUELA USD'!AC12+'PANAMA USD'!Z14</f>
        <v>1309.1889340141788</v>
      </c>
      <c r="AK11" s="47">
        <f>+'COLOMBIA USD'!AA14+'EL SALVADOR USD'!Z14+'VENEZUELA USD'!AB12+'PANAMA USD'!Y14</f>
        <v>15888.164007162293</v>
      </c>
    </row>
    <row r="12" spans="1:37" x14ac:dyDescent="0.2">
      <c r="B12" s="3" t="s">
        <v>58</v>
      </c>
      <c r="C12" s="59">
        <f>+'COLOMBIA USD'!C12+'EL SALVADOR USD'!C12+'VENEZUELA USD'!C12+'PANAMA USD'!C12</f>
        <v>19637.978235294118</v>
      </c>
      <c r="D12" s="28">
        <f t="shared" si="0"/>
        <v>7.5288107408626487E-2</v>
      </c>
      <c r="E12" s="59">
        <f>+'COLOMBIA USD'!E12+'EL SALVADOR USD'!E12+'VENEZUELA USD'!E12+'PANAMA USD'!E12</f>
        <v>20039.896695881569</v>
      </c>
      <c r="F12" s="28">
        <f t="shared" si="1"/>
        <v>9.3213815011417289E-2</v>
      </c>
      <c r="G12" s="28">
        <f t="shared" si="2"/>
        <v>1.0204663869045902</v>
      </c>
      <c r="H12" s="59">
        <f>+'COLOMBIA USD'!H12+'EL SALVADOR USD'!H12+'VENEZUELA USD'!H12+'PANAMA USD'!H12</f>
        <v>23872.949976601743</v>
      </c>
      <c r="I12" s="28">
        <f t="shared" si="3"/>
        <v>9.9529343364730488E-2</v>
      </c>
      <c r="J12" s="28">
        <f t="shared" si="4"/>
        <v>-0.1605605207767373</v>
      </c>
      <c r="K12" s="59">
        <f>+'COLOMBIA USD'!K12+'EL SALVADOR USD'!K12+'VENEZUELA USD'!K12+'PANAMA USD'!K12</f>
        <v>179837.52058823529</v>
      </c>
      <c r="L12" s="28">
        <f t="shared" si="5"/>
        <v>0.10039027971861453</v>
      </c>
      <c r="M12" s="59">
        <f>+'COLOMBIA USD'!M12+'EL SALVADOR USD'!M12+'VENEZUELA USD'!M12+'PANAMA USD'!M12</f>
        <v>157641.53236966979</v>
      </c>
      <c r="N12" s="28">
        <f t="shared" si="6"/>
        <v>0.11102866247593393</v>
      </c>
      <c r="O12" s="28">
        <f t="shared" si="7"/>
        <v>0.8765775454089666</v>
      </c>
      <c r="P12" s="59">
        <f>+'COLOMBIA USD'!P12+'EL SALVADOR USD'!P12+'VENEZUELA USD'!P12+'PANAMA USD'!P12</f>
        <v>188433.40278417428</v>
      </c>
      <c r="Q12" s="28">
        <f t="shared" si="8"/>
        <v>0.13182994575762527</v>
      </c>
      <c r="R12" s="28">
        <f t="shared" si="9"/>
        <v>-0.16340983052655764</v>
      </c>
      <c r="V12" s="3" t="s">
        <v>20</v>
      </c>
      <c r="W12" s="59">
        <f>'COLOMBIA USD'!W15+'EL SALVADOR USD'!V15+'VENEZUELA USD'!W13+'PANAMA USD'!U15</f>
        <v>115860.35254876176</v>
      </c>
      <c r="X12" s="59">
        <f>'COLOMBIA USD'!Y15+'EL SALVADOR USD'!X15+'VENEZUELA USD'!X13+'PANAMA USD'!W15</f>
        <v>90167.240104656812</v>
      </c>
      <c r="Y12" s="59">
        <f>'COLOMBIA USD'!X15+'EL SALVADOR USD'!W15+'VENEZUELA USD'!Y13+'PANAMA USD'!V15</f>
        <v>83526.410650419726</v>
      </c>
      <c r="Z12" s="59">
        <f>'COLOMBIA USD'!Z15+'EL SALVADOR USD'!Y15+'VENEZUELA USD'!Z13+'PANAMA USD'!X15</f>
        <v>865376.2462739941</v>
      </c>
      <c r="AA12" s="59" t="e">
        <f>'COLOMBIA USD'!AD15+'EL SALVADOR USD'!AC15+'VENEZUELA USD'!AA13+'PANAMA USD'!AB15</f>
        <v>#VALUE!</v>
      </c>
      <c r="AB12" s="59">
        <f>'COLOMBIA USD'!AA15+'EL SALVADOR USD'!Z15+'VENEZUELA USD'!AB13+'PANAMA USD'!Y15</f>
        <v>675757.98230356036</v>
      </c>
      <c r="AC12" s="55">
        <f>+Z12-AB12</f>
        <v>189618.26397043373</v>
      </c>
      <c r="AD12" s="61">
        <f t="shared" si="11"/>
        <v>0.78088344256401387</v>
      </c>
      <c r="AE12" s="61" t="e">
        <f t="shared" si="10"/>
        <v>#VALUE!</v>
      </c>
      <c r="AF12" s="47"/>
      <c r="AG12" s="47">
        <f>+'COLOMBIA USD'!Y15+'EL SALVADOR USD'!X15+'VENEZUELA USD'!X13+'PANAMA USD'!W15</f>
        <v>90167.240104656812</v>
      </c>
      <c r="AH12" s="47">
        <f>+'COLOMBIA USD'!X15+'EL SALVADOR USD'!W15+'VENEZUELA USD'!Y13+'PANAMA USD'!V15</f>
        <v>83526.410650419726</v>
      </c>
      <c r="AI12" s="47" t="e">
        <f>+'COLOMBIA USD'!AB15+'EL SALVADOR USD'!AA15+'VENEZUELA USD'!AC13+'PANAMA USD'!Z15</f>
        <v>#VALUE!</v>
      </c>
      <c r="AK12" s="47">
        <f>+'COLOMBIA USD'!AA15+'EL SALVADOR USD'!Z15+'VENEZUELA USD'!AB13+'PANAMA USD'!Y15</f>
        <v>675757.98230356036</v>
      </c>
    </row>
    <row r="13" spans="1:37" x14ac:dyDescent="0.2">
      <c r="B13" s="3" t="s">
        <v>60</v>
      </c>
      <c r="C13" s="59">
        <f>+'COLOMBIA USD'!C13+'EL SALVADOR USD'!C13+'VENEZUELA USD'!C13+'PANAMA USD'!C13</f>
        <v>30368.998235294119</v>
      </c>
      <c r="D13" s="28">
        <f t="shared" si="0"/>
        <v>0.11642870633810783</v>
      </c>
      <c r="E13" s="59">
        <f>+'COLOMBIA USD'!E13+'EL SALVADOR USD'!E13+'VENEZUELA USD'!E13+'PANAMA USD'!E13</f>
        <v>26759.371733125452</v>
      </c>
      <c r="F13" s="28">
        <f t="shared" si="1"/>
        <v>0.12446886151194188</v>
      </c>
      <c r="G13" s="28">
        <f t="shared" si="2"/>
        <v>0.8811410743877075</v>
      </c>
      <c r="H13" s="59">
        <f>+'COLOMBIA USD'!H13+'EL SALVADOR USD'!H13+'VENEZUELA USD'!H13+'PANAMA USD'!H13</f>
        <v>13733.720202617904</v>
      </c>
      <c r="I13" s="28">
        <f t="shared" si="3"/>
        <v>5.7257613954757237E-2</v>
      </c>
      <c r="J13" s="28">
        <f t="shared" si="4"/>
        <v>0.94844305390935624</v>
      </c>
      <c r="K13" s="59">
        <f>+'COLOMBIA USD'!K13+'EL SALVADOR USD'!K13+'VENEZUELA USD'!K13+'PANAMA USD'!K13</f>
        <v>186638.1594117647</v>
      </c>
      <c r="L13" s="28">
        <f t="shared" si="5"/>
        <v>0.10418658446929319</v>
      </c>
      <c r="M13" s="59">
        <f>+'COLOMBIA USD'!M13+'EL SALVADOR USD'!M13+'VENEZUELA USD'!M13+'PANAMA USD'!M13</f>
        <v>136371.74247824287</v>
      </c>
      <c r="N13" s="28">
        <f t="shared" si="6"/>
        <v>9.6048115869399972E-2</v>
      </c>
      <c r="O13" s="28">
        <f t="shared" si="7"/>
        <v>0.73067449286925779</v>
      </c>
      <c r="P13" s="59">
        <f>+'COLOMBIA USD'!P13+'EL SALVADOR USD'!P13+'VENEZUELA USD'!P13+'PANAMA USD'!P13</f>
        <v>85615.422592770017</v>
      </c>
      <c r="Q13" s="28">
        <f t="shared" si="8"/>
        <v>5.9897429806266583E-2</v>
      </c>
      <c r="R13" s="28">
        <f t="shared" si="9"/>
        <v>0.59284084979519902</v>
      </c>
      <c r="V13" s="3" t="s">
        <v>21</v>
      </c>
      <c r="W13" s="59">
        <f>'COLOMBIA USD'!W16+'EL SALVADOR USD'!V16+'VENEZUELA USD'!W14+'PANAMA USD'!U16</f>
        <v>70300.913823529409</v>
      </c>
      <c r="X13" s="59">
        <f>'COLOMBIA USD'!Y16+'EL SALVADOR USD'!X16+'VENEZUELA USD'!X14+'PANAMA USD'!W16</f>
        <v>51138.659974456285</v>
      </c>
      <c r="Y13" s="59">
        <f>'COLOMBIA USD'!X16+'EL SALVADOR USD'!W16+'VENEZUELA USD'!Y14+'PANAMA USD'!V16</f>
        <v>48872.903292793511</v>
      </c>
      <c r="Z13" s="59">
        <f>'COLOMBIA USD'!Z16+'EL SALVADOR USD'!Y16+'VENEZUELA USD'!Z14+'PANAMA USD'!X16</f>
        <v>531765.65117647056</v>
      </c>
      <c r="AA13" s="59" t="e">
        <f>'COLOMBIA USD'!AD16+'EL SALVADOR USD'!AC16+'VENEZUELA USD'!AA14+'PANAMA USD'!AB16</f>
        <v>#VALUE!</v>
      </c>
      <c r="AB13" s="59">
        <f>'COLOMBIA USD'!AA16+'EL SALVADOR USD'!Z16+'VENEZUELA USD'!AB14+'PANAMA USD'!Y16</f>
        <v>418564.05755644955</v>
      </c>
      <c r="AC13" s="55">
        <f>+Z13-AB13</f>
        <v>113201.59362002101</v>
      </c>
      <c r="AD13" s="61">
        <f t="shared" si="11"/>
        <v>0.78712127537840126</v>
      </c>
      <c r="AE13" s="61" t="e">
        <f t="shared" si="10"/>
        <v>#VALUE!</v>
      </c>
      <c r="AF13" s="47"/>
      <c r="AG13" s="47">
        <f>+'COLOMBIA USD'!Y16+'EL SALVADOR USD'!X16+'VENEZUELA USD'!X14+'PANAMA USD'!W16</f>
        <v>51138.659974456285</v>
      </c>
      <c r="AH13" s="47">
        <f>+'COLOMBIA USD'!X16+'EL SALVADOR USD'!W16+'VENEZUELA USD'!Y14+'PANAMA USD'!V16</f>
        <v>48872.903292793511</v>
      </c>
      <c r="AI13" s="47" t="e">
        <f>+'COLOMBIA USD'!AB16+'EL SALVADOR USD'!AA16+'VENEZUELA USD'!AC14+'PANAMA USD'!Z16</f>
        <v>#VALUE!</v>
      </c>
      <c r="AK13" s="47">
        <f>+'COLOMBIA USD'!AA16+'EL SALVADOR USD'!Z16+'VENEZUELA USD'!AB14+'PANAMA USD'!Y16</f>
        <v>418564.05755644955</v>
      </c>
    </row>
    <row r="14" spans="1:37" x14ac:dyDescent="0.2">
      <c r="B14" s="3" t="s">
        <v>61</v>
      </c>
      <c r="C14" s="59">
        <f>+'COLOMBIA USD'!C14+'EL SALVADOR USD'!C14+'VENEZUELA USD'!C14+'PANAMA USD'!C14</f>
        <v>0</v>
      </c>
      <c r="D14" s="28">
        <f t="shared" si="0"/>
        <v>0</v>
      </c>
      <c r="E14" s="59">
        <f>+'COLOMBIA USD'!E14+'EL SALVADOR USD'!E14+'VENEZUELA USD'!E14+'PANAMA USD'!E14</f>
        <v>0</v>
      </c>
      <c r="F14" s="28">
        <f t="shared" si="1"/>
        <v>0</v>
      </c>
      <c r="G14" s="28" t="str">
        <f t="shared" si="2"/>
        <v/>
      </c>
      <c r="H14" s="59">
        <f>+'COLOMBIA USD'!H14+'EL SALVADOR USD'!H14+'VENEZUELA USD'!H14+'PANAMA USD'!H14</f>
        <v>0</v>
      </c>
      <c r="I14" s="28">
        <f t="shared" si="3"/>
        <v>0</v>
      </c>
      <c r="J14" s="28" t="str">
        <f t="shared" si="4"/>
        <v/>
      </c>
      <c r="K14" s="59">
        <f>+'COLOMBIA USD'!K14+'EL SALVADOR USD'!K14+'VENEZUELA USD'!K14+'PANAMA USD'!K14</f>
        <v>0</v>
      </c>
      <c r="L14" s="28">
        <f t="shared" si="5"/>
        <v>0</v>
      </c>
      <c r="M14" s="59">
        <f>+'COLOMBIA USD'!M14+'EL SALVADOR USD'!M14+'VENEZUELA USD'!M14+'PANAMA USD'!M14</f>
        <v>0</v>
      </c>
      <c r="N14" s="28">
        <f t="shared" si="6"/>
        <v>0</v>
      </c>
      <c r="O14" s="28" t="str">
        <f t="shared" si="7"/>
        <v/>
      </c>
      <c r="P14" s="59">
        <f>+'COLOMBIA USD'!P14+'EL SALVADOR USD'!P14+'VENEZUELA USD'!P14+'PANAMA USD'!P14</f>
        <v>0</v>
      </c>
      <c r="Q14" s="28">
        <f t="shared" si="8"/>
        <v>0</v>
      </c>
      <c r="R14" s="28" t="str">
        <f t="shared" si="9"/>
        <v/>
      </c>
      <c r="V14" s="3" t="s">
        <v>22</v>
      </c>
      <c r="W14" s="59">
        <f>SUM(W10:W13)</f>
        <v>1252228115.7944338</v>
      </c>
      <c r="X14" s="59">
        <f>SUM(X10:X13)</f>
        <v>189953.92051925085</v>
      </c>
      <c r="Y14" s="59">
        <f>SUM(Y10:Y13)</f>
        <v>188807.08552244003</v>
      </c>
      <c r="Z14" s="59">
        <f>'COLOMBIA USD'!Z17+'EL SALVADOR USD'!Y17+'VENEZUELA USD'!Z15+'PANAMA USD'!X17</f>
        <v>1726240.8192611712</v>
      </c>
      <c r="AA14" s="59" t="e">
        <f>'COLOMBIA USD'!AD17+'EL SALVADOR USD'!AC17+'VENEZUELA USD'!AA15+'PANAMA USD'!AB17</f>
        <v>#VALUE!</v>
      </c>
      <c r="AB14" s="59">
        <f>'COLOMBIA USD'!AA17+'EL SALVADOR USD'!Z17+'VENEZUELA USD'!AB15+'PANAMA USD'!Y17</f>
        <v>777724712.87370217</v>
      </c>
      <c r="AC14" s="55">
        <f>+AB14-Z14</f>
        <v>775998472.05444098</v>
      </c>
      <c r="AD14" s="61">
        <f t="shared" si="11"/>
        <v>450.53083219673101</v>
      </c>
      <c r="AE14" s="61" t="e">
        <f t="shared" si="10"/>
        <v>#VALUE!</v>
      </c>
      <c r="AF14" s="47"/>
      <c r="AG14" s="47">
        <f>+'COLOMBIA USD'!Y17+'EL SALVADOR USD'!X17+'VENEZUELA USD'!X15+'PANAMA USD'!W17</f>
        <v>189953.92051925085</v>
      </c>
      <c r="AH14" s="47">
        <f>+'COLOMBIA USD'!X17+'EL SALVADOR USD'!W17+'VENEZUELA USD'!Y15+'PANAMA USD'!V17</f>
        <v>163757.90954951281</v>
      </c>
      <c r="AI14" s="47">
        <f>+'COLOMBIA USD'!AB17+'EL SALVADOR USD'!AA17+'VENEZUELA USD'!AC15+'PANAMA USD'!Z17</f>
        <v>-408364.27719093813</v>
      </c>
      <c r="AK14" s="47">
        <f>+'COLOMBIA USD'!AA17+'EL SALVADOR USD'!Z17+'VENEZUELA USD'!AB15+'PANAMA USD'!Y17</f>
        <v>777724712.87370217</v>
      </c>
    </row>
    <row r="15" spans="1:37" x14ac:dyDescent="0.2">
      <c r="B15" s="3" t="s">
        <v>63</v>
      </c>
      <c r="C15" s="59">
        <f>+'COLOMBIA USD'!C15+'EL SALVADOR USD'!C15+'VENEZUELA USD'!C15+'PANAMA USD'!C15</f>
        <v>37111.823529411769</v>
      </c>
      <c r="D15" s="28">
        <f t="shared" si="0"/>
        <v>0.14227935903252609</v>
      </c>
      <c r="E15" s="59">
        <f>+'COLOMBIA USD'!E15+'EL SALVADOR USD'!E15+'VENEZUELA USD'!E15+'PANAMA USD'!E15</f>
        <v>31959.505815141452</v>
      </c>
      <c r="F15" s="28">
        <f t="shared" si="1"/>
        <v>0.14865682733390254</v>
      </c>
      <c r="G15" s="28">
        <f t="shared" si="2"/>
        <v>0.86116775668037393</v>
      </c>
      <c r="H15" s="59">
        <f>+'COLOMBIA USD'!H15+'EL SALVADOR USD'!H15+'VENEZUELA USD'!H15+'PANAMA USD'!H15</f>
        <v>32211.255559306024</v>
      </c>
      <c r="I15" s="28">
        <f t="shared" si="3"/>
        <v>0.13429279238273739</v>
      </c>
      <c r="J15" s="28">
        <f t="shared" si="4"/>
        <v>-7.8155830871311661E-3</v>
      </c>
      <c r="K15" s="59">
        <f>+'COLOMBIA USD'!K15+'EL SALVADOR USD'!K15+'VENEZUELA USD'!K15+'PANAMA USD'!K15</f>
        <v>256172.17647058822</v>
      </c>
      <c r="L15" s="28">
        <f t="shared" si="5"/>
        <v>0.14300239665165299</v>
      </c>
      <c r="M15" s="59">
        <f>+'COLOMBIA USD'!M15+'EL SALVADOR USD'!M15+'VENEZUELA USD'!M15+'PANAMA USD'!M15</f>
        <v>205587.95788315719</v>
      </c>
      <c r="N15" s="28">
        <f t="shared" si="6"/>
        <v>0.14479785651536414</v>
      </c>
      <c r="O15" s="28">
        <f t="shared" si="7"/>
        <v>0.80253820190640912</v>
      </c>
      <c r="P15" s="59">
        <f>+'COLOMBIA USD'!P15+'EL SALVADOR USD'!P15+'VENEZUELA USD'!P15+'PANAMA USD'!P15</f>
        <v>214542.75101434704</v>
      </c>
      <c r="Q15" s="28">
        <f t="shared" si="8"/>
        <v>0.15009631419386785</v>
      </c>
      <c r="R15" s="28">
        <f t="shared" si="9"/>
        <v>-4.173896852190092E-2</v>
      </c>
      <c r="V15" s="3" t="s">
        <v>23</v>
      </c>
      <c r="W15" s="59">
        <f>W9-W14</f>
        <v>-979081094.35072458</v>
      </c>
      <c r="X15" s="59">
        <f>X9-X14</f>
        <v>97955.312271447794</v>
      </c>
      <c r="Y15" s="59">
        <f t="shared" ref="Y15:AB15" si="12">Y9-Y14</f>
        <v>68082.37103197028</v>
      </c>
      <c r="Z15" s="59">
        <f t="shared" si="12"/>
        <v>366573.5667218552</v>
      </c>
      <c r="AA15" s="59" t="e">
        <f>AA9-AA14</f>
        <v>#VALUE!</v>
      </c>
      <c r="AB15" s="59">
        <f t="shared" si="12"/>
        <v>-698446314.85613871</v>
      </c>
      <c r="AC15" s="55">
        <f>+AB15-Z15</f>
        <v>-698812888.4228605</v>
      </c>
      <c r="AD15" s="61">
        <f t="shared" si="11"/>
        <v>-1905.3373681635326</v>
      </c>
      <c r="AE15" s="61" t="e">
        <f t="shared" si="10"/>
        <v>#VALUE!</v>
      </c>
      <c r="AF15" s="47"/>
      <c r="AG15" s="47">
        <f>+'COLOMBIA USD'!Y19+'EL SALVADOR USD'!X19+'VENEZUELA USD'!X16+'PANAMA USD'!W19</f>
        <v>57912.672677539158</v>
      </c>
      <c r="AH15" s="47">
        <f>+'COLOMBIA USD'!X19+'EL SALVADOR USD'!W19+'VENEZUELA USD'!Y16+'PANAMA USD'!V19</f>
        <v>113779.40148882306</v>
      </c>
      <c r="AI15" s="47">
        <f>+'COLOMBIA USD'!AB19+'EL SALVADOR USD'!AA19+'VENEZUELA USD'!AC16+'PANAMA USD'!Z19</f>
        <v>-35925.823870903354</v>
      </c>
      <c r="AK15" s="47">
        <f>+'COLOMBIA USD'!AA19+'EL SALVADOR USD'!Z19+'VENEZUELA USD'!AB16+'PANAMA USD'!Y19</f>
        <v>3256892366.4348931</v>
      </c>
    </row>
    <row r="16" spans="1:37" x14ac:dyDescent="0.2">
      <c r="B16" s="3" t="s">
        <v>64</v>
      </c>
      <c r="C16" s="59">
        <f>+'COLOMBIA USD'!C16+'EL SALVADOR USD'!C16+'VENEZUELA USD'!C16+'PANAMA USD'!C16</f>
        <v>0</v>
      </c>
      <c r="D16" s="28"/>
      <c r="E16" s="59">
        <f>+'COLOMBIA USD'!E16+'EL SALVADOR USD'!E16+'VENEZUELA USD'!E16+'PANAMA USD'!E16</f>
        <v>0</v>
      </c>
      <c r="F16" s="28">
        <f t="shared" si="1"/>
        <v>0</v>
      </c>
      <c r="G16" s="28" t="str">
        <f t="shared" si="2"/>
        <v/>
      </c>
      <c r="H16" s="59">
        <f>+'COLOMBIA USD'!H16+'EL SALVADOR USD'!H16+'VENEZUELA USD'!H16+'PANAMA USD'!H16</f>
        <v>0</v>
      </c>
      <c r="I16" s="28">
        <f t="shared" si="3"/>
        <v>0</v>
      </c>
      <c r="J16" s="28" t="str">
        <f t="shared" si="4"/>
        <v/>
      </c>
      <c r="K16" s="59">
        <f>+'COLOMBIA USD'!K16+'EL SALVADOR USD'!K16+'VENEZUELA USD'!K16+'PANAMA USD'!K16</f>
        <v>0</v>
      </c>
      <c r="L16" s="28">
        <f t="shared" si="5"/>
        <v>0</v>
      </c>
      <c r="M16" s="59">
        <f>+'COLOMBIA USD'!M16+'EL SALVADOR USD'!M16+'VENEZUELA USD'!M16+'PANAMA USD'!M16</f>
        <v>0</v>
      </c>
      <c r="N16" s="28">
        <f t="shared" si="6"/>
        <v>0</v>
      </c>
      <c r="O16" s="28" t="str">
        <f t="shared" si="7"/>
        <v/>
      </c>
      <c r="P16" s="59">
        <f>+'COLOMBIA USD'!P16+'EL SALVADOR USD'!P16+'VENEZUELA USD'!P16+'PANAMA USD'!P16</f>
        <v>0</v>
      </c>
      <c r="Q16" s="28">
        <f t="shared" si="8"/>
        <v>0</v>
      </c>
      <c r="R16" s="28" t="str">
        <f t="shared" si="9"/>
        <v/>
      </c>
      <c r="V16" s="3"/>
      <c r="W16" s="59"/>
      <c r="X16" s="59"/>
      <c r="Y16" s="59"/>
      <c r="Z16" s="59"/>
      <c r="AA16" s="59"/>
      <c r="AB16" s="59"/>
      <c r="AC16" s="55"/>
      <c r="AD16" s="61"/>
      <c r="AE16" s="61"/>
      <c r="AF16" s="47"/>
      <c r="AG16" s="47"/>
      <c r="AH16" s="47"/>
      <c r="AI16" s="47"/>
      <c r="AK16" s="47"/>
    </row>
    <row r="17" spans="2:37" x14ac:dyDescent="0.2">
      <c r="B17" s="3" t="s">
        <v>65</v>
      </c>
      <c r="C17" s="59">
        <f>+'COLOMBIA USD'!C17+'EL SALVADOR USD'!C17+'VENEZUELA USD'!C17+'PANAMA USD'!C17</f>
        <v>5252.6470588235297</v>
      </c>
      <c r="D17" s="28">
        <f>+C17/$C$20</f>
        <v>2.0137605368844583E-2</v>
      </c>
      <c r="E17" s="59">
        <f>+'COLOMBIA USD'!E17+'EL SALVADOR USD'!E17+'VENEZUELA USD'!E17+'PANAMA USD'!E17</f>
        <v>3618.3854614794313</v>
      </c>
      <c r="F17" s="28">
        <f t="shared" si="1"/>
        <v>1.6830601383073057E-2</v>
      </c>
      <c r="G17" s="28">
        <f t="shared" si="2"/>
        <v>0.68886894949493627</v>
      </c>
      <c r="H17" s="59">
        <f>+'COLOMBIA USD'!H17+'EL SALVADOR USD'!H17+'VENEZUELA USD'!H17+'PANAMA USD'!H17</f>
        <v>27953.035254454637</v>
      </c>
      <c r="I17" s="28">
        <f t="shared" si="3"/>
        <v>0.11653973416162891</v>
      </c>
      <c r="J17" s="28">
        <f t="shared" si="4"/>
        <v>-0.87055482781953697</v>
      </c>
      <c r="K17" s="59">
        <f>+'COLOMBIA USD'!K17+'EL SALVADOR USD'!K17+'VENEZUELA USD'!K17+'PANAMA USD'!K17</f>
        <v>61259.117647058825</v>
      </c>
      <c r="L17" s="28">
        <f t="shared" si="5"/>
        <v>3.4196534381635946E-2</v>
      </c>
      <c r="M17" s="59">
        <f>+'COLOMBIA USD'!M17+'EL SALVADOR USD'!M17+'VENEZUELA USD'!M17+'PANAMA USD'!M17</f>
        <v>48172.75469153314</v>
      </c>
      <c r="N17" s="28">
        <f t="shared" si="6"/>
        <v>3.3928600165087315E-2</v>
      </c>
      <c r="O17" s="28">
        <f t="shared" si="7"/>
        <v>0.78637689444170455</v>
      </c>
      <c r="P17" s="59">
        <f>+'COLOMBIA USD'!P17+'EL SALVADOR USD'!P17+'VENEZUELA USD'!P17+'PANAMA USD'!P17</f>
        <v>50523.201598808657</v>
      </c>
      <c r="Q17" s="28">
        <f t="shared" si="8"/>
        <v>3.5346551236997016E-2</v>
      </c>
      <c r="R17" s="28">
        <f t="shared" si="9"/>
        <v>-4.6522129099018546E-2</v>
      </c>
      <c r="V17" s="3"/>
      <c r="W17" s="59"/>
      <c r="X17" s="59"/>
      <c r="Y17" s="59"/>
      <c r="Z17" s="59"/>
      <c r="AA17" s="59"/>
      <c r="AB17" s="59"/>
      <c r="AC17" s="55"/>
      <c r="AD17" s="61"/>
      <c r="AE17" s="61" t="str">
        <f t="shared" si="10"/>
        <v/>
      </c>
      <c r="AF17" s="47"/>
      <c r="AG17" s="47"/>
      <c r="AH17" s="47"/>
      <c r="AI17" s="47"/>
      <c r="AK17" s="47" t="e">
        <f>+'COLOMBIA USD'!AA20+'EL SALVADOR USD'!#REF!+'VENEZUELA USD'!AB18+'PANAMA USD'!Y20</f>
        <v>#REF!</v>
      </c>
    </row>
    <row r="18" spans="2:37" x14ac:dyDescent="0.2">
      <c r="B18" s="3" t="s">
        <v>67</v>
      </c>
      <c r="C18" s="59">
        <f>+'COLOMBIA USD'!C18+'EL SALVADOR USD'!C18+'VENEZUELA USD'!C18+'PANAMA USD'!C18</f>
        <v>31922.647058823528</v>
      </c>
      <c r="D18" s="32">
        <f t="shared" ref="D18:D46" si="13">+C18/$C$20</f>
        <v>0.12238508729034572</v>
      </c>
      <c r="E18" s="59">
        <f>+'COLOMBIA USD'!E18+'EL SALVADOR USD'!E18+'VENEZUELA USD'!E18+'PANAMA USD'!E18</f>
        <v>26049.664209473758</v>
      </c>
      <c r="F18" s="28">
        <f t="shared" si="1"/>
        <v>0.12116771945388549</v>
      </c>
      <c r="G18" s="32">
        <f t="shared" si="2"/>
        <v>0.81602456592876882</v>
      </c>
      <c r="H18" s="59">
        <f>+'COLOMBIA USD'!H18+'EL SALVADOR USD'!H18+'VENEZUELA USD'!H18+'PANAMA USD'!H18</f>
        <v>19004.061915054241</v>
      </c>
      <c r="I18" s="28">
        <f t="shared" si="3"/>
        <v>7.9230334144790776E-2</v>
      </c>
      <c r="J18" s="32">
        <f t="shared" si="4"/>
        <v>0.37074191432928766</v>
      </c>
      <c r="K18" s="59">
        <f>+'COLOMBIA USD'!K18+'EL SALVADOR USD'!K18+'VENEZUELA USD'!K18+'PANAMA USD'!K18</f>
        <v>220721.76470588235</v>
      </c>
      <c r="L18" s="28">
        <f t="shared" si="5"/>
        <v>0.12321299596620058</v>
      </c>
      <c r="M18" s="59">
        <f>+'COLOMBIA USD'!M18+'EL SALVADOR USD'!M18+'VENEZUELA USD'!M18+'PANAMA USD'!M18</f>
        <v>164408.72008929608</v>
      </c>
      <c r="N18" s="28">
        <f t="shared" si="6"/>
        <v>0.11579486710449433</v>
      </c>
      <c r="O18" s="28">
        <f t="shared" si="7"/>
        <v>0.74486863725638974</v>
      </c>
      <c r="P18" s="59">
        <f>+'COLOMBIA USD'!P18+'EL SALVADOR USD'!P18+'VENEZUELA USD'!P18+'PANAMA USD'!P18</f>
        <v>137658.12486426675</v>
      </c>
      <c r="Q18" s="28">
        <f t="shared" si="8"/>
        <v>9.6307039334943334E-2</v>
      </c>
      <c r="R18" s="32">
        <f t="shared" si="9"/>
        <v>0.19432630839193746</v>
      </c>
      <c r="V18" s="3" t="s">
        <v>25</v>
      </c>
      <c r="W18" s="59">
        <f>W8+W15</f>
        <v>-979063001.20195556</v>
      </c>
      <c r="X18" s="59">
        <f>'COLOMBIA USD'!Y21+'EL SALVADOR USD'!X21+'VENEZUELA USD'!X19+'PANAMA USD'!W21</f>
        <v>348928.91681210377</v>
      </c>
      <c r="Y18" s="59">
        <f t="shared" ref="Y18" si="14">Y8+Y15</f>
        <v>90956.44139752617</v>
      </c>
      <c r="Z18" s="59">
        <f>Z8+Z15</f>
        <v>540445.80201597279</v>
      </c>
      <c r="AA18" s="59" t="e">
        <f>AA8+AA15</f>
        <v>#VALUE!</v>
      </c>
      <c r="AB18" s="59">
        <f>AB8+AB15</f>
        <v>-698302269.4125185</v>
      </c>
      <c r="AC18" s="55">
        <f>+AB18-Z18</f>
        <v>-698842715.21453452</v>
      </c>
      <c r="AD18" s="61">
        <f t="shared" si="11"/>
        <v>-1292.0856574474426</v>
      </c>
      <c r="AE18" s="61" t="e">
        <f t="shared" si="10"/>
        <v>#VALUE!</v>
      </c>
      <c r="AF18" s="47"/>
      <c r="AG18" s="47">
        <f>+'COLOMBIA USD'!Y21+'EL SALVADOR USD'!X21+'VENEZUELA USD'!X19+'PANAMA USD'!W21</f>
        <v>348928.91681210377</v>
      </c>
      <c r="AH18" s="47">
        <f>+'COLOMBIA USD'!X21+'EL SALVADOR USD'!W21+'VENEZUELA USD'!Y19+'PANAMA USD'!V21</f>
        <v>129994.86102527575</v>
      </c>
      <c r="AI18" s="47">
        <f>+'COLOMBIA USD'!AB21+'EL SALVADOR USD'!AA21+'VENEZUELA USD'!AC19+'PANAMA USD'!Z21</f>
        <v>-65752.615536593774</v>
      </c>
      <c r="AK18" s="47">
        <f>+'COLOMBIA USD'!AA21+'EL SALVADOR USD'!Z21+'VENEZUELA USD'!AB19+'PANAMA USD'!Y21</f>
        <v>703367776.56210101</v>
      </c>
    </row>
    <row r="19" spans="2:37" x14ac:dyDescent="0.2">
      <c r="B19" s="3" t="s">
        <v>69</v>
      </c>
      <c r="C19" s="59">
        <f>+'COLOMBIA USD'!C19+'EL SALVADOR USD'!C19+'VENEZUELA USD'!C19+'PANAMA USD'!C19</f>
        <v>0</v>
      </c>
      <c r="D19" s="28">
        <f t="shared" si="13"/>
        <v>0</v>
      </c>
      <c r="E19" s="59">
        <f>+'COLOMBIA USD'!E19+'EL SALVADOR USD'!E19+'VENEZUELA USD'!E19+'PANAMA USD'!E19</f>
        <v>0</v>
      </c>
      <c r="F19" s="28">
        <f t="shared" si="1"/>
        <v>0</v>
      </c>
      <c r="G19" s="28" t="str">
        <f t="shared" si="2"/>
        <v/>
      </c>
      <c r="H19" s="59">
        <f>+'COLOMBIA USD'!H19+'EL SALVADOR USD'!H19+'VENEZUELA USD'!H19+'PANAMA USD'!H19</f>
        <v>10866.87823820801</v>
      </c>
      <c r="I19" s="28"/>
      <c r="J19" s="28">
        <f t="shared" si="4"/>
        <v>-1</v>
      </c>
      <c r="K19" s="59">
        <f>+'COLOMBIA USD'!K19+'EL SALVADOR USD'!K19+'VENEZUELA USD'!K19+'PANAMA USD'!K19</f>
        <v>0</v>
      </c>
      <c r="L19" s="28">
        <f t="shared" si="5"/>
        <v>0</v>
      </c>
      <c r="M19" s="59">
        <f>+'COLOMBIA USD'!M19+'EL SALVADOR USD'!M19+'VENEZUELA USD'!M19+'PANAMA USD'!M19</f>
        <v>0</v>
      </c>
      <c r="N19" s="28">
        <f t="shared" si="6"/>
        <v>0</v>
      </c>
      <c r="O19" s="28"/>
      <c r="P19" s="59">
        <f>+'COLOMBIA USD'!P19+'EL SALVADOR USD'!P19+'VENEZUELA USD'!P19+'PANAMA USD'!P19</f>
        <v>14700</v>
      </c>
      <c r="Q19" s="28">
        <f t="shared" si="8"/>
        <v>1.0284271121806901E-2</v>
      </c>
      <c r="R19" s="28"/>
      <c r="V19" s="3" t="s">
        <v>27</v>
      </c>
      <c r="W19" s="59">
        <f>'COLOMBIA USD'!W23+'EL SALVADOR USD'!V23+'VENEZUELA USD'!W20+'PANAMA USD'!U23</f>
        <v>1530.8823529411764</v>
      </c>
      <c r="X19" s="59">
        <f>'COLOMBIA USD'!Y23+'EL SALVADOR USD'!X23+'VENEZUELA USD'!X20+'PANAMA USD'!W23</f>
        <v>10404.955686319121</v>
      </c>
      <c r="Y19" s="59">
        <f>'COLOMBIA USD'!X23+'EL SALVADOR USD'!W23+'VENEZUELA USD'!Y20+'PANAMA USD'!V23</f>
        <v>364.2051252238216</v>
      </c>
      <c r="Z19" s="59">
        <f>'COLOMBIA USD'!Z23+'EL SALVADOR USD'!Y23+'VENEZUELA USD'!Z20+'PANAMA USD'!X23</f>
        <v>124936.76470588235</v>
      </c>
      <c r="AA19" s="59">
        <f>'COLOMBIA USD'!AD23+'EL SALVADOR USD'!AC23+'VENEZUELA USD'!AA20+'PANAMA USD'!AB23</f>
        <v>89042.163665884145</v>
      </c>
      <c r="AB19" s="59">
        <f>'COLOMBIA USD'!AA23+'EL SALVADOR USD'!Z23+'VENEZUELA USD'!AB20+'PANAMA USD'!Y23</f>
        <v>133433.89816989514</v>
      </c>
      <c r="AC19" s="55">
        <f t="shared" ref="AC19:AC22" si="15">+AB19-Z19</f>
        <v>8497.1334640127898</v>
      </c>
      <c r="AD19" s="61">
        <f t="shared" si="11"/>
        <v>1.0680114735163517</v>
      </c>
      <c r="AE19" s="61">
        <f t="shared" si="10"/>
        <v>0.49854734741828116</v>
      </c>
      <c r="AF19" s="47"/>
      <c r="AG19" s="47">
        <f>+'COLOMBIA USD'!Y23+'EL SALVADOR USD'!X23+'VENEZUELA USD'!X20+'PANAMA USD'!W23</f>
        <v>10404.955686319121</v>
      </c>
      <c r="AH19" s="47">
        <f>+'COLOMBIA USD'!X23+'EL SALVADOR USD'!W23+'VENEZUELA USD'!Y20+'PANAMA USD'!V23</f>
        <v>364.2051252238216</v>
      </c>
      <c r="AI19" s="47" t="e">
        <f>+'COLOMBIA USD'!AB23+'EL SALVADOR USD'!AA23+'VENEZUELA USD'!AC20+'PANAMA USD'!Z23</f>
        <v>#VALUE!</v>
      </c>
      <c r="AK19" s="47">
        <f>+'COLOMBIA USD'!AA23+'EL SALVADOR USD'!Z23+'VENEZUELA USD'!AB20+'PANAMA USD'!Y23</f>
        <v>133433.89816989514</v>
      </c>
    </row>
    <row r="20" spans="2:37" x14ac:dyDescent="0.2">
      <c r="B20" s="17" t="s">
        <v>24</v>
      </c>
      <c r="C20" s="63">
        <f>SUM(C10:C19)</f>
        <v>260837.7194117647</v>
      </c>
      <c r="D20" s="36">
        <f t="shared" si="13"/>
        <v>1</v>
      </c>
      <c r="E20" s="63">
        <f>SUM(E10:E19)</f>
        <v>214988.48312803186</v>
      </c>
      <c r="F20" s="36">
        <f t="shared" si="1"/>
        <v>1</v>
      </c>
      <c r="G20" s="36">
        <f t="shared" si="2"/>
        <v>0.824223136181642</v>
      </c>
      <c r="H20" s="63">
        <f>SUM(H10:H19)</f>
        <v>239858.40928456714</v>
      </c>
      <c r="I20" s="36">
        <f>+H22/$H$22</f>
        <v>1</v>
      </c>
      <c r="J20" s="36">
        <f t="shared" si="4"/>
        <v>-0.10368586296688764</v>
      </c>
      <c r="K20" s="63">
        <f>SUM(K10:K19)</f>
        <v>1791383.7982352939</v>
      </c>
      <c r="L20" s="36">
        <f t="shared" si="5"/>
        <v>1</v>
      </c>
      <c r="M20" s="63">
        <f>SUM(M10:M19)</f>
        <v>1419827.3567768093</v>
      </c>
      <c r="N20" s="36">
        <f t="shared" si="6"/>
        <v>1</v>
      </c>
      <c r="O20" s="36">
        <f>IF(K20=0,"",(M20-K20)/ABS(K20)+1)</f>
        <v>0.79258691419197391</v>
      </c>
      <c r="P20" s="63">
        <f>SUM(P10:P19)</f>
        <v>1429367.2177535198</v>
      </c>
      <c r="Q20" s="36">
        <f t="shared" si="8"/>
        <v>1</v>
      </c>
      <c r="R20" s="36">
        <f>IF(P20=0,"",(M20-P20)/ABS(P20))</f>
        <v>-6.6741848128459768E-3</v>
      </c>
      <c r="V20" s="3" t="s">
        <v>29</v>
      </c>
      <c r="W20" s="59">
        <f>'COLOMBIA USD'!W25+'EL SALVADOR USD'!V25+'VENEZUELA USD'!W21+'PANAMA USD'!U25</f>
        <v>409309339.39466554</v>
      </c>
      <c r="X20" s="59">
        <f>'COLOMBIA USD'!Y25+'EL SALVADOR USD'!X25+'VENEZUELA USD'!X21+'PANAMA USD'!W25</f>
        <v>97896.506464132108</v>
      </c>
      <c r="Y20" s="59">
        <f>'COLOMBIA USD'!X25+'EL SALVADOR USD'!W25+'VENEZUELA USD'!Y21+'PANAMA USD'!V25</f>
        <v>81913.396708351487</v>
      </c>
      <c r="Z20" s="59">
        <f>'COLOMBIA USD'!Z25+'EL SALVADOR USD'!Y25+'VENEZUELA USD'!Z21+'PANAMA USD'!X25</f>
        <v>362951.92298085446</v>
      </c>
      <c r="AA20" s="59">
        <f>'COLOMBIA USD'!AD25+'EL SALVADOR USD'!AC25+'VENEZUELA USD'!AA21+'PANAMA USD'!AB25</f>
        <v>299453.29815396096</v>
      </c>
      <c r="AB20" s="59">
        <f>'COLOMBIA USD'!AA25+'EL SALVADOR USD'!Z25+'VENEZUELA USD'!AB21+'PANAMA USD'!Y25</f>
        <v>780765392.00214422</v>
      </c>
      <c r="AC20" s="55">
        <f t="shared" si="15"/>
        <v>780402440.07916331</v>
      </c>
      <c r="AD20" s="61">
        <f t="shared" si="11"/>
        <v>2151.1537549928594</v>
      </c>
      <c r="AE20" s="61">
        <f t="shared" si="10"/>
        <v>2606.3026973331962</v>
      </c>
      <c r="AF20" s="47"/>
      <c r="AG20" s="47">
        <f>+'COLOMBIA USD'!Y25+'EL SALVADOR USD'!X25+'VENEZUELA USD'!X21+'PANAMA USD'!W25</f>
        <v>97896.506464132108</v>
      </c>
      <c r="AH20" s="47">
        <f>+'COLOMBIA USD'!X25+'EL SALVADOR USD'!W25+'VENEZUELA USD'!Y21+'PANAMA USD'!V25</f>
        <v>81913.396708351487</v>
      </c>
      <c r="AI20" s="47">
        <f>+'COLOMBIA USD'!AB25+'EL SALVADOR USD'!AA25+'VENEZUELA USD'!AC21+'PANAMA USD'!Z25</f>
        <v>-81068.360754109468</v>
      </c>
      <c r="AK20" s="47">
        <f>+'COLOMBIA USD'!AA25+'EL SALVADOR USD'!Z25+'VENEZUELA USD'!AB21+'PANAMA USD'!Y25</f>
        <v>780765392.00214422</v>
      </c>
    </row>
    <row r="21" spans="2:37" x14ac:dyDescent="0.2">
      <c r="B21" s="3"/>
      <c r="C21" s="59"/>
      <c r="D21" s="28"/>
      <c r="E21" s="59"/>
      <c r="F21" s="28"/>
      <c r="G21" s="28"/>
      <c r="H21" s="59"/>
      <c r="I21" s="28"/>
      <c r="J21" s="28"/>
      <c r="K21" s="59"/>
      <c r="L21" s="28"/>
      <c r="M21" s="59"/>
      <c r="N21" s="28"/>
      <c r="O21" s="28"/>
      <c r="P21" s="59"/>
      <c r="Q21" s="28"/>
      <c r="R21" s="28"/>
      <c r="V21" s="3" t="s">
        <v>32</v>
      </c>
      <c r="W21" s="59">
        <f>'COLOMBIA USD'!W27+'EL SALVADOR USD'!V27+'VENEZUELA USD'!W22+'PANAMA USD'!U27</f>
        <v>-13948.529411764706</v>
      </c>
      <c r="X21" s="59">
        <f>'COLOMBIA USD'!Y27+'EL SALVADOR USD'!X27+'VENEZUELA USD'!X22+'PANAMA USD'!W27</f>
        <v>8366.8022275768635</v>
      </c>
      <c r="Y21" s="59">
        <f>'COLOMBIA USD'!X27+'EL SALVADOR USD'!W27+'VENEZUELA USD'!Y22+'PANAMA USD'!V27</f>
        <v>1886.2199381438502</v>
      </c>
      <c r="Z21" s="59">
        <f>'COLOMBIA USD'!Z27+'EL SALVADOR USD'!Y27+'VENEZUELA USD'!Z22+'PANAMA USD'!X27</f>
        <v>-57103.823529411762</v>
      </c>
      <c r="AA21" s="59">
        <f>'COLOMBIA USD'!AD27+'EL SALVADOR USD'!AC27+'VENEZUELA USD'!AA22+'PANAMA USD'!AB27</f>
        <v>-23724.998893450676</v>
      </c>
      <c r="AB21" s="59">
        <f>'COLOMBIA USD'!AA27+'EL SALVADOR USD'!Z27+'VENEZUELA USD'!AB22+'PANAMA USD'!Y27</f>
        <v>-37486.781638490334</v>
      </c>
      <c r="AC21" s="55">
        <f t="shared" si="15"/>
        <v>19617.041890921428</v>
      </c>
      <c r="AD21" s="61">
        <f t="shared" si="11"/>
        <v>1.3435328963710726</v>
      </c>
      <c r="AE21" s="61">
        <f t="shared" si="10"/>
        <v>-0.58005409428443089</v>
      </c>
      <c r="AF21" s="47"/>
      <c r="AG21" s="47">
        <f>+'COLOMBIA USD'!Y27+'EL SALVADOR USD'!X27+'VENEZUELA USD'!X22+'PANAMA USD'!W27</f>
        <v>8366.8022275768635</v>
      </c>
      <c r="AH21" s="47">
        <f>+'COLOMBIA USD'!X27+'EL SALVADOR USD'!W27+'VENEZUELA USD'!Y22+'PANAMA USD'!V27</f>
        <v>1886.2199381438502</v>
      </c>
      <c r="AI21" s="47">
        <f>+'COLOMBIA USD'!AB27+'EL SALVADOR USD'!AA27+'VENEZUELA USD'!AC22+'PANAMA USD'!Z27</f>
        <v>19617.041890921428</v>
      </c>
      <c r="AK21" s="47">
        <f>+'COLOMBIA USD'!AA27+'EL SALVADOR USD'!Z27+'VENEZUELA USD'!AB22+'PANAMA USD'!Y27</f>
        <v>-37486.781638490334</v>
      </c>
    </row>
    <row r="22" spans="2:37" x14ac:dyDescent="0.2">
      <c r="B22" s="3" t="s">
        <v>26</v>
      </c>
      <c r="C22" s="59">
        <f>+'COLOMBIA USD'!C22+'EL SALVADOR USD'!C22+'VENEZUELA USD'!C22+'PANAMA USD'!C22</f>
        <v>24359.915294117647</v>
      </c>
      <c r="D22" s="28">
        <f t="shared" si="13"/>
        <v>9.3391076064664166E-2</v>
      </c>
      <c r="E22" s="59">
        <f>+'COLOMBIA USD'!E22+'EL SALVADOR USD'!E22+'VENEZUELA USD'!E22+'PANAMA USD'!E22</f>
        <v>21960.086398623353</v>
      </c>
      <c r="F22" s="28">
        <f>+E22/$E$20</f>
        <v>0.10214540834517859</v>
      </c>
      <c r="G22" s="28">
        <f>IF(C22=0,"",(E22-C22)/ABS(C22)+1)</f>
        <v>0.9014845139435359</v>
      </c>
      <c r="H22" s="59">
        <f>+'COLOMBIA USD'!H22+'EL SALVADOR USD'!H22+'VENEZUELA USD'!H22+'PANAMA USD'!H22</f>
        <v>10275.843071656824</v>
      </c>
      <c r="I22" s="28">
        <f t="shared" ref="I22:I46" si="16">+H22/$H$20</f>
        <v>4.2841287500850561E-2</v>
      </c>
      <c r="J22" s="28">
        <f>IF(H22=0,"",(E22-H22)/ABS(H22))</f>
        <v>1.1370593386341605</v>
      </c>
      <c r="K22" s="59">
        <f>+'COLOMBIA USD'!K22+'EL SALVADOR USD'!K22+'VENEZUELA USD'!K22+'PANAMA USD'!K22</f>
        <v>147961.21411764706</v>
      </c>
      <c r="L22" s="28">
        <f t="shared" si="5"/>
        <v>8.2596043496321006E-2</v>
      </c>
      <c r="M22" s="59">
        <f>+'COLOMBIA USD'!M22+'EL SALVADOR USD'!M22+'VENEZUELA USD'!M22+'PANAMA USD'!M22</f>
        <v>125911.3336477961</v>
      </c>
      <c r="N22" s="28">
        <f>+M22/$M$20</f>
        <v>8.8680735053331419E-2</v>
      </c>
      <c r="O22" s="28">
        <f>IF(K22=0,"",(M22-K22)/ABS(K22)+1)</f>
        <v>0.85097526671875889</v>
      </c>
      <c r="P22" s="59">
        <f>+'COLOMBIA USD'!P22+'EL SALVADOR USD'!P22+'VENEZUELA USD'!P22+'PANAMA USD'!P22</f>
        <v>68990.543890399917</v>
      </c>
      <c r="Q22" s="28">
        <f t="shared" si="8"/>
        <v>4.8266493755768122E-2</v>
      </c>
      <c r="R22" s="28">
        <f>IF(P22=0,"",(M22-P22)/ABS(P22))</f>
        <v>0.82505205130462456</v>
      </c>
      <c r="V22" s="3" t="s">
        <v>34</v>
      </c>
      <c r="W22" s="59">
        <f>'COLOMBIA USD'!W28+'EL SALVADOR USD'!V28+'VENEZUELA USD'!W23+'PANAMA USD'!U28</f>
        <v>22794.117647058822</v>
      </c>
      <c r="X22" s="59">
        <f>'COLOMBIA USD'!Y28+'EL SALVADOR USD'!X28+'VENEZUELA USD'!X23+'PANAMA USD'!W28</f>
        <v>0</v>
      </c>
      <c r="Y22" s="59">
        <f>'COLOMBIA USD'!X28+'EL SALVADOR USD'!W28+'VENEZUELA USD'!Y23+'PANAMA USD'!V28</f>
        <v>18553.066297700159</v>
      </c>
      <c r="Z22" s="59">
        <f>'COLOMBIA USD'!Z28+'EL SALVADOR USD'!Y28+'VENEZUELA USD'!Z23+'PANAMA USD'!X28</f>
        <v>91176.470588235286</v>
      </c>
      <c r="AA22" s="59" t="e">
        <f>'COLOMBIA USD'!AD28+'EL SALVADOR USD'!AC28+'VENEZUELA USD'!AA23+'PANAMA USD'!AB28</f>
        <v>#VALUE!</v>
      </c>
      <c r="AB22" s="59">
        <f>'COLOMBIA USD'!AA28+'EL SALVADOR USD'!Z28+'VENEZUELA USD'!AB23+'PANAMA USD'!Y28</f>
        <v>65904.735716112831</v>
      </c>
      <c r="AC22" s="55">
        <f t="shared" si="15"/>
        <v>-25271.734872122455</v>
      </c>
      <c r="AD22" s="61">
        <f t="shared" si="11"/>
        <v>0.72282613366059234</v>
      </c>
      <c r="AE22" s="61" t="e">
        <f t="shared" si="10"/>
        <v>#VALUE!</v>
      </c>
      <c r="AF22" s="47"/>
      <c r="AG22" s="47">
        <f>+'COLOMBIA USD'!Y28+'EL SALVADOR USD'!X28+'VENEZUELA USD'!X23+'PANAMA USD'!W28</f>
        <v>0</v>
      </c>
      <c r="AH22" s="47">
        <f>+'COLOMBIA USD'!X28+'EL SALVADOR USD'!W28+'VENEZUELA USD'!Y23+'PANAMA USD'!V28</f>
        <v>18553.066297700159</v>
      </c>
      <c r="AI22" s="47" t="e">
        <f>+'COLOMBIA USD'!AB28+'EL SALVADOR USD'!AA28+'VENEZUELA USD'!AC23+'PANAMA USD'!Z28</f>
        <v>#VALUE!</v>
      </c>
      <c r="AK22" s="47">
        <f>+'COLOMBIA USD'!AA28+'EL SALVADOR USD'!Z28+'VENEZUELA USD'!AB23+'PANAMA USD'!Y28</f>
        <v>65904.735716112831</v>
      </c>
    </row>
    <row r="23" spans="2:37" x14ac:dyDescent="0.2">
      <c r="B23" s="3"/>
      <c r="C23" s="59"/>
      <c r="D23" s="28"/>
      <c r="E23" s="59"/>
      <c r="F23" s="28"/>
      <c r="G23" s="28"/>
      <c r="H23" s="59"/>
      <c r="I23" s="28"/>
      <c r="J23" s="28"/>
      <c r="K23" s="59"/>
      <c r="L23" s="28"/>
      <c r="M23" s="59"/>
      <c r="N23" s="28"/>
      <c r="O23" s="28"/>
      <c r="P23" s="59"/>
      <c r="Q23" s="28"/>
      <c r="R23" s="28"/>
      <c r="V23" s="3" t="s">
        <v>36</v>
      </c>
      <c r="W23" s="59">
        <f>W18-W19-W20-W21-W22</f>
        <v>-1388382717.0672095</v>
      </c>
      <c r="X23" s="59">
        <f t="shared" ref="X23:AB23" si="17">X18-X19-X20-X21-X22</f>
        <v>232260.65243407569</v>
      </c>
      <c r="Y23" s="59">
        <f t="shared" si="17"/>
        <v>-11760.446671893144</v>
      </c>
      <c r="Z23" s="59">
        <f t="shared" si="17"/>
        <v>18484.467270412453</v>
      </c>
      <c r="AA23" s="59" t="e">
        <f t="shared" si="17"/>
        <v>#VALUE!</v>
      </c>
      <c r="AB23" s="59">
        <f t="shared" si="17"/>
        <v>-1479229513.2669103</v>
      </c>
      <c r="AC23" s="55">
        <f t="shared" ref="AC23" si="18">Y23-W23</f>
        <v>1388370956.6205375</v>
      </c>
      <c r="AD23" s="61">
        <f t="shared" ref="AD23" si="19">IF(W23=0,"",(Y23-W23)/ABS(W23)+1)</f>
        <v>1.9999915293913362</v>
      </c>
      <c r="AE23" s="61">
        <f t="shared" ref="AE23" si="20">IF(X23=0,"",(Y23-X23)/ABS(X23))</f>
        <v>-1.0506346923107486</v>
      </c>
      <c r="AF23" s="47"/>
      <c r="AG23" s="47">
        <f>+'COLOMBIA USD'!Y30+'EL SALVADOR USD'!X30+'VENEZUELA USD'!X24+'PANAMA USD'!W30</f>
        <v>272303.29202798434</v>
      </c>
      <c r="AH23" s="47">
        <f>+'COLOMBIA USD'!X30+'EL SALVADOR USD'!W30+'VENEZUELA USD'!Y24+'PANAMA USD'!V30</f>
        <v>29776.61931795457</v>
      </c>
      <c r="AI23" s="47">
        <f>+'COLOMBIA USD'!AB30+'EL SALVADOR USD'!AA30+'VENEZUELA USD'!AC24+'PANAMA USD'!Z30</f>
        <v>12473.304736604756</v>
      </c>
      <c r="AK23" s="47">
        <f>+'COLOMBIA USD'!AA30+'EL SALVADOR USD'!Z30+'VENEZUELA USD'!AB24+'PANAMA USD'!Y30</f>
        <v>32860.447133920774</v>
      </c>
    </row>
    <row r="24" spans="2:37" x14ac:dyDescent="0.2">
      <c r="B24" s="3" t="s">
        <v>28</v>
      </c>
      <c r="C24" s="59">
        <f>+C20-C22</f>
        <v>236477.80411764706</v>
      </c>
      <c r="D24" s="28">
        <f t="shared" si="13"/>
        <v>0.90660892393533588</v>
      </c>
      <c r="E24" s="59">
        <f>+E20-E22</f>
        <v>193028.3967294085</v>
      </c>
      <c r="F24" s="28">
        <f>+E24/$E$20</f>
        <v>0.8978545916548214</v>
      </c>
      <c r="G24" s="28">
        <f>IF(C24=0,"",(E24-C24)/ABS(C24)+1)</f>
        <v>0.81626433165531853</v>
      </c>
      <c r="H24" s="59">
        <f>+H20-H22</f>
        <v>229582.56621291031</v>
      </c>
      <c r="I24" s="28">
        <f t="shared" si="16"/>
        <v>0.95715871249914941</v>
      </c>
      <c r="J24" s="28">
        <f>IF(H24=0,"",(E24-H24)/ABS(H24))</f>
        <v>-0.15922014500701331</v>
      </c>
      <c r="K24" s="59">
        <f>+K20-K22</f>
        <v>1643422.5841176468</v>
      </c>
      <c r="L24" s="28">
        <f t="shared" si="5"/>
        <v>0.9174039565036789</v>
      </c>
      <c r="M24" s="59">
        <f>+M20-M22</f>
        <v>1293916.0231290131</v>
      </c>
      <c r="N24" s="28">
        <f>+M24/$M$20</f>
        <v>0.91131926494666848</v>
      </c>
      <c r="O24" s="28">
        <f>IF(K24=0,"",(M24-K24)/ABS(K24)+1)</f>
        <v>0.78733007300353997</v>
      </c>
      <c r="P24" s="59">
        <f>+P20-P22</f>
        <v>1360376.6738631199</v>
      </c>
      <c r="Q24" s="28">
        <f t="shared" si="8"/>
        <v>0.95173350624423192</v>
      </c>
      <c r="R24" s="28">
        <f>IF(P24=0,"",(M24-P24)/ABS(P24))</f>
        <v>-4.8854594474466856E-2</v>
      </c>
      <c r="W24" s="47">
        <f>+'COLOMBIA USD'!W30+'EL SALVADOR USD'!V30+'VENEZUELA USD'!W24+'PANAMA USD'!U30</f>
        <v>17303.095227475962</v>
      </c>
      <c r="X24" s="47">
        <f>+'COLOMBIA USD'!Y30+'EL SALVADOR USD'!X30+'VENEZUELA USD'!X24+'PANAMA USD'!W30</f>
        <v>272303.29202798434</v>
      </c>
      <c r="Y24" s="47">
        <f>+'COLOMBIA USD'!X30+'EL SALVADOR USD'!W30+'VENEZUELA USD'!Y24+'PANAMA USD'!V30</f>
        <v>29776.61931795457</v>
      </c>
      <c r="Z24" s="47">
        <f>+'COLOMBIA USD'!Z30+'EL SALVADOR USD'!Y30+'VENEZUELA USD'!Z24+'PANAMA USD'!X30</f>
        <v>20387.14239731602</v>
      </c>
      <c r="AA24" s="47">
        <f>+'COLOMBIA USD'!AD30+'EL SALVADOR USD'!AC30+'VENEZUELA USD'!AA24+'PANAMA USD'!AB30</f>
        <v>272304.10952645884</v>
      </c>
      <c r="AB24" s="47">
        <f>+'COLOMBIA USD'!AA30+'EL SALVADOR USD'!Z30+'VENEZUELA USD'!AB24+'PANAMA USD'!Y30</f>
        <v>32860.447133920774</v>
      </c>
      <c r="AC24" s="47">
        <f>+'COLOMBIA USD'!AB30+'EL SALVADOR USD'!AA30+'VENEZUELA USD'!AC24+'PANAMA USD'!Z30</f>
        <v>12473.304736604756</v>
      </c>
      <c r="AE24" s="47"/>
      <c r="AF24" s="47"/>
      <c r="AK24" s="47" t="e">
        <f>+'COLOMBIA USD'!#REF!+'EL SALVADOR USD'!Z31+'VENEZUELA USD'!AB25+'PANAMA USD'!#REF!</f>
        <v>#REF!</v>
      </c>
    </row>
    <row r="25" spans="2:37" x14ac:dyDescent="0.2">
      <c r="B25" s="3"/>
      <c r="C25" s="59"/>
      <c r="D25" s="28"/>
      <c r="E25" s="59"/>
      <c r="F25" s="28"/>
      <c r="G25" s="28"/>
      <c r="H25" s="59"/>
      <c r="I25" s="28"/>
      <c r="J25" s="28"/>
      <c r="K25" s="59"/>
      <c r="L25" s="28"/>
      <c r="M25" s="59"/>
      <c r="N25" s="28"/>
      <c r="O25" s="28"/>
      <c r="P25" s="59"/>
      <c r="Q25" s="28"/>
      <c r="R25" s="28"/>
      <c r="AB25" s="47"/>
      <c r="AE25" s="47"/>
      <c r="AF25" s="47"/>
      <c r="AK25" s="47" t="e">
        <f>+'COLOMBIA USD'!#REF!+'EL SALVADOR USD'!AA32+'VENEZUELA USD'!AB26+'PANAMA USD'!#REF!</f>
        <v>#REF!</v>
      </c>
    </row>
    <row r="26" spans="2:37" x14ac:dyDescent="0.2">
      <c r="B26" s="3" t="s">
        <v>30</v>
      </c>
      <c r="C26" s="59">
        <f>+'COLOMBIA USD'!C26+'EL SALVADOR USD'!C26+'VENEZUELA USD'!C26+'PANAMA USD'!C26</f>
        <v>60180.87</v>
      </c>
      <c r="D26" s="28">
        <f t="shared" si="13"/>
        <v>0.23072150046288756</v>
      </c>
      <c r="E26" s="59">
        <f>+'COLOMBIA USD'!E26+'EL SALVADOR USD'!E26+'VENEZUELA USD'!E26+'PANAMA USD'!E26</f>
        <v>41689.67480504862</v>
      </c>
      <c r="F26" s="28">
        <f>+E26/$E$20</f>
        <v>0.19391585167016231</v>
      </c>
      <c r="G26" s="28">
        <f>IF(C26=0,"",(E26-C26)/ABS(C26)+1)</f>
        <v>0.6927396497433258</v>
      </c>
      <c r="H26" s="59">
        <f>+'COLOMBIA USD'!H26+'EL SALVADOR USD'!H26+'VENEZUELA USD'!H26+'PANAMA USD'!H26</f>
        <v>44356.029649110431</v>
      </c>
      <c r="I26" s="28">
        <f t="shared" si="16"/>
        <v>0.18492588932534193</v>
      </c>
      <c r="J26" s="28">
        <f>IF(H26=0,"",(E26-H26)/ABS(H26))</f>
        <v>-6.0112567900118284E-2</v>
      </c>
      <c r="K26" s="59">
        <f>+'COLOMBIA USD'!K26+'EL SALVADOR USD'!K26+'VENEZUELA USD'!K26+'PANAMA USD'!K26</f>
        <v>405004.61941176472</v>
      </c>
      <c r="L26" s="28">
        <f t="shared" si="5"/>
        <v>0.22608478418233877</v>
      </c>
      <c r="M26" s="59">
        <f>+'COLOMBIA USD'!M26+'EL SALVADOR USD'!M26+'VENEZUELA USD'!M26+'PANAMA USD'!M26</f>
        <v>313288.77044226322</v>
      </c>
      <c r="N26" s="28">
        <f>+M26/$M$20</f>
        <v>0.22065272157698737</v>
      </c>
      <c r="O26" s="28">
        <f>IF(K26=0,"",(M26-K26)/ABS(K26)+1)</f>
        <v>0.77354369660595212</v>
      </c>
      <c r="P26" s="59">
        <f>+'COLOMBIA USD'!P26+'EL SALVADOR USD'!P26+'VENEZUELA USD'!P26+'PANAMA USD'!P26</f>
        <v>283546.11064119887</v>
      </c>
      <c r="Q26" s="28">
        <f t="shared" si="8"/>
        <v>0.19837177397060857</v>
      </c>
      <c r="R26" s="28">
        <f>IF(P26=0,"",(M26-P26)/ABS(P26))</f>
        <v>0.10489531926149714</v>
      </c>
      <c r="W26" s="47"/>
      <c r="X26" s="47"/>
      <c r="Y26" s="47"/>
      <c r="Z26" s="47"/>
      <c r="AA26" s="47"/>
      <c r="AB26" s="47"/>
      <c r="AC26" s="47"/>
      <c r="AF26" s="47"/>
      <c r="AK26" s="47" t="e">
        <f>+'COLOMBIA USD'!#REF!+'EL SALVADOR USD'!AB33+'VENEZUELA USD'!AB27+'PANAMA USD'!#REF!</f>
        <v>#REF!</v>
      </c>
    </row>
    <row r="27" spans="2:37" x14ac:dyDescent="0.2">
      <c r="B27" s="3" t="s">
        <v>31</v>
      </c>
      <c r="C27" s="59">
        <f>+'COLOMBIA USD'!C27+'EL SALVADOR USD'!C27+'VENEZUELA USD'!C27+'PANAMA USD'!C27</f>
        <v>84516.174117647068</v>
      </c>
      <c r="D27" s="28">
        <f t="shared" si="13"/>
        <v>0.32401822216605031</v>
      </c>
      <c r="E27" s="59">
        <f>+'COLOMBIA USD'!E27+'EL SALVADOR USD'!E27+'VENEZUELA USD'!E27+'PANAMA USD'!E27</f>
        <v>68295.36060011122</v>
      </c>
      <c r="F27" s="28">
        <f>+E27/$E$20</f>
        <v>0.31766985657291863</v>
      </c>
      <c r="G27" s="28">
        <f>IF(C27=0,"",(E27-C27)/ABS(C27)+1)</f>
        <v>0.80807444625976121</v>
      </c>
      <c r="H27" s="59">
        <f>+'COLOMBIA USD'!H27+'EL SALVADOR USD'!H27+'VENEZUELA USD'!H27+'PANAMA USD'!H27</f>
        <v>78412.704668060862</v>
      </c>
      <c r="I27" s="28">
        <f t="shared" si="16"/>
        <v>0.32691246849316136</v>
      </c>
      <c r="J27" s="28">
        <f>IF(H27=0,"",(E27-H27)/ABS(H27))</f>
        <v>-0.12902684725362684</v>
      </c>
      <c r="K27" s="59">
        <f>+'COLOMBIA USD'!K27+'EL SALVADOR USD'!K27+'VENEZUELA USD'!K27+'PANAMA USD'!K27</f>
        <v>590490.43764705874</v>
      </c>
      <c r="L27" s="28">
        <f t="shared" si="5"/>
        <v>0.32962809992406733</v>
      </c>
      <c r="M27" s="59">
        <f>+'COLOMBIA USD'!M27+'EL SALVADOR USD'!M27+'VENEZUELA USD'!M27+'PANAMA USD'!M27</f>
        <v>470955.46645995852</v>
      </c>
      <c r="N27" s="28">
        <f>+M27/$M$20</f>
        <v>0.33169910708657424</v>
      </c>
      <c r="O27" s="28">
        <f>IF(K27=0,"",(M27-K27)/ABS(K27)+1)</f>
        <v>0.7975666267121716</v>
      </c>
      <c r="P27" s="59">
        <f>+'COLOMBIA USD'!P27+'EL SALVADOR USD'!P27+'VENEZUELA USD'!P27+'PANAMA USD'!P27</f>
        <v>541026.34843443939</v>
      </c>
      <c r="Q27" s="28">
        <f t="shared" si="8"/>
        <v>0.37850759532931588</v>
      </c>
      <c r="R27" s="28">
        <f>IF(P27=0,"",(M27-P27)/ABS(P27))</f>
        <v>-0.12951473098721353</v>
      </c>
      <c r="W27" s="47"/>
      <c r="X27" s="47"/>
      <c r="Y27" s="47"/>
      <c r="Z27" s="47"/>
      <c r="AA27" s="47"/>
      <c r="AB27" s="47"/>
      <c r="AC27" s="47"/>
      <c r="AF27" s="47"/>
    </row>
    <row r="28" spans="2:37" x14ac:dyDescent="0.2">
      <c r="B28" s="3" t="s">
        <v>33</v>
      </c>
      <c r="C28" s="59">
        <f>SUM(C26:C27)</f>
        <v>144697.04411764708</v>
      </c>
      <c r="D28" s="28">
        <f t="shared" si="13"/>
        <v>0.55473972262893789</v>
      </c>
      <c r="E28" s="59">
        <f>SUM(E26:E27)</f>
        <v>109985.03540515984</v>
      </c>
      <c r="F28" s="28">
        <f>+E28/$E$20</f>
        <v>0.51158570824308092</v>
      </c>
      <c r="G28" s="28">
        <f>IF(C28=0,"",(E28-C28)/ABS(C28)+1)</f>
        <v>0.76010561290896606</v>
      </c>
      <c r="H28" s="59">
        <f>SUM(H26:H27)</f>
        <v>122768.7343171713</v>
      </c>
      <c r="I28" s="28">
        <f t="shared" si="16"/>
        <v>0.51183835781850329</v>
      </c>
      <c r="J28" s="28">
        <f>IF(H28=0,"",(E28-H28)/ABS(H28))</f>
        <v>-0.10412829441562013</v>
      </c>
      <c r="K28" s="59">
        <f>SUM(K26:K27)</f>
        <v>995495.05705882353</v>
      </c>
      <c r="L28" s="28">
        <f t="shared" si="5"/>
        <v>0.55571288410640618</v>
      </c>
      <c r="M28" s="59">
        <f>SUM(M26:M27)</f>
        <v>784244.2369022218</v>
      </c>
      <c r="N28" s="28">
        <f>+M28/$M$20</f>
        <v>0.55235182866356169</v>
      </c>
      <c r="O28" s="28">
        <f>IF(K28=0,"",(M28-K28)/ABS(K28)+1)</f>
        <v>0.78779320031910616</v>
      </c>
      <c r="P28" s="59">
        <f>SUM(P26:P27)</f>
        <v>824572.45907563833</v>
      </c>
      <c r="Q28" s="28">
        <f t="shared" si="8"/>
        <v>0.57687936929992445</v>
      </c>
      <c r="R28" s="28">
        <f>IF(P28=0,"",(M28-P28)/ABS(P28))</f>
        <v>-4.8908039226322496E-2</v>
      </c>
      <c r="W28" s="47"/>
      <c r="X28" s="47"/>
      <c r="Y28" s="47"/>
      <c r="Z28" s="47"/>
      <c r="AA28" s="47"/>
      <c r="AB28" s="47"/>
      <c r="AC28" s="47"/>
      <c r="AD28" s="47"/>
      <c r="AE28" s="47"/>
    </row>
    <row r="29" spans="2:37" x14ac:dyDescent="0.2">
      <c r="B29" s="3"/>
      <c r="C29" s="59"/>
      <c r="D29" s="28"/>
      <c r="E29" s="59"/>
      <c r="F29" s="28"/>
      <c r="G29" s="28"/>
      <c r="H29" s="59"/>
      <c r="I29" s="28"/>
      <c r="J29" s="28"/>
      <c r="K29" s="59"/>
      <c r="L29" s="28"/>
      <c r="M29" s="59"/>
      <c r="N29" s="28"/>
      <c r="O29" s="28"/>
      <c r="P29" s="59"/>
      <c r="Q29" s="28"/>
      <c r="R29" s="28"/>
      <c r="W29" s="47"/>
      <c r="X29" s="47"/>
      <c r="Y29" s="47"/>
      <c r="Z29" s="47"/>
      <c r="AA29" s="47"/>
      <c r="AB29" s="47"/>
      <c r="AC29" s="47"/>
    </row>
    <row r="30" spans="2:37" x14ac:dyDescent="0.2">
      <c r="B30" s="3" t="s">
        <v>35</v>
      </c>
      <c r="C30" s="59">
        <f>+'COLOMBIA USD'!C30+'EL SALVADOR USD'!C30+'VENEZUELA USD'!C30+'PANAMA USD'!C30</f>
        <v>23953.80823529412</v>
      </c>
      <c r="D30" s="28">
        <f t="shared" si="13"/>
        <v>9.1834142275565842E-2</v>
      </c>
      <c r="E30" s="59">
        <f>+'COLOMBIA USD'!E30+'EL SALVADOR USD'!E30+'VENEZUELA USD'!E30+'PANAMA USD'!E30</f>
        <v>18605.554080506248</v>
      </c>
      <c r="F30" s="28">
        <f>+E30/$E$20</f>
        <v>8.6542096626757922E-2</v>
      </c>
      <c r="G30" s="28">
        <f>IF(C30=0,"",(E30-C30)/ABS(C30)+1)</f>
        <v>0.77672635172441495</v>
      </c>
      <c r="H30" s="59">
        <f>+'COLOMBIA USD'!H30+'EL SALVADOR USD'!H30+'VENEZUELA USD'!H30+'PANAMA USD'!H30</f>
        <v>17615.250420032935</v>
      </c>
      <c r="I30" s="28">
        <f t="shared" si="16"/>
        <v>7.3440203629193027E-2</v>
      </c>
      <c r="J30" s="28">
        <f>IF(H30=0,"",(E30-H30)/ABS(H30))</f>
        <v>5.6218540007077676E-2</v>
      </c>
      <c r="K30" s="59">
        <f>+'COLOMBIA USD'!K30+'EL SALVADOR USD'!K30+'VENEZUELA USD'!K30+'PANAMA USD'!K30</f>
        <v>152783.89294117645</v>
      </c>
      <c r="L30" s="28">
        <f t="shared" si="5"/>
        <v>8.5288196249003176E-2</v>
      </c>
      <c r="M30" s="59">
        <f>+'COLOMBIA USD'!M30+'EL SALVADOR USD'!M30+'VENEZUELA USD'!M30+'PANAMA USD'!M30</f>
        <v>135016.90334722685</v>
      </c>
      <c r="N30" s="28">
        <f>+M30/$M$20</f>
        <v>9.5093887790507564E-2</v>
      </c>
      <c r="O30" s="28">
        <f>IF(K30=0,"",(M30-K30)/ABS(K30)+1)</f>
        <v>0.8837116318224062</v>
      </c>
      <c r="P30" s="59">
        <f>+'COLOMBIA USD'!P30+'EL SALVADOR USD'!P30+'VENEZUELA USD'!P30+'PANAMA USD'!P30</f>
        <v>119250.64227524612</v>
      </c>
      <c r="Q30" s="28">
        <f t="shared" si="8"/>
        <v>8.3428975279472031E-2</v>
      </c>
      <c r="R30" s="28">
        <f>IF(P30=0,"",(M30-P30)/ABS(P30))</f>
        <v>0.13221112080545552</v>
      </c>
      <c r="W30" s="47"/>
      <c r="X30" s="47"/>
      <c r="Y30" s="47"/>
      <c r="Z30" s="47"/>
      <c r="AA30" s="47"/>
      <c r="AB30" s="47"/>
      <c r="AC30" s="47"/>
    </row>
    <row r="31" spans="2:37" x14ac:dyDescent="0.2">
      <c r="B31" s="3" t="s">
        <v>37</v>
      </c>
      <c r="C31" s="59">
        <f>+'COLOMBIA USD'!C31+'EL SALVADOR USD'!C31+'VENEZUELA USD'!C31+'PANAMA USD'!C31</f>
        <v>0</v>
      </c>
      <c r="D31" s="28">
        <f t="shared" si="13"/>
        <v>0</v>
      </c>
      <c r="E31" s="59">
        <f>+'COLOMBIA USD'!E31+'EL SALVADOR USD'!E31+'VENEZUELA USD'!E31+'PANAMA USD'!E31</f>
        <v>403.80541455160738</v>
      </c>
      <c r="F31" s="28">
        <f>+E31/$E$20</f>
        <v>1.8782653315951329E-3</v>
      </c>
      <c r="G31" s="28" t="str">
        <f>IF(C31=0,"",(E31-C31)/ABS(C31)+1)</f>
        <v/>
      </c>
      <c r="H31" s="59">
        <f>+'COLOMBIA USD'!H31+'EL SALVADOR USD'!H31+'VENEZUELA USD'!H31+'PANAMA USD'!H31</f>
        <v>300.33675740352032</v>
      </c>
      <c r="I31" s="28">
        <f t="shared" si="16"/>
        <v>1.2521418711119771E-3</v>
      </c>
      <c r="J31" s="28">
        <f>IF(H31=0,"",(E31-H31)/ABS(H31))</f>
        <v>0.34450880419232455</v>
      </c>
      <c r="K31" s="59">
        <f>+'COLOMBIA USD'!K31+'EL SALVADOR USD'!K31+'VENEZUELA USD'!K31+'PANAMA USD'!K31</f>
        <v>0</v>
      </c>
      <c r="L31" s="28">
        <f t="shared" si="5"/>
        <v>0</v>
      </c>
      <c r="M31" s="59">
        <f>+'COLOMBIA USD'!M31+'EL SALVADOR USD'!M31+'VENEZUELA USD'!M31+'PANAMA USD'!M31</f>
        <v>6480.9949238578674</v>
      </c>
      <c r="N31" s="28">
        <f>+M31/$M$20</f>
        <v>4.5646358995156703E-3</v>
      </c>
      <c r="O31" s="28" t="str">
        <f>IF(K31=0,"",(M31-K31)/ABS(K31)+1)</f>
        <v/>
      </c>
      <c r="P31" s="59">
        <f>+'COLOMBIA USD'!P31+'EL SALVADOR USD'!P31+'VENEZUELA USD'!P31+'PANAMA USD'!P31</f>
        <v>1288.6971405315921</v>
      </c>
      <c r="Q31" s="28">
        <f t="shared" si="8"/>
        <v>9.0158576783157707E-4</v>
      </c>
      <c r="R31" s="28">
        <f>IF(P31=0,"",(M31-P31)/ABS(P31))</f>
        <v>4.029106312119568</v>
      </c>
      <c r="W31" s="47"/>
      <c r="X31" s="47"/>
      <c r="Y31" s="47"/>
      <c r="Z31" s="47"/>
      <c r="AA31" s="47"/>
      <c r="AB31" s="47"/>
      <c r="AC31" s="47"/>
    </row>
    <row r="32" spans="2:37" x14ac:dyDescent="0.2">
      <c r="B32" s="3" t="s">
        <v>38</v>
      </c>
      <c r="C32" s="59">
        <f>SUM(C30:C31)</f>
        <v>23953.80823529412</v>
      </c>
      <c r="D32" s="28">
        <f t="shared" si="13"/>
        <v>9.1834142275565842E-2</v>
      </c>
      <c r="E32" s="59">
        <f>SUM(E30:E31)</f>
        <v>19009.359495057855</v>
      </c>
      <c r="F32" s="28">
        <f>+E32/$E$20</f>
        <v>8.8420361958353053E-2</v>
      </c>
      <c r="G32" s="28">
        <f>IF(C32=0,"",(E32-C32)/ABS(C32)+1)</f>
        <v>0.79358402256260052</v>
      </c>
      <c r="H32" s="59">
        <f>SUM(H30:H31)</f>
        <v>17915.587177436457</v>
      </c>
      <c r="I32" s="28">
        <f t="shared" si="16"/>
        <v>7.4692345500305013E-2</v>
      </c>
      <c r="J32" s="28">
        <f>IF(H32=0,"",(E32-H32)/ABS(H32))</f>
        <v>6.1051435645879094E-2</v>
      </c>
      <c r="K32" s="59">
        <f>SUM(K30:K31)</f>
        <v>152783.89294117645</v>
      </c>
      <c r="L32" s="28">
        <f t="shared" si="5"/>
        <v>8.5288196249003176E-2</v>
      </c>
      <c r="M32" s="59">
        <f>SUM(M30:M31)</f>
        <v>141497.8982710847</v>
      </c>
      <c r="N32" s="28">
        <f>+M32/$M$20</f>
        <v>9.9658523690023218E-2</v>
      </c>
      <c r="O32" s="28">
        <f>IF(K32=0,"",(M32-K32)/ABS(K32)+1)</f>
        <v>0.92613099160631429</v>
      </c>
      <c r="P32" s="59">
        <f>SUM(P30:P31)</f>
        <v>120539.33941577771</v>
      </c>
      <c r="Q32" s="28">
        <f t="shared" si="8"/>
        <v>8.4330561047303604E-2</v>
      </c>
      <c r="R32" s="28">
        <f>IF(P32=0,"",(M32-P32)/ABS(P32))</f>
        <v>0.17387318494433093</v>
      </c>
      <c r="W32" s="47"/>
      <c r="X32" s="47"/>
      <c r="Y32" s="47"/>
      <c r="Z32" s="47"/>
      <c r="AA32" s="47"/>
      <c r="AB32" s="47"/>
      <c r="AC32" s="47"/>
    </row>
    <row r="33" spans="2:29" x14ac:dyDescent="0.2">
      <c r="B33" s="3"/>
      <c r="C33" s="59"/>
      <c r="D33" s="28"/>
      <c r="E33" s="59"/>
      <c r="F33" s="28"/>
      <c r="G33" s="28"/>
      <c r="H33" s="59"/>
      <c r="I33" s="28"/>
      <c r="J33" s="28"/>
      <c r="K33" s="59"/>
      <c r="L33" s="28"/>
      <c r="M33" s="59"/>
      <c r="N33" s="28"/>
      <c r="O33" s="28"/>
      <c r="P33" s="59"/>
      <c r="Q33" s="28"/>
      <c r="R33" s="28"/>
      <c r="W33" s="47"/>
      <c r="X33" s="47"/>
      <c r="Y33" s="47"/>
      <c r="Z33" s="47"/>
      <c r="AA33" s="47"/>
      <c r="AB33" s="47"/>
      <c r="AC33" s="47"/>
    </row>
    <row r="34" spans="2:29" x14ac:dyDescent="0.2">
      <c r="B34" s="3" t="s">
        <v>39</v>
      </c>
      <c r="C34" s="59">
        <f>C28+C32</f>
        <v>168650.85235294121</v>
      </c>
      <c r="D34" s="28">
        <f t="shared" si="13"/>
        <v>0.64657386490450375</v>
      </c>
      <c r="E34" s="59">
        <f>E28+E32</f>
        <v>128994.3949002177</v>
      </c>
      <c r="F34" s="28">
        <f>+E34/$E$20</f>
        <v>0.60000607020143404</v>
      </c>
      <c r="G34" s="28">
        <f>IF(C34=0,"",(E34-C34)/ABS(C34)+1)</f>
        <v>0.76486061647804104</v>
      </c>
      <c r="H34" s="59">
        <f>H28+H32</f>
        <v>140684.32149460775</v>
      </c>
      <c r="I34" s="28">
        <f t="shared" si="16"/>
        <v>0.5865307033188083</v>
      </c>
      <c r="J34" s="28">
        <f>IF(H34=0,"",(E34-H34)/ABS(H34))</f>
        <v>-8.3093314665046838E-2</v>
      </c>
      <c r="K34" s="59">
        <f>K28+K32</f>
        <v>1148278.95</v>
      </c>
      <c r="L34" s="28">
        <f t="shared" si="5"/>
        <v>0.64100108035540926</v>
      </c>
      <c r="M34" s="59">
        <f>M28+M32</f>
        <v>925742.13517330657</v>
      </c>
      <c r="N34" s="28">
        <f>+M34/$M$20</f>
        <v>0.65201035235358495</v>
      </c>
      <c r="O34" s="28">
        <f>IF(K34=0,"",(M34-K34)/ABS(K34)+1)</f>
        <v>0.80619969143674242</v>
      </c>
      <c r="P34" s="59">
        <f>P28+P32</f>
        <v>945111.79849141603</v>
      </c>
      <c r="Q34" s="28">
        <f t="shared" si="8"/>
        <v>0.66120993034722808</v>
      </c>
      <c r="R34" s="28">
        <f>IF(P34=0,"",(M34-P34)/ABS(P34))</f>
        <v>-2.0494573603913581E-2</v>
      </c>
      <c r="W34" s="47"/>
      <c r="X34" s="47"/>
      <c r="Y34" s="47"/>
      <c r="Z34" s="47"/>
      <c r="AA34" s="47"/>
      <c r="AB34" s="47"/>
      <c r="AC34" s="47"/>
    </row>
    <row r="35" spans="2:29" x14ac:dyDescent="0.2">
      <c r="B35" s="3"/>
      <c r="C35" s="59"/>
      <c r="D35" s="28"/>
      <c r="E35" s="59"/>
      <c r="F35" s="28"/>
      <c r="G35" s="28"/>
      <c r="H35" s="59"/>
      <c r="I35" s="28"/>
      <c r="J35" s="28"/>
      <c r="K35" s="59"/>
      <c r="L35" s="28"/>
      <c r="M35" s="59"/>
      <c r="N35" s="28"/>
      <c r="O35" s="28"/>
      <c r="P35" s="59"/>
      <c r="Q35" s="28"/>
      <c r="R35" s="28"/>
      <c r="W35" s="47"/>
      <c r="X35" s="47"/>
      <c r="Y35" s="47"/>
      <c r="Z35" s="47"/>
      <c r="AA35" s="47"/>
      <c r="AB35" s="47"/>
      <c r="AC35" s="47"/>
    </row>
    <row r="36" spans="2:29" x14ac:dyDescent="0.2">
      <c r="B36" s="17" t="s">
        <v>40</v>
      </c>
      <c r="C36" s="63">
        <f>C24-C34</f>
        <v>67826.951764705853</v>
      </c>
      <c r="D36" s="36">
        <f t="shared" si="13"/>
        <v>0.26003505903083207</v>
      </c>
      <c r="E36" s="63">
        <f>E24-E34</f>
        <v>64034.001829190805</v>
      </c>
      <c r="F36" s="36">
        <f>+E36/$E$20</f>
        <v>0.29784852145338736</v>
      </c>
      <c r="G36" s="36">
        <f>IF(C36=0,"",(E36-C36)/ABS(C36)+1)</f>
        <v>0.9440790152464329</v>
      </c>
      <c r="H36" s="63">
        <f>H24-H34</f>
        <v>88898.244718302565</v>
      </c>
      <c r="I36" s="36">
        <f t="shared" si="16"/>
        <v>0.37062800918034111</v>
      </c>
      <c r="J36" s="36">
        <f>IF(H36=0,"",(E36-H36)/ABS(H36))</f>
        <v>-0.27969329392161391</v>
      </c>
      <c r="K36" s="63">
        <f>K24-K34</f>
        <v>495143.63411764684</v>
      </c>
      <c r="L36" s="36">
        <f t="shared" si="5"/>
        <v>0.27640287614826964</v>
      </c>
      <c r="M36" s="63">
        <f>+M24-M34</f>
        <v>368173.88795570657</v>
      </c>
      <c r="N36" s="36">
        <f>+M36/$M$20</f>
        <v>0.25930891259308358</v>
      </c>
      <c r="O36" s="36">
        <f>IF(K36=0,"",(M36-K36)/ABS(K36)+1)</f>
        <v>0.74356987061299451</v>
      </c>
      <c r="P36" s="63">
        <f>P24-P34</f>
        <v>415264.87537170388</v>
      </c>
      <c r="Q36" s="36">
        <f t="shared" si="8"/>
        <v>0.29052357589700384</v>
      </c>
      <c r="R36" s="36">
        <f>IF(P36=0,"",(M36-P36)/ABS(P36))</f>
        <v>-0.11339988091659844</v>
      </c>
      <c r="W36" s="47"/>
      <c r="X36" s="47"/>
      <c r="Y36" s="47"/>
      <c r="Z36" s="47"/>
      <c r="AA36" s="47"/>
      <c r="AB36" s="47"/>
      <c r="AC36" s="47"/>
    </row>
    <row r="37" spans="2:29" x14ac:dyDescent="0.2">
      <c r="B37" s="3"/>
      <c r="C37" s="59"/>
      <c r="D37" s="28"/>
      <c r="E37" s="59"/>
      <c r="F37" s="28"/>
      <c r="G37" s="28"/>
      <c r="H37" s="59"/>
      <c r="I37" s="28"/>
      <c r="J37" s="28"/>
      <c r="K37" s="59"/>
      <c r="L37" s="28"/>
      <c r="M37" s="59"/>
      <c r="N37" s="28"/>
      <c r="O37" s="28"/>
      <c r="P37" s="59"/>
      <c r="Q37" s="28"/>
      <c r="R37" s="28"/>
      <c r="W37" s="47"/>
      <c r="X37" s="47"/>
      <c r="Y37" s="47"/>
      <c r="Z37" s="47"/>
      <c r="AA37" s="47"/>
      <c r="AB37" s="47"/>
      <c r="AC37" s="47"/>
    </row>
    <row r="38" spans="2:29" x14ac:dyDescent="0.2">
      <c r="B38" s="3" t="s">
        <v>41</v>
      </c>
      <c r="C38" s="59">
        <f>+'COLOMBIA USD'!C38+'EL SALVADOR USD'!C38+'VENEZUELA USD'!C38+'PANAMA USD'!C38</f>
        <v>188.99529411764703</v>
      </c>
      <c r="D38" s="28">
        <f t="shared" si="13"/>
        <v>7.2457041314371608E-4</v>
      </c>
      <c r="E38" s="59">
        <f>+'COLOMBIA USD'!E38+'EL SALVADOR USD'!E38+'VENEZUELA USD'!E38+'PANAMA USD'!E38</f>
        <v>724.55614492012182</v>
      </c>
      <c r="F38" s="28">
        <f>+E38/$E$20</f>
        <v>3.3702091124975641E-3</v>
      </c>
      <c r="G38" s="28">
        <f>IF(C38=0,"",(E38-C38)/ABS(C38)+1)</f>
        <v>3.8337258517616597</v>
      </c>
      <c r="H38" s="59">
        <f>+'COLOMBIA USD'!H38+'EL SALVADOR USD'!H38+'VENEZUELA USD'!H38+'PANAMA USD'!H38</f>
        <v>1795.566051687229</v>
      </c>
      <c r="I38" s="28">
        <f t="shared" si="16"/>
        <v>7.4859416313270716E-3</v>
      </c>
      <c r="J38" s="28">
        <f>IF(H38=0,"",(E38-H38)/ABS(H38))</f>
        <v>-0.59647480289612154</v>
      </c>
      <c r="K38" s="59">
        <f>+'COLOMBIA USD'!K38+'EL SALVADOR USD'!K38+'VENEZUELA USD'!K38+'PANAMA USD'!K38</f>
        <v>1322.9670588235294</v>
      </c>
      <c r="L38" s="28">
        <f t="shared" si="5"/>
        <v>7.3851681595356311E-4</v>
      </c>
      <c r="M38" s="59">
        <f>+'COLOMBIA USD'!M38+'EL SALVADOR USD'!M38+'VENEZUELA USD'!M38+'PANAMA USD'!M38</f>
        <v>3360.5618910308581</v>
      </c>
      <c r="N38" s="28">
        <f>+M38/$M$20</f>
        <v>2.366880645728482E-3</v>
      </c>
      <c r="O38" s="28">
        <f>IF(K38=0,"",(M38-K38)/ABS(K38)+1)</f>
        <v>2.5401704967766121</v>
      </c>
      <c r="P38" s="59">
        <f>+'COLOMBIA USD'!P38+'EL SALVADOR USD'!P38+'VENEZUELA USD'!P38+'PANAMA USD'!P38</f>
        <v>50268.988829022615</v>
      </c>
      <c r="Q38" s="28">
        <f t="shared" si="8"/>
        <v>3.5168701369847004E-2</v>
      </c>
      <c r="R38" s="28">
        <f>IF(P38=0,"",(M38-P38)/ABS(P38))</f>
        <v>-0.9331484088040648</v>
      </c>
      <c r="W38" s="47"/>
      <c r="X38" s="47"/>
      <c r="Y38" s="47"/>
      <c r="Z38" s="47"/>
      <c r="AA38" s="47"/>
      <c r="AB38" s="47"/>
      <c r="AC38" s="47"/>
    </row>
    <row r="39" spans="2:29" x14ac:dyDescent="0.2">
      <c r="B39" s="3" t="s">
        <v>42</v>
      </c>
      <c r="C39" s="59">
        <f>+'COLOMBIA USD'!C39+'EL SALVADOR USD'!C39+'VENEZUELA USD'!C39+'PANAMA USD'!C39</f>
        <v>4343.902352941177</v>
      </c>
      <c r="D39" s="28">
        <f t="shared" si="13"/>
        <v>1.665365869145554E-2</v>
      </c>
      <c r="E39" s="59">
        <f>+'COLOMBIA USD'!E39+'EL SALVADOR USD'!E39+'VENEZUELA USD'!E39+'PANAMA USD'!E39</f>
        <v>4837.526316019821</v>
      </c>
      <c r="F39" s="28">
        <f>+E39/$E$20</f>
        <v>2.2501327725257422E-2</v>
      </c>
      <c r="G39" s="28">
        <f>IF(C39=0,"",(E39-C39)/ABS(C39)+1)</f>
        <v>1.1136360633761531</v>
      </c>
      <c r="H39" s="59">
        <f>+'COLOMBIA USD'!H39+'EL SALVADOR USD'!H39+'VENEZUELA USD'!H39+'PANAMA USD'!H39</f>
        <v>7941.36699066642</v>
      </c>
      <c r="I39" s="28">
        <f t="shared" si="16"/>
        <v>3.3108561898469072E-2</v>
      </c>
      <c r="J39" s="28">
        <f>IF(H39=0,"",(E39-H39)/ABS(H39))</f>
        <v>-0.39084463396472907</v>
      </c>
      <c r="K39" s="59">
        <f>+'COLOMBIA USD'!K39+'EL SALVADOR USD'!K39+'VENEZUELA USD'!K39+'PANAMA USD'!K39</f>
        <v>31747.316470588234</v>
      </c>
      <c r="L39" s="28">
        <f t="shared" si="5"/>
        <v>1.7722230435411306E-2</v>
      </c>
      <c r="M39" s="59">
        <f>+'COLOMBIA USD'!M39+'EL SALVADOR USD'!M39+'VENEZUELA USD'!M39+'PANAMA USD'!M39</f>
        <v>30531.763432701126</v>
      </c>
      <c r="N39" s="28">
        <f>+M39/$M$20</f>
        <v>2.1503856287156033E-2</v>
      </c>
      <c r="O39" s="28">
        <f>IF(K39=0,"",(M39-K39)/ABS(K39)+1)</f>
        <v>0.96171162879189376</v>
      </c>
      <c r="P39" s="59">
        <f>+'COLOMBIA USD'!P39+'EL SALVADOR USD'!P39+'VENEZUELA USD'!P39+'PANAMA USD'!P39</f>
        <v>53651.103659897875</v>
      </c>
      <c r="Q39" s="28">
        <f t="shared" si="8"/>
        <v>3.7534863675003825E-2</v>
      </c>
      <c r="R39" s="28">
        <f>IF(P39=0,"",(M39-P39)/ABS(P39))</f>
        <v>-0.43092012372669164</v>
      </c>
      <c r="W39" s="47"/>
      <c r="X39" s="47"/>
      <c r="Y39" s="47"/>
      <c r="Z39" s="47"/>
      <c r="AA39" s="47"/>
      <c r="AB39" s="47"/>
      <c r="AC39" s="47"/>
    </row>
    <row r="40" spans="2:29" x14ac:dyDescent="0.2">
      <c r="B40" s="3"/>
      <c r="C40" s="59"/>
      <c r="D40" s="28"/>
      <c r="E40" s="59"/>
      <c r="F40" s="28"/>
      <c r="G40" s="28"/>
      <c r="H40" s="59"/>
      <c r="I40" s="28"/>
      <c r="J40" s="28"/>
      <c r="K40" s="59"/>
      <c r="L40" s="28"/>
      <c r="M40" s="59"/>
      <c r="N40" s="28"/>
      <c r="O40" s="28"/>
      <c r="P40" s="59"/>
      <c r="Q40" s="28"/>
      <c r="R40" s="28"/>
    </row>
    <row r="41" spans="2:29" x14ac:dyDescent="0.2">
      <c r="B41" s="3" t="s">
        <v>43</v>
      </c>
      <c r="C41" s="59">
        <f>C36+C38-C39</f>
        <v>63672.044705882319</v>
      </c>
      <c r="D41" s="28">
        <f t="shared" si="13"/>
        <v>0.24410597075252025</v>
      </c>
      <c r="E41" s="59">
        <f>E36+E38-E39</f>
        <v>59921.031658091102</v>
      </c>
      <c r="F41" s="28">
        <f>+E41/$E$20</f>
        <v>0.27871740284062752</v>
      </c>
      <c r="G41" s="28">
        <f>IF(C41=0,"",(E41-C41)/ABS(C41)+1)</f>
        <v>0.94108854105254325</v>
      </c>
      <c r="H41" s="59">
        <f>H36+H38-H39</f>
        <v>82752.443779323381</v>
      </c>
      <c r="I41" s="28">
        <f t="shared" si="16"/>
        <v>0.34500538891319915</v>
      </c>
      <c r="J41" s="28">
        <f>IF(H41=0,"",(E41-H41)/ABS(H41))</f>
        <v>-0.2759001556753658</v>
      </c>
      <c r="K41" s="59">
        <f>K36+K38-K39</f>
        <v>464719.28470588214</v>
      </c>
      <c r="L41" s="28">
        <f t="shared" si="5"/>
        <v>0.25941916252881192</v>
      </c>
      <c r="M41" s="59">
        <f>+'COLOMBIA USD'!M41+'EL SALVADOR USD'!M41+'VENEZUELA USD'!M41+'PANAMA USD'!M41</f>
        <v>65080.944723921799</v>
      </c>
      <c r="N41" s="28">
        <f>+M41/$M$20</f>
        <v>4.5837224091571184E-2</v>
      </c>
      <c r="O41" s="28">
        <f>IF(K41=0,"",(M41-K41)/ABS(K41)+1)</f>
        <v>0.14004356364318105</v>
      </c>
      <c r="P41" s="59">
        <f>+'COLOMBIA USD'!P41+'EL SALVADOR USD'!P41+'VENEZUELA USD'!P41+'PANAMA USD'!P41</f>
        <v>-19449.962100514436</v>
      </c>
      <c r="Q41" s="28">
        <f t="shared" si="8"/>
        <v>-1.3607393438813559E-2</v>
      </c>
      <c r="R41" s="28">
        <f>IF(P41=0,"",(M41-P41)/ABS(P41))</f>
        <v>4.3460705161065825</v>
      </c>
    </row>
    <row r="42" spans="2:29" x14ac:dyDescent="0.2">
      <c r="B42" s="3" t="s">
        <v>29</v>
      </c>
      <c r="C42" s="59">
        <f>+'COLOMBIA USD'!C42+'EL SALVADOR USD'!C42+'VENEZUELA USD'!C42+'PANAMA USD'!C42</f>
        <v>9517.7452941176471</v>
      </c>
      <c r="D42" s="28">
        <f t="shared" si="13"/>
        <v>3.6489144727924513E-2</v>
      </c>
      <c r="E42" s="59">
        <f>+'COLOMBIA USD'!E42+'EL SALVADOR USD'!E42+'VENEZUELA USD'!E42+'PANAMA USD'!E42</f>
        <v>11210.165816570938</v>
      </c>
      <c r="F42" s="28">
        <f>+E42/$E$20</f>
        <v>5.2143099264973E-2</v>
      </c>
      <c r="G42" s="28">
        <f>IF(C42=0,"",(E42-C42)/ABS(C42)+1)</f>
        <v>1.1778173790277069</v>
      </c>
      <c r="H42" s="59">
        <f>+'COLOMBIA USD'!H42+'EL SALVADOR USD'!H42+'VENEZUELA USD'!H42+'PANAMA USD'!H42</f>
        <v>19153.741325997707</v>
      </c>
      <c r="I42" s="28">
        <f t="shared" si="16"/>
        <v>7.9854366512010749E-2</v>
      </c>
      <c r="J42" s="28">
        <f>IF(H42=0,"",(E42-H42)/ABS(H42))</f>
        <v>-0.41472709556982562</v>
      </c>
      <c r="K42" s="59">
        <f>+'COLOMBIA USD'!K42+'EL SALVADOR USD'!K42+'VENEZUELA USD'!K42+'PANAMA USD'!K42</f>
        <v>67368.02</v>
      </c>
      <c r="L42" s="28">
        <f t="shared" si="5"/>
        <v>3.7606692695537812E-2</v>
      </c>
      <c r="M42" s="59">
        <f>+'COLOMBIA USD'!M42+'EL SALVADOR USD'!M42+'VENEZUELA USD'!M42+'PANAMA USD'!M42</f>
        <v>54891.63292421458</v>
      </c>
      <c r="N42" s="28">
        <f>+M42/$M$20</f>
        <v>3.8660779891455006E-2</v>
      </c>
      <c r="O42" s="28">
        <f>IF(K42=0,"",(M42-K42)/ABS(K42)+1)</f>
        <v>0.81480252684010268</v>
      </c>
      <c r="P42" s="59">
        <f>+'COLOMBIA USD'!P42+'EL SALVADOR USD'!P42+'VENEZUELA USD'!P42+'PANAMA USD'!P42</f>
        <v>61149.118594632469</v>
      </c>
      <c r="Q42" s="28">
        <f t="shared" si="8"/>
        <v>4.27805520058996E-2</v>
      </c>
      <c r="R42" s="28">
        <f>IF(P42=0,"",(M42-P42)/ABS(P42))</f>
        <v>-0.10233157589563617</v>
      </c>
    </row>
    <row r="43" spans="2:29" x14ac:dyDescent="0.2">
      <c r="B43" s="17" t="s">
        <v>44</v>
      </c>
      <c r="C43" s="63">
        <f>+C41-C42</f>
        <v>54154.299411764674</v>
      </c>
      <c r="D43" s="36">
        <f t="shared" si="13"/>
        <v>0.20761682602459575</v>
      </c>
      <c r="E43" s="63">
        <f>E41-E42</f>
        <v>48710.865841520164</v>
      </c>
      <c r="F43" s="36">
        <f>+E43/$E$20</f>
        <v>0.2265743035756545</v>
      </c>
      <c r="G43" s="36">
        <f>IF(C43=0,"",(E43-C43)/ABS(C43)+1)</f>
        <v>0.8994828918595158</v>
      </c>
      <c r="H43" s="63">
        <f>+H41-H42</f>
        <v>63598.702453325677</v>
      </c>
      <c r="I43" s="36">
        <f t="shared" si="16"/>
        <v>0.26515102240118837</v>
      </c>
      <c r="J43" s="36">
        <f>IF(H43=0,"",(E43-H43)/ABS(H43))</f>
        <v>-0.23409025715157503</v>
      </c>
      <c r="K43" s="63">
        <f>+K41-K42</f>
        <v>397351.26470588212</v>
      </c>
      <c r="L43" s="36">
        <f t="shared" si="5"/>
        <v>0.2218124698332741</v>
      </c>
      <c r="M43" s="63">
        <f>+M41-M42</f>
        <v>10189.311799707219</v>
      </c>
      <c r="N43" s="36">
        <f>+M43/$M$20</f>
        <v>7.1764442001161794E-3</v>
      </c>
      <c r="O43" s="36">
        <f>IF(K43=0,"",(M43-K43)/ABS(K43)+1)</f>
        <v>2.5643083852392778E-2</v>
      </c>
      <c r="P43" s="63">
        <f>P41-P42</f>
        <v>-80599.080695146899</v>
      </c>
      <c r="Q43" s="36">
        <f t="shared" si="8"/>
        <v>-5.638794544471315E-2</v>
      </c>
      <c r="R43" s="36">
        <f>IF(P43=0,"",(M43-P43)/ABS(P43))</f>
        <v>1.1264197024559952</v>
      </c>
    </row>
    <row r="44" spans="2:29" x14ac:dyDescent="0.2">
      <c r="B44" s="3"/>
      <c r="C44" s="59"/>
      <c r="D44" s="28"/>
      <c r="E44" s="59"/>
      <c r="F44" s="28"/>
      <c r="G44" s="28"/>
      <c r="H44" s="59"/>
      <c r="I44" s="28"/>
      <c r="J44" s="28"/>
      <c r="K44" s="59"/>
      <c r="L44" s="28"/>
      <c r="M44" s="59"/>
      <c r="N44" s="28"/>
      <c r="O44" s="28"/>
      <c r="P44" s="59"/>
      <c r="Q44" s="28"/>
      <c r="R44" s="28"/>
    </row>
    <row r="45" spans="2:29" x14ac:dyDescent="0.2">
      <c r="B45" s="3" t="s">
        <v>72</v>
      </c>
      <c r="C45" s="59">
        <f>+'COLOMBIA USD'!C45+'EL SALVADOR USD'!C45+'VENEZUELA USD'!C45+'PANAMA USD'!C45</f>
        <v>42295.731764705888</v>
      </c>
      <c r="D45" s="28">
        <f t="shared" si="13"/>
        <v>0.16215343340714011</v>
      </c>
      <c r="E45" s="59">
        <f>+'COLOMBIA USD'!E45+'EL SALVADOR USD'!E45+'VENEZUELA USD'!E45+'PANAMA USD'!E45</f>
        <v>47880.464979719924</v>
      </c>
      <c r="F45" s="28">
        <f>+E45/$E$20</f>
        <v>0.22271176708198701</v>
      </c>
      <c r="G45" s="28">
        <f>IF(C45=0,"",(E45-C45)/ABS(C45)+1)</f>
        <v>1.1320401133164522</v>
      </c>
      <c r="H45" s="59">
        <f>+'COLOMBIA USD'!H45+'EL SALVADOR USD'!H45+'VENEZUELA USD'!H45+'PANAMA USD'!H45</f>
        <v>28817.940090997952</v>
      </c>
      <c r="I45" s="28">
        <f t="shared" si="16"/>
        <v>0.12014563165391651</v>
      </c>
      <c r="J45" s="28">
        <f>IF(H45=0,"",(E45-H45)/ABS(H45))</f>
        <v>0.66148117556385155</v>
      </c>
      <c r="K45" s="59">
        <f>+'COLOMBIA USD'!K45+'EL SALVADOR USD'!K45+'VENEZUELA USD'!K45+'PANAMA USD'!K45</f>
        <v>307140.38823529409</v>
      </c>
      <c r="L45" s="28">
        <f t="shared" si="5"/>
        <v>0.17145426264202035</v>
      </c>
      <c r="M45" s="59">
        <f>+'COLOMBIA USD'!M45+'EL SALVADOR USD'!M45+'VENEZUELA USD'!M45+'PANAMA USD'!M45</f>
        <v>249495.88311356911</v>
      </c>
      <c r="N45" s="28">
        <f>+M45/$M$20</f>
        <v>0.17572269045439218</v>
      </c>
      <c r="O45" s="28">
        <f>IF(K45=0,"",(M45-K45)/ABS(K45)+1)</f>
        <v>0.81231870724352717</v>
      </c>
      <c r="P45" s="59">
        <f>+'COLOMBIA USD'!P45+'EL SALVADOR USD'!P45+'VENEZUELA USD'!P45+'PANAMA USD'!P45</f>
        <v>250475.2212133916</v>
      </c>
      <c r="Q45" s="28">
        <f t="shared" si="8"/>
        <v>0.1752350397451074</v>
      </c>
      <c r="R45" s="28">
        <f>IF(P45=0,"",(M45-P45)/ABS(P45))</f>
        <v>-3.9099200914095422E-3</v>
      </c>
    </row>
    <row r="46" spans="2:29" x14ac:dyDescent="0.2">
      <c r="B46" s="3" t="s">
        <v>20</v>
      </c>
      <c r="C46" s="59">
        <f>+'COLOMBIA USD'!C46+'EL SALVADOR USD'!C46+'VENEZUELA USD'!C46+'PANAMA USD'!C46</f>
        <v>118461.59588235294</v>
      </c>
      <c r="D46" s="28">
        <f t="shared" si="13"/>
        <v>0.4541582258482586</v>
      </c>
      <c r="E46" s="59">
        <f>+'COLOMBIA USD'!E46+'EL SALVADOR USD'!E46+'VENEZUELA USD'!E46+'PANAMA USD'!E46</f>
        <v>89660.305531966776</v>
      </c>
      <c r="F46" s="28">
        <f>+E46/$E$20</f>
        <v>0.41704701678634326</v>
      </c>
      <c r="G46" s="28">
        <f>IF(C46=0,"",(E46-C46)/ABS(C46)+1)</f>
        <v>0.75687234216404264</v>
      </c>
      <c r="H46" s="59">
        <f>+'COLOMBIA USD'!H46+'EL SALVADOR USD'!H46+'VENEZUELA USD'!H46+'PANAMA USD'!H46</f>
        <v>91225.414070380852</v>
      </c>
      <c r="I46" s="28">
        <f t="shared" si="16"/>
        <v>0.38033027210712195</v>
      </c>
      <c r="J46" s="28">
        <f>IF(H46=0,"",(E46-H46)/ABS(H46))</f>
        <v>-1.715649695167825E-2</v>
      </c>
      <c r="K46" s="59">
        <f>+'COLOMBIA USD'!K46+'EL SALVADOR USD'!K46+'VENEZUELA USD'!K46+'PANAMA USD'!K46</f>
        <v>784140.87705882348</v>
      </c>
      <c r="L46" s="28">
        <f t="shared" si="5"/>
        <v>0.43772913310441164</v>
      </c>
      <c r="M46" s="59">
        <f>+'COLOMBIA USD'!M46+'EL SALVADOR USD'!M46+'VENEZUELA USD'!M46+'PANAMA USD'!M46</f>
        <v>609758.41844550765</v>
      </c>
      <c r="N46" s="28">
        <f>+M46/$M$20</f>
        <v>0.42945955051164647</v>
      </c>
      <c r="O46" s="28">
        <f>IF(K46=0,"",(M46-K46)/ABS(K46)+1)</f>
        <v>0.77761335531008891</v>
      </c>
      <c r="P46" s="59">
        <f>+'COLOMBIA USD'!P46+'EL SALVADOR USD'!P46+'VENEZUELA USD'!P46+'PANAMA USD'!P46</f>
        <v>620073.8857677842</v>
      </c>
      <c r="Q46" s="28">
        <f t="shared" si="8"/>
        <v>0.43381006508763365</v>
      </c>
      <c r="R46" s="28">
        <f>IF(P46=0,"",(M46-P46)/ABS(P46))</f>
        <v>-1.6635868013541319E-2</v>
      </c>
    </row>
  </sheetData>
  <conditionalFormatting sqref="D9:D46 J10:J46 G10:G46">
    <cfRule type="cellIs" dxfId="57" priority="2" operator="lessThan">
      <formula>0</formula>
    </cfRule>
  </conditionalFormatting>
  <conditionalFormatting sqref="R10:R46">
    <cfRule type="cellIs" dxfId="56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D8246-64F5-4AB0-88CC-79C0F748A281}">
  <dimension ref="A6:V595"/>
  <sheetViews>
    <sheetView topLeftCell="A79" workbookViewId="0">
      <selection activeCell="A35" sqref="A35"/>
    </sheetView>
  </sheetViews>
  <sheetFormatPr baseColWidth="10" defaultRowHeight="12" x14ac:dyDescent="0.2"/>
  <cols>
    <col min="1" max="1" width="40.85546875" style="110" customWidth="1"/>
    <col min="2" max="2" width="44.42578125" style="110" customWidth="1"/>
    <col min="3" max="3" width="29.140625" style="110" customWidth="1"/>
    <col min="4" max="4" width="8" style="110" customWidth="1"/>
    <col min="5" max="5" width="22.85546875" style="110" bestFit="1" customWidth="1"/>
    <col min="6" max="6" width="37.42578125" style="110" bestFit="1" customWidth="1"/>
    <col min="7" max="7" width="13.85546875" style="112" bestFit="1" customWidth="1"/>
    <col min="8" max="18" width="30.5703125" style="112" bestFit="1" customWidth="1"/>
    <col min="19" max="19" width="14.140625" style="112" bestFit="1" customWidth="1"/>
    <col min="20" max="22" width="11.42578125" style="112"/>
    <col min="23" max="16384" width="11.42578125" style="110"/>
  </cols>
  <sheetData>
    <row r="6" spans="1:2" x14ac:dyDescent="0.2">
      <c r="A6" s="108" t="s">
        <v>149</v>
      </c>
      <c r="B6" s="109" t="s">
        <v>150</v>
      </c>
    </row>
    <row r="7" spans="1:2" x14ac:dyDescent="0.2">
      <c r="A7" s="108" t="s">
        <v>55</v>
      </c>
      <c r="B7" s="109" t="s">
        <v>151</v>
      </c>
    </row>
    <row r="8" spans="1:2" x14ac:dyDescent="0.2">
      <c r="A8" s="108" t="s">
        <v>57</v>
      </c>
      <c r="B8" s="109" t="s">
        <v>152</v>
      </c>
    </row>
    <row r="9" spans="1:2" x14ac:dyDescent="0.2">
      <c r="A9" s="108" t="s">
        <v>66</v>
      </c>
      <c r="B9" s="109" t="s">
        <v>153</v>
      </c>
    </row>
    <row r="10" spans="1:2" x14ac:dyDescent="0.2">
      <c r="A10" s="108" t="s">
        <v>154</v>
      </c>
      <c r="B10" s="109" t="s">
        <v>155</v>
      </c>
    </row>
    <row r="11" spans="1:2" x14ac:dyDescent="0.2">
      <c r="A11" s="108" t="s">
        <v>156</v>
      </c>
      <c r="B11" s="109" t="s">
        <v>157</v>
      </c>
    </row>
    <row r="12" spans="1:2" x14ac:dyDescent="0.2">
      <c r="A12" s="108" t="s">
        <v>68</v>
      </c>
      <c r="B12" s="109" t="s">
        <v>158</v>
      </c>
    </row>
    <row r="13" spans="1:2" x14ac:dyDescent="0.2">
      <c r="A13" s="108" t="s">
        <v>159</v>
      </c>
      <c r="B13" s="109" t="s">
        <v>160</v>
      </c>
    </row>
    <row r="14" spans="1:2" x14ac:dyDescent="0.2">
      <c r="A14" s="108" t="s">
        <v>62</v>
      </c>
      <c r="B14" s="109" t="s">
        <v>161</v>
      </c>
    </row>
    <row r="15" spans="1:2" x14ac:dyDescent="0.2">
      <c r="A15" s="108" t="s">
        <v>162</v>
      </c>
      <c r="B15" s="109" t="s">
        <v>163</v>
      </c>
    </row>
    <row r="16" spans="1:2" x14ac:dyDescent="0.2">
      <c r="A16" s="108" t="s">
        <v>164</v>
      </c>
      <c r="B16" s="109" t="s">
        <v>165</v>
      </c>
    </row>
    <row r="33" spans="1:19" x14ac:dyDescent="0.2">
      <c r="B33" s="111" t="s">
        <v>166</v>
      </c>
      <c r="D33" s="110" t="s">
        <v>167</v>
      </c>
    </row>
    <row r="34" spans="1:19" x14ac:dyDescent="0.2">
      <c r="A34" s="110" t="s">
        <v>168</v>
      </c>
      <c r="B34" s="111" t="s">
        <v>169</v>
      </c>
    </row>
    <row r="35" spans="1:19" x14ac:dyDescent="0.2">
      <c r="A35" s="110" t="s">
        <v>170</v>
      </c>
      <c r="B35" s="111" t="s">
        <v>171</v>
      </c>
    </row>
    <row r="36" spans="1:19" x14ac:dyDescent="0.2">
      <c r="A36" s="110" t="s">
        <v>172</v>
      </c>
      <c r="B36" s="111" t="s">
        <v>173</v>
      </c>
    </row>
    <row r="37" spans="1:19" x14ac:dyDescent="0.2">
      <c r="A37" s="110" t="s">
        <v>174</v>
      </c>
      <c r="B37" s="111" t="s">
        <v>175</v>
      </c>
    </row>
    <row r="38" spans="1:19" x14ac:dyDescent="0.2">
      <c r="B38" s="111"/>
    </row>
    <row r="39" spans="1:19" x14ac:dyDescent="0.2">
      <c r="B39" s="111"/>
    </row>
    <row r="40" spans="1:19" x14ac:dyDescent="0.2">
      <c r="B40" s="111"/>
    </row>
    <row r="41" spans="1:19" x14ac:dyDescent="0.2">
      <c r="B41" s="111" t="s">
        <v>176</v>
      </c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</row>
    <row r="42" spans="1:19" x14ac:dyDescent="0.2">
      <c r="A42" s="113"/>
      <c r="B42" s="110" t="s">
        <v>177</v>
      </c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</row>
    <row r="43" spans="1:19" x14ac:dyDescent="0.2">
      <c r="A43" s="113" t="s">
        <v>178</v>
      </c>
      <c r="B43" s="109" t="s">
        <v>179</v>
      </c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</row>
    <row r="44" spans="1:19" x14ac:dyDescent="0.2">
      <c r="A44" s="110" t="s">
        <v>180</v>
      </c>
      <c r="B44" s="109" t="s">
        <v>181</v>
      </c>
      <c r="G44" s="110"/>
    </row>
    <row r="45" spans="1:19" x14ac:dyDescent="0.2">
      <c r="A45" s="113" t="s">
        <v>182</v>
      </c>
      <c r="B45" s="109" t="s">
        <v>183</v>
      </c>
      <c r="G45" s="110"/>
    </row>
    <row r="46" spans="1:19" x14ac:dyDescent="0.2">
      <c r="A46" s="108">
        <v>5295400000</v>
      </c>
      <c r="B46" s="109" t="s">
        <v>184</v>
      </c>
      <c r="G46" s="110"/>
    </row>
    <row r="47" spans="1:19" x14ac:dyDescent="0.2">
      <c r="A47" s="108">
        <v>5235500000</v>
      </c>
      <c r="B47" s="109" t="s">
        <v>185</v>
      </c>
    </row>
    <row r="48" spans="1:19" x14ac:dyDescent="0.2">
      <c r="A48" s="113" t="s">
        <v>186</v>
      </c>
      <c r="B48" s="109" t="s">
        <v>187</v>
      </c>
    </row>
    <row r="49" spans="1:5" x14ac:dyDescent="0.2">
      <c r="A49" s="113" t="s">
        <v>188</v>
      </c>
      <c r="B49" s="109" t="s">
        <v>189</v>
      </c>
    </row>
    <row r="50" spans="1:5" x14ac:dyDescent="0.2">
      <c r="A50" s="113" t="s">
        <v>190</v>
      </c>
      <c r="B50" s="109" t="s">
        <v>191</v>
      </c>
    </row>
    <row r="51" spans="1:5" x14ac:dyDescent="0.2">
      <c r="A51" s="114">
        <v>5295950300</v>
      </c>
      <c r="B51" s="109" t="s">
        <v>192</v>
      </c>
    </row>
    <row r="52" spans="1:5" x14ac:dyDescent="0.2">
      <c r="A52" s="113" t="s">
        <v>193</v>
      </c>
      <c r="B52" s="109" t="s">
        <v>194</v>
      </c>
    </row>
    <row r="53" spans="1:5" x14ac:dyDescent="0.2">
      <c r="A53" s="108">
        <v>5240200100</v>
      </c>
      <c r="B53" s="109" t="s">
        <v>195</v>
      </c>
    </row>
    <row r="54" spans="1:5" x14ac:dyDescent="0.2">
      <c r="A54" s="108">
        <v>5235150000</v>
      </c>
      <c r="B54" s="109" t="s">
        <v>196</v>
      </c>
    </row>
    <row r="55" spans="1:5" x14ac:dyDescent="0.2">
      <c r="A55" s="108">
        <v>5235100000</v>
      </c>
      <c r="B55" s="109" t="s">
        <v>197</v>
      </c>
    </row>
    <row r="56" spans="1:5" x14ac:dyDescent="0.2">
      <c r="A56" s="113" t="s">
        <v>198</v>
      </c>
      <c r="B56" s="109" t="s">
        <v>199</v>
      </c>
    </row>
    <row r="57" spans="1:5" x14ac:dyDescent="0.2">
      <c r="A57" s="108">
        <v>5299100000</v>
      </c>
      <c r="B57" s="109" t="s">
        <v>200</v>
      </c>
    </row>
    <row r="58" spans="1:5" x14ac:dyDescent="0.2">
      <c r="A58" s="114" t="s">
        <v>201</v>
      </c>
      <c r="B58" s="115" t="s">
        <v>202</v>
      </c>
    </row>
    <row r="59" spans="1:5" x14ac:dyDescent="0.2">
      <c r="A59" s="113"/>
      <c r="B59" s="115" t="s">
        <v>203</v>
      </c>
      <c r="C59" s="110">
        <f>+Paramet!B4</f>
        <v>202207</v>
      </c>
    </row>
    <row r="60" spans="1:5" x14ac:dyDescent="0.2">
      <c r="A60" s="113" t="s">
        <v>204</v>
      </c>
      <c r="B60" s="109" t="s">
        <v>205</v>
      </c>
      <c r="C60" s="116"/>
      <c r="D60" s="116"/>
      <c r="E60" s="117"/>
    </row>
    <row r="61" spans="1:5" x14ac:dyDescent="0.2">
      <c r="A61" s="110" t="s">
        <v>206</v>
      </c>
      <c r="B61" s="109" t="s">
        <v>207</v>
      </c>
      <c r="C61" s="116"/>
      <c r="D61" s="116"/>
      <c r="E61" s="117"/>
    </row>
    <row r="62" spans="1:5" x14ac:dyDescent="0.2">
      <c r="A62" s="113" t="s">
        <v>208</v>
      </c>
      <c r="B62" s="109" t="s">
        <v>209</v>
      </c>
      <c r="C62" s="116"/>
      <c r="D62" s="116"/>
      <c r="E62" s="117"/>
    </row>
    <row r="63" spans="1:5" x14ac:dyDescent="0.2">
      <c r="A63" s="113" t="s">
        <v>210</v>
      </c>
      <c r="B63" s="109" t="s">
        <v>211</v>
      </c>
      <c r="C63" s="116"/>
      <c r="D63" s="116"/>
      <c r="E63" s="117"/>
    </row>
    <row r="64" spans="1:5" x14ac:dyDescent="0.2">
      <c r="A64" s="113" t="s">
        <v>212</v>
      </c>
      <c r="B64" s="109" t="s">
        <v>213</v>
      </c>
      <c r="C64" s="116"/>
      <c r="D64" s="116"/>
      <c r="E64" s="117"/>
    </row>
    <row r="65" spans="1:5" x14ac:dyDescent="0.2">
      <c r="A65" s="113" t="s">
        <v>214</v>
      </c>
      <c r="B65" s="109" t="s">
        <v>215</v>
      </c>
      <c r="C65" s="116"/>
      <c r="D65" s="116"/>
      <c r="E65" s="117"/>
    </row>
    <row r="66" spans="1:5" x14ac:dyDescent="0.2">
      <c r="A66" s="113" t="s">
        <v>216</v>
      </c>
      <c r="B66" s="109" t="s">
        <v>217</v>
      </c>
      <c r="C66" s="116"/>
      <c r="D66" s="116"/>
      <c r="E66" s="117"/>
    </row>
    <row r="67" spans="1:5" x14ac:dyDescent="0.2">
      <c r="A67" s="113" t="s">
        <v>218</v>
      </c>
      <c r="B67" s="109" t="s">
        <v>219</v>
      </c>
      <c r="C67" s="116"/>
      <c r="D67" s="116"/>
      <c r="E67" s="117"/>
    </row>
    <row r="68" spans="1:5" x14ac:dyDescent="0.2">
      <c r="A68" s="108">
        <v>5265100000</v>
      </c>
      <c r="B68" s="109" t="s">
        <v>220</v>
      </c>
      <c r="C68" s="116"/>
      <c r="D68" s="116"/>
      <c r="E68" s="117"/>
    </row>
    <row r="69" spans="1:5" x14ac:dyDescent="0.2">
      <c r="A69" s="113" t="s">
        <v>221</v>
      </c>
      <c r="B69" s="109" t="s">
        <v>222</v>
      </c>
      <c r="C69" s="116"/>
      <c r="D69" s="116"/>
      <c r="E69" s="117"/>
    </row>
    <row r="70" spans="1:5" x14ac:dyDescent="0.2">
      <c r="A70" s="113" t="s">
        <v>223</v>
      </c>
      <c r="B70" s="109" t="s">
        <v>224</v>
      </c>
      <c r="C70" s="116"/>
      <c r="D70" s="116"/>
      <c r="E70" s="117"/>
    </row>
    <row r="71" spans="1:5" x14ac:dyDescent="0.2">
      <c r="A71" s="113" t="s">
        <v>225</v>
      </c>
      <c r="B71" s="109" t="s">
        <v>226</v>
      </c>
      <c r="C71" s="116"/>
      <c r="D71" s="116"/>
      <c r="E71" s="117"/>
    </row>
    <row r="72" spans="1:5" x14ac:dyDescent="0.2">
      <c r="A72" s="113" t="s">
        <v>227</v>
      </c>
      <c r="B72" s="109" t="s">
        <v>228</v>
      </c>
      <c r="C72" s="116"/>
      <c r="D72" s="116"/>
      <c r="E72" s="117"/>
    </row>
    <row r="73" spans="1:5" x14ac:dyDescent="0.2">
      <c r="A73" s="108" t="s">
        <v>229</v>
      </c>
      <c r="B73" s="109" t="s">
        <v>230</v>
      </c>
      <c r="C73" s="116"/>
      <c r="D73" s="116"/>
      <c r="E73" s="117"/>
    </row>
    <row r="74" spans="1:5" x14ac:dyDescent="0.2">
      <c r="A74" s="113" t="s">
        <v>231</v>
      </c>
      <c r="B74" s="109" t="s">
        <v>232</v>
      </c>
      <c r="C74" s="116"/>
      <c r="D74" s="116"/>
      <c r="E74" s="117"/>
    </row>
    <row r="75" spans="1:5" x14ac:dyDescent="0.2">
      <c r="A75" s="108">
        <v>5265150000</v>
      </c>
      <c r="B75" s="109" t="s">
        <v>233</v>
      </c>
      <c r="C75" s="116"/>
      <c r="D75" s="116"/>
      <c r="E75" s="117"/>
    </row>
    <row r="76" spans="1:5" x14ac:dyDescent="0.2">
      <c r="A76" s="113" t="s">
        <v>234</v>
      </c>
      <c r="B76" s="109" t="s">
        <v>235</v>
      </c>
      <c r="C76" s="116"/>
      <c r="D76" s="116"/>
      <c r="E76" s="117"/>
    </row>
    <row r="77" spans="1:5" x14ac:dyDescent="0.2">
      <c r="A77" s="113" t="s">
        <v>236</v>
      </c>
      <c r="B77" s="109" t="s">
        <v>237</v>
      </c>
      <c r="C77" s="116"/>
      <c r="D77" s="116"/>
      <c r="E77" s="117"/>
    </row>
    <row r="78" spans="1:5" x14ac:dyDescent="0.2">
      <c r="A78" s="113" t="s">
        <v>238</v>
      </c>
      <c r="B78" s="109" t="s">
        <v>239</v>
      </c>
      <c r="C78" s="116"/>
      <c r="D78" s="116"/>
      <c r="E78" s="117"/>
    </row>
    <row r="79" spans="1:5" x14ac:dyDescent="0.2">
      <c r="A79" s="113" t="s">
        <v>240</v>
      </c>
      <c r="B79" s="109" t="s">
        <v>241</v>
      </c>
      <c r="C79" s="116"/>
      <c r="D79" s="116"/>
      <c r="E79" s="117"/>
    </row>
    <row r="80" spans="1:5" x14ac:dyDescent="0.2">
      <c r="A80" s="113" t="s">
        <v>242</v>
      </c>
      <c r="B80" s="109" t="s">
        <v>243</v>
      </c>
      <c r="C80" s="116"/>
      <c r="D80" s="116"/>
      <c r="E80" s="117"/>
    </row>
    <row r="81" spans="1:5" x14ac:dyDescent="0.2">
      <c r="A81" s="113" t="s">
        <v>244</v>
      </c>
      <c r="B81" s="109" t="s">
        <v>245</v>
      </c>
      <c r="C81" s="116"/>
      <c r="D81" s="116"/>
      <c r="E81" s="117"/>
    </row>
    <row r="82" spans="1:5" x14ac:dyDescent="0.2">
      <c r="A82" s="108" t="s">
        <v>246</v>
      </c>
      <c r="B82" s="109" t="s">
        <v>247</v>
      </c>
      <c r="C82" s="116"/>
      <c r="D82" s="116"/>
      <c r="E82" s="117"/>
    </row>
    <row r="83" spans="1:5" x14ac:dyDescent="0.2">
      <c r="A83" s="113" t="s">
        <v>248</v>
      </c>
      <c r="B83" s="109" t="s">
        <v>249</v>
      </c>
      <c r="C83" s="116"/>
      <c r="D83" s="116"/>
      <c r="E83" s="117"/>
    </row>
    <row r="84" spans="1:5" x14ac:dyDescent="0.2">
      <c r="A84" s="113" t="s">
        <v>250</v>
      </c>
      <c r="B84" s="109" t="s">
        <v>251</v>
      </c>
      <c r="C84" s="116"/>
      <c r="D84" s="116"/>
      <c r="E84" s="117"/>
    </row>
    <row r="85" spans="1:5" x14ac:dyDescent="0.2">
      <c r="A85" s="113" t="s">
        <v>252</v>
      </c>
      <c r="B85" s="109" t="s">
        <v>253</v>
      </c>
      <c r="C85" s="116"/>
      <c r="D85" s="116"/>
      <c r="E85" s="117"/>
    </row>
    <row r="86" spans="1:5" x14ac:dyDescent="0.2">
      <c r="A86" s="118" t="s">
        <v>254</v>
      </c>
      <c r="B86" s="109" t="s">
        <v>255</v>
      </c>
      <c r="C86" s="116"/>
      <c r="D86" s="116"/>
      <c r="E86" s="117"/>
    </row>
    <row r="87" spans="1:5" x14ac:dyDescent="0.2">
      <c r="A87" s="113" t="s">
        <v>256</v>
      </c>
      <c r="B87" s="109" t="s">
        <v>257</v>
      </c>
      <c r="C87" s="116"/>
      <c r="D87" s="116"/>
      <c r="E87" s="117"/>
    </row>
    <row r="88" spans="1:5" x14ac:dyDescent="0.2">
      <c r="A88" s="113"/>
      <c r="B88" s="115" t="s">
        <v>258</v>
      </c>
      <c r="C88" s="117"/>
      <c r="D88" s="119"/>
      <c r="E88" s="120"/>
    </row>
    <row r="89" spans="1:5" x14ac:dyDescent="0.2">
      <c r="A89" s="113" t="s">
        <v>259</v>
      </c>
      <c r="B89" s="109" t="s">
        <v>260</v>
      </c>
    </row>
    <row r="90" spans="1:5" x14ac:dyDescent="0.2">
      <c r="A90" s="108">
        <v>5105180100</v>
      </c>
      <c r="B90" s="109" t="s">
        <v>261</v>
      </c>
    </row>
    <row r="91" spans="1:5" x14ac:dyDescent="0.2">
      <c r="A91" s="110" t="s">
        <v>262</v>
      </c>
      <c r="B91" s="109" t="s">
        <v>263</v>
      </c>
    </row>
    <row r="92" spans="1:5" x14ac:dyDescent="0.2">
      <c r="A92" s="108">
        <v>5105480100</v>
      </c>
      <c r="B92" s="109" t="s">
        <v>264</v>
      </c>
    </row>
    <row r="93" spans="1:5" x14ac:dyDescent="0.2">
      <c r="A93" s="113" t="s">
        <v>265</v>
      </c>
      <c r="B93" s="109" t="s">
        <v>266</v>
      </c>
    </row>
    <row r="94" spans="1:5" x14ac:dyDescent="0.2">
      <c r="A94" s="113" t="s">
        <v>267</v>
      </c>
      <c r="B94" s="109" t="s">
        <v>268</v>
      </c>
    </row>
    <row r="95" spans="1:5" x14ac:dyDescent="0.2">
      <c r="A95" s="113"/>
      <c r="B95" s="115" t="s">
        <v>269</v>
      </c>
    </row>
    <row r="96" spans="1:5" x14ac:dyDescent="0.2">
      <c r="A96" s="108">
        <v>5105180000</v>
      </c>
      <c r="B96" s="109" t="s">
        <v>270</v>
      </c>
      <c r="C96" s="116"/>
      <c r="E96" s="117"/>
    </row>
    <row r="97" spans="1:5" x14ac:dyDescent="0.2">
      <c r="A97" s="113" t="s">
        <v>271</v>
      </c>
      <c r="B97" s="109" t="s">
        <v>272</v>
      </c>
      <c r="C97" s="116"/>
      <c r="E97" s="117"/>
    </row>
    <row r="98" spans="1:5" x14ac:dyDescent="0.2">
      <c r="A98" s="113" t="s">
        <v>273</v>
      </c>
      <c r="B98" s="109" t="s">
        <v>274</v>
      </c>
      <c r="C98" s="116"/>
      <c r="E98" s="117"/>
    </row>
    <row r="99" spans="1:5" x14ac:dyDescent="0.2">
      <c r="A99" s="113" t="s">
        <v>275</v>
      </c>
      <c r="B99" s="109" t="s">
        <v>276</v>
      </c>
      <c r="C99" s="116"/>
      <c r="E99" s="117"/>
    </row>
    <row r="100" spans="1:5" x14ac:dyDescent="0.2">
      <c r="A100" s="108" t="s">
        <v>277</v>
      </c>
      <c r="B100" s="109" t="s">
        <v>278</v>
      </c>
      <c r="C100" s="116"/>
      <c r="E100" s="117"/>
    </row>
    <row r="101" spans="1:5" x14ac:dyDescent="0.2">
      <c r="A101" s="113" t="s">
        <v>279</v>
      </c>
      <c r="B101" s="109" t="s">
        <v>280</v>
      </c>
      <c r="C101" s="116"/>
      <c r="E101" s="117"/>
    </row>
    <row r="102" spans="1:5" x14ac:dyDescent="0.2">
      <c r="A102" s="113" t="s">
        <v>281</v>
      </c>
      <c r="B102" s="109" t="s">
        <v>282</v>
      </c>
      <c r="C102" s="116"/>
      <c r="E102" s="117"/>
    </row>
    <row r="103" spans="1:5" x14ac:dyDescent="0.2">
      <c r="A103" s="108" t="s">
        <v>283</v>
      </c>
      <c r="B103" s="109" t="s">
        <v>284</v>
      </c>
      <c r="C103" s="116"/>
      <c r="E103" s="117"/>
    </row>
    <row r="104" spans="1:5" x14ac:dyDescent="0.2">
      <c r="A104" s="108" t="s">
        <v>285</v>
      </c>
      <c r="B104" s="109" t="s">
        <v>286</v>
      </c>
      <c r="C104" s="116"/>
      <c r="E104" s="117"/>
    </row>
    <row r="105" spans="1:5" x14ac:dyDescent="0.2">
      <c r="A105" s="108">
        <v>5120100000</v>
      </c>
      <c r="B105" s="109" t="s">
        <v>287</v>
      </c>
      <c r="C105" s="116"/>
      <c r="E105" s="117"/>
    </row>
    <row r="106" spans="1:5" x14ac:dyDescent="0.2">
      <c r="A106" s="113" t="s">
        <v>288</v>
      </c>
      <c r="B106" s="109" t="s">
        <v>289</v>
      </c>
      <c r="C106" s="116"/>
      <c r="E106" s="117"/>
    </row>
    <row r="107" spans="1:5" x14ac:dyDescent="0.2">
      <c r="A107" s="113" t="s">
        <v>290</v>
      </c>
      <c r="B107" s="109" t="s">
        <v>291</v>
      </c>
      <c r="C107" s="116"/>
      <c r="E107" s="117"/>
    </row>
    <row r="108" spans="1:5" x14ac:dyDescent="0.2">
      <c r="A108" s="113" t="s">
        <v>292</v>
      </c>
      <c r="B108" s="109" t="s">
        <v>293</v>
      </c>
      <c r="C108" s="116"/>
      <c r="E108" s="117"/>
    </row>
    <row r="109" spans="1:5" x14ac:dyDescent="0.2">
      <c r="A109" s="113" t="s">
        <v>294</v>
      </c>
      <c r="B109" s="109" t="s">
        <v>295</v>
      </c>
      <c r="C109" s="116"/>
      <c r="E109" s="117"/>
    </row>
    <row r="110" spans="1:5" x14ac:dyDescent="0.2">
      <c r="A110" s="113" t="s">
        <v>296</v>
      </c>
      <c r="B110" s="109" t="s">
        <v>297</v>
      </c>
      <c r="C110" s="116"/>
      <c r="E110" s="117"/>
    </row>
    <row r="111" spans="1:5" x14ac:dyDescent="0.2">
      <c r="A111" s="113" t="s">
        <v>298</v>
      </c>
      <c r="B111" s="109" t="s">
        <v>299</v>
      </c>
      <c r="C111" s="116"/>
      <c r="E111" s="117"/>
    </row>
    <row r="112" spans="1:5" x14ac:dyDescent="0.2">
      <c r="A112" s="113" t="s">
        <v>300</v>
      </c>
      <c r="B112" s="109" t="s">
        <v>301</v>
      </c>
      <c r="C112" s="116"/>
      <c r="E112" s="117"/>
    </row>
    <row r="113" spans="1:11" x14ac:dyDescent="0.2">
      <c r="A113" s="113" t="s">
        <v>302</v>
      </c>
      <c r="B113" s="109" t="s">
        <v>303</v>
      </c>
      <c r="C113" s="116"/>
      <c r="E113" s="117"/>
    </row>
    <row r="114" spans="1:11" x14ac:dyDescent="0.2">
      <c r="A114" s="113" t="s">
        <v>304</v>
      </c>
      <c r="B114" s="109" t="s">
        <v>305</v>
      </c>
      <c r="C114" s="116"/>
      <c r="E114" s="117"/>
    </row>
    <row r="115" spans="1:11" x14ac:dyDescent="0.2">
      <c r="A115" s="113" t="s">
        <v>306</v>
      </c>
      <c r="B115" s="109" t="s">
        <v>307</v>
      </c>
      <c r="C115" s="116"/>
      <c r="E115" s="117"/>
    </row>
    <row r="116" spans="1:11" x14ac:dyDescent="0.2">
      <c r="A116" s="108" t="s">
        <v>308</v>
      </c>
      <c r="B116" s="109" t="s">
        <v>309</v>
      </c>
      <c r="C116" s="116"/>
      <c r="E116" s="117"/>
    </row>
    <row r="117" spans="1:11" x14ac:dyDescent="0.2">
      <c r="A117" s="113" t="s">
        <v>310</v>
      </c>
      <c r="B117" s="109" t="s">
        <v>311</v>
      </c>
      <c r="C117" s="116"/>
      <c r="E117" s="117"/>
    </row>
    <row r="118" spans="1:11" x14ac:dyDescent="0.2">
      <c r="A118" s="113" t="s">
        <v>312</v>
      </c>
      <c r="B118" s="109" t="s">
        <v>313</v>
      </c>
      <c r="C118" s="116"/>
      <c r="E118" s="117"/>
    </row>
    <row r="119" spans="1:11" x14ac:dyDescent="0.2">
      <c r="A119" s="113" t="s">
        <v>314</v>
      </c>
      <c r="B119" s="109" t="s">
        <v>315</v>
      </c>
      <c r="C119" s="116"/>
      <c r="E119" s="117"/>
    </row>
    <row r="120" spans="1:11" x14ac:dyDescent="0.2">
      <c r="A120" s="113" t="s">
        <v>316</v>
      </c>
      <c r="B120" s="109" t="s">
        <v>317</v>
      </c>
      <c r="C120" s="116"/>
      <c r="E120" s="117"/>
    </row>
    <row r="121" spans="1:11" x14ac:dyDescent="0.2">
      <c r="A121" s="108" t="s">
        <v>318</v>
      </c>
      <c r="B121" s="109" t="s">
        <v>319</v>
      </c>
      <c r="C121" s="116"/>
      <c r="E121" s="117"/>
    </row>
    <row r="122" spans="1:11" x14ac:dyDescent="0.2">
      <c r="A122" s="113" t="s">
        <v>320</v>
      </c>
      <c r="B122" s="109" t="s">
        <v>321</v>
      </c>
      <c r="C122" s="116"/>
      <c r="E122" s="117"/>
    </row>
    <row r="123" spans="1:11" x14ac:dyDescent="0.2">
      <c r="A123" s="113" t="s">
        <v>322</v>
      </c>
      <c r="B123" s="109" t="s">
        <v>323</v>
      </c>
      <c r="C123" s="116"/>
      <c r="E123" s="117"/>
    </row>
    <row r="124" spans="1:11" x14ac:dyDescent="0.2">
      <c r="A124" s="113" t="s">
        <v>324</v>
      </c>
      <c r="B124" s="109" t="s">
        <v>325</v>
      </c>
      <c r="C124" s="116"/>
      <c r="E124" s="117"/>
    </row>
    <row r="125" spans="1:11" x14ac:dyDescent="0.2">
      <c r="A125" s="113" t="s">
        <v>326</v>
      </c>
      <c r="B125" s="109" t="s">
        <v>327</v>
      </c>
      <c r="C125" s="116"/>
      <c r="E125" s="117"/>
    </row>
    <row r="126" spans="1:11" x14ac:dyDescent="0.2">
      <c r="A126" s="113" t="s">
        <v>328</v>
      </c>
      <c r="B126" s="109" t="s">
        <v>329</v>
      </c>
      <c r="C126" s="116"/>
      <c r="E126" s="110" t="s">
        <v>330</v>
      </c>
      <c r="G126" s="110"/>
      <c r="H126" s="110"/>
      <c r="I126" s="110"/>
      <c r="J126" s="110"/>
      <c r="K126" s="110"/>
    </row>
    <row r="127" spans="1:11" x14ac:dyDescent="0.2">
      <c r="A127" s="113"/>
      <c r="B127" s="115" t="s">
        <v>331</v>
      </c>
      <c r="C127" s="117"/>
      <c r="D127" s="117"/>
      <c r="E127" s="110" t="s">
        <v>332</v>
      </c>
      <c r="F127" s="110" t="s">
        <v>333</v>
      </c>
      <c r="G127" s="110" t="s">
        <v>101</v>
      </c>
      <c r="H127" s="110"/>
      <c r="I127" s="110"/>
      <c r="J127" s="110"/>
      <c r="K127" s="110"/>
    </row>
    <row r="128" spans="1:11" x14ac:dyDescent="0.2">
      <c r="A128" s="113" t="s">
        <v>334</v>
      </c>
      <c r="B128" s="109" t="s">
        <v>335</v>
      </c>
      <c r="E128" s="110" t="s">
        <v>336</v>
      </c>
      <c r="F128" s="110" t="s">
        <v>337</v>
      </c>
      <c r="G128" s="121">
        <v>-2083333</v>
      </c>
      <c r="H128" s="110"/>
      <c r="I128" s="110"/>
      <c r="J128" s="110"/>
      <c r="K128" s="110"/>
    </row>
    <row r="129" spans="1:11" x14ac:dyDescent="0.2">
      <c r="A129" s="113" t="s">
        <v>338</v>
      </c>
      <c r="B129" s="109" t="s">
        <v>339</v>
      </c>
      <c r="E129" s="110" t="s">
        <v>340</v>
      </c>
      <c r="G129" s="121">
        <v>-2083333</v>
      </c>
      <c r="H129" s="110"/>
      <c r="I129" s="110"/>
      <c r="J129" s="110"/>
      <c r="K129" s="110"/>
    </row>
    <row r="130" spans="1:11" x14ac:dyDescent="0.2">
      <c r="A130" s="108">
        <v>5110358000</v>
      </c>
      <c r="B130" s="109" t="s">
        <v>341</v>
      </c>
      <c r="G130" s="110"/>
      <c r="H130" s="110"/>
      <c r="I130" s="110"/>
      <c r="J130" s="110"/>
      <c r="K130" s="110"/>
    </row>
    <row r="131" spans="1:11" x14ac:dyDescent="0.2">
      <c r="A131" s="113"/>
      <c r="B131" s="115" t="s">
        <v>342</v>
      </c>
      <c r="G131" s="110"/>
      <c r="H131" s="110"/>
      <c r="I131" s="110"/>
      <c r="J131" s="110"/>
      <c r="K131" s="110"/>
    </row>
    <row r="132" spans="1:11" x14ac:dyDescent="0.2">
      <c r="A132" s="113" t="s">
        <v>343</v>
      </c>
      <c r="B132" s="109" t="s">
        <v>344</v>
      </c>
      <c r="G132" s="110"/>
      <c r="H132" s="110"/>
      <c r="I132" s="110"/>
      <c r="J132" s="110"/>
      <c r="K132" s="110"/>
    </row>
    <row r="133" spans="1:11" x14ac:dyDescent="0.2">
      <c r="A133" s="113" t="s">
        <v>345</v>
      </c>
      <c r="B133" s="109" t="s">
        <v>346</v>
      </c>
      <c r="G133" s="110"/>
      <c r="H133" s="110"/>
      <c r="I133" s="110"/>
      <c r="J133" s="110"/>
      <c r="K133" s="110"/>
    </row>
    <row r="134" spans="1:11" x14ac:dyDescent="0.2">
      <c r="A134" s="113" t="s">
        <v>347</v>
      </c>
      <c r="B134" s="109" t="s">
        <v>348</v>
      </c>
      <c r="G134" s="110"/>
      <c r="H134" s="110"/>
      <c r="I134" s="110"/>
      <c r="J134" s="110"/>
      <c r="K134" s="110"/>
    </row>
    <row r="135" spans="1:11" x14ac:dyDescent="0.2">
      <c r="A135" s="113" t="s">
        <v>349</v>
      </c>
      <c r="B135" s="109" t="s">
        <v>350</v>
      </c>
      <c r="G135" s="110"/>
      <c r="H135" s="110"/>
      <c r="I135" s="110"/>
      <c r="J135" s="110"/>
      <c r="K135" s="110"/>
    </row>
    <row r="136" spans="1:11" x14ac:dyDescent="0.2">
      <c r="G136" s="110"/>
      <c r="H136" s="110"/>
      <c r="I136" s="110"/>
      <c r="J136" s="110"/>
      <c r="K136" s="110"/>
    </row>
    <row r="137" spans="1:11" x14ac:dyDescent="0.2">
      <c r="A137" s="113"/>
      <c r="B137" s="115" t="s">
        <v>351</v>
      </c>
      <c r="G137" s="110"/>
      <c r="H137" s="110"/>
      <c r="I137" s="110"/>
      <c r="J137" s="110"/>
      <c r="K137" s="110"/>
    </row>
    <row r="138" spans="1:11" x14ac:dyDescent="0.2">
      <c r="A138" s="113" t="s">
        <v>352</v>
      </c>
      <c r="B138" s="109" t="s">
        <v>353</v>
      </c>
      <c r="G138" s="110"/>
      <c r="H138" s="110"/>
      <c r="I138" s="110"/>
      <c r="J138" s="110"/>
      <c r="K138" s="110"/>
    </row>
    <row r="139" spans="1:11" x14ac:dyDescent="0.2">
      <c r="A139" s="113" t="s">
        <v>354</v>
      </c>
      <c r="B139" s="109" t="s">
        <v>355</v>
      </c>
      <c r="G139" s="110"/>
      <c r="H139" s="110"/>
      <c r="I139" s="110"/>
      <c r="J139" s="110"/>
      <c r="K139" s="110"/>
    </row>
    <row r="140" spans="1:11" x14ac:dyDescent="0.2">
      <c r="A140" s="113" t="s">
        <v>356</v>
      </c>
      <c r="B140" s="109" t="s">
        <v>357</v>
      </c>
      <c r="G140" s="110"/>
      <c r="H140" s="110"/>
      <c r="I140" s="110"/>
      <c r="J140" s="110"/>
      <c r="K140" s="110"/>
    </row>
    <row r="141" spans="1:11" x14ac:dyDescent="0.2">
      <c r="A141" s="122" t="s">
        <v>358</v>
      </c>
      <c r="B141" s="109" t="s">
        <v>359</v>
      </c>
      <c r="G141" s="110"/>
    </row>
    <row r="142" spans="1:11" x14ac:dyDescent="0.2">
      <c r="A142" s="122"/>
      <c r="B142" s="115" t="s">
        <v>360</v>
      </c>
      <c r="G142" s="110"/>
    </row>
    <row r="143" spans="1:11" x14ac:dyDescent="0.2">
      <c r="A143" s="113" t="s">
        <v>361</v>
      </c>
      <c r="B143" s="109" t="s">
        <v>362</v>
      </c>
      <c r="G143" s="110"/>
    </row>
    <row r="144" spans="1:11" x14ac:dyDescent="0.2">
      <c r="A144" s="113"/>
      <c r="B144" s="115" t="s">
        <v>363</v>
      </c>
      <c r="G144" s="110"/>
    </row>
    <row r="145" spans="1:7" x14ac:dyDescent="0.2">
      <c r="A145" s="113"/>
      <c r="B145" s="115" t="s">
        <v>364</v>
      </c>
      <c r="G145" s="110"/>
    </row>
    <row r="146" spans="1:7" x14ac:dyDescent="0.2">
      <c r="A146" s="113"/>
      <c r="B146" s="115" t="s">
        <v>365</v>
      </c>
      <c r="G146" s="110"/>
    </row>
    <row r="147" spans="1:7" x14ac:dyDescent="0.2">
      <c r="A147" s="113" t="s">
        <v>366</v>
      </c>
      <c r="B147" s="109" t="s">
        <v>367</v>
      </c>
      <c r="G147" s="110"/>
    </row>
    <row r="148" spans="1:7" x14ac:dyDescent="0.2">
      <c r="G148" s="110"/>
    </row>
    <row r="149" spans="1:7" x14ac:dyDescent="0.2">
      <c r="G149" s="110"/>
    </row>
    <row r="150" spans="1:7" x14ac:dyDescent="0.2">
      <c r="B150" s="110" t="s">
        <v>368</v>
      </c>
    </row>
    <row r="151" spans="1:7" x14ac:dyDescent="0.2">
      <c r="A151" s="113" t="s">
        <v>178</v>
      </c>
      <c r="B151" s="109" t="s">
        <v>179</v>
      </c>
    </row>
    <row r="152" spans="1:7" x14ac:dyDescent="0.2">
      <c r="A152" s="110" t="s">
        <v>180</v>
      </c>
      <c r="B152" s="109" t="s">
        <v>181</v>
      </c>
    </row>
    <row r="153" spans="1:7" x14ac:dyDescent="0.2">
      <c r="A153" s="113" t="s">
        <v>204</v>
      </c>
      <c r="B153" s="109" t="s">
        <v>205</v>
      </c>
    </row>
    <row r="154" spans="1:7" x14ac:dyDescent="0.2">
      <c r="A154" s="110" t="s">
        <v>206</v>
      </c>
      <c r="B154" s="109" t="s">
        <v>207</v>
      </c>
    </row>
    <row r="155" spans="1:7" x14ac:dyDescent="0.2">
      <c r="A155" s="113" t="s">
        <v>259</v>
      </c>
      <c r="B155" s="109" t="s">
        <v>260</v>
      </c>
    </row>
    <row r="156" spans="1:7" x14ac:dyDescent="0.2">
      <c r="A156" s="108">
        <v>5105180100</v>
      </c>
      <c r="B156" s="109" t="s">
        <v>261</v>
      </c>
    </row>
    <row r="157" spans="1:7" x14ac:dyDescent="0.2">
      <c r="A157" s="110" t="s">
        <v>262</v>
      </c>
      <c r="B157" s="109" t="s">
        <v>263</v>
      </c>
    </row>
    <row r="158" spans="1:7" x14ac:dyDescent="0.2">
      <c r="A158" s="108">
        <v>5105180000</v>
      </c>
      <c r="B158" s="109" t="s">
        <v>270</v>
      </c>
    </row>
    <row r="159" spans="1:7" x14ac:dyDescent="0.2">
      <c r="A159" s="113" t="s">
        <v>271</v>
      </c>
      <c r="B159" s="109" t="s">
        <v>272</v>
      </c>
    </row>
    <row r="160" spans="1:7" x14ac:dyDescent="0.2">
      <c r="A160" s="113" t="s">
        <v>273</v>
      </c>
      <c r="B160" s="109" t="s">
        <v>274</v>
      </c>
    </row>
    <row r="161" spans="1:5" x14ac:dyDescent="0.2">
      <c r="A161" s="113" t="s">
        <v>275</v>
      </c>
      <c r="B161" s="109" t="s">
        <v>276</v>
      </c>
    </row>
    <row r="164" spans="1:5" x14ac:dyDescent="0.2">
      <c r="B164" s="110" t="s">
        <v>369</v>
      </c>
    </row>
    <row r="165" spans="1:5" x14ac:dyDescent="0.2">
      <c r="A165" s="110" t="s">
        <v>186</v>
      </c>
      <c r="B165" s="110" t="s">
        <v>187</v>
      </c>
    </row>
    <row r="166" spans="1:5" x14ac:dyDescent="0.2">
      <c r="A166" s="110" t="s">
        <v>265</v>
      </c>
      <c r="B166" s="110" t="s">
        <v>266</v>
      </c>
    </row>
    <row r="167" spans="1:5" x14ac:dyDescent="0.2">
      <c r="A167" s="110" t="s">
        <v>267</v>
      </c>
      <c r="B167" s="110" t="s">
        <v>268</v>
      </c>
    </row>
    <row r="173" spans="1:5" x14ac:dyDescent="0.2">
      <c r="A173" s="123" t="s">
        <v>370</v>
      </c>
    </row>
    <row r="174" spans="1:5" x14ac:dyDescent="0.2">
      <c r="A174" s="111" t="s">
        <v>371</v>
      </c>
      <c r="E174" s="110" t="s">
        <v>372</v>
      </c>
    </row>
    <row r="175" spans="1:5" x14ac:dyDescent="0.2">
      <c r="A175" s="110" t="s">
        <v>373</v>
      </c>
      <c r="B175" s="110" t="s">
        <v>374</v>
      </c>
    </row>
    <row r="176" spans="1:5" x14ac:dyDescent="0.2">
      <c r="A176" s="110">
        <v>4155950000</v>
      </c>
      <c r="B176" s="110" t="s">
        <v>375</v>
      </c>
    </row>
    <row r="177" spans="1:5" x14ac:dyDescent="0.2">
      <c r="A177" s="110">
        <v>4155950100</v>
      </c>
      <c r="B177" s="110" t="s">
        <v>376</v>
      </c>
    </row>
    <row r="178" spans="1:5" x14ac:dyDescent="0.2">
      <c r="A178" s="110">
        <v>4155951500</v>
      </c>
      <c r="B178" s="110" t="s">
        <v>377</v>
      </c>
    </row>
    <row r="179" spans="1:5" x14ac:dyDescent="0.2">
      <c r="A179" s="110">
        <v>4135950900</v>
      </c>
      <c r="B179" s="110" t="s">
        <v>378</v>
      </c>
    </row>
    <row r="180" spans="1:5" x14ac:dyDescent="0.2">
      <c r="A180" s="110">
        <v>4135950000</v>
      </c>
      <c r="B180" s="110" t="s">
        <v>379</v>
      </c>
      <c r="E180" s="110">
        <v>4135950000</v>
      </c>
    </row>
    <row r="181" spans="1:5" x14ac:dyDescent="0.2">
      <c r="A181" s="110">
        <v>4155950500</v>
      </c>
      <c r="B181" s="110" t="s">
        <v>379</v>
      </c>
    </row>
    <row r="182" spans="1:5" x14ac:dyDescent="0.2">
      <c r="A182" s="110">
        <v>4170250300</v>
      </c>
      <c r="B182" s="110" t="s">
        <v>379</v>
      </c>
    </row>
    <row r="183" spans="1:5" x14ac:dyDescent="0.2">
      <c r="A183" s="110" t="s">
        <v>380</v>
      </c>
      <c r="B183" s="110" t="s">
        <v>381</v>
      </c>
    </row>
    <row r="184" spans="1:5" x14ac:dyDescent="0.2">
      <c r="A184" s="110">
        <v>6135950000</v>
      </c>
      <c r="B184" s="110" t="s">
        <v>382</v>
      </c>
    </row>
    <row r="186" spans="1:5" x14ac:dyDescent="0.2">
      <c r="B186" s="110" t="s">
        <v>383</v>
      </c>
    </row>
    <row r="187" spans="1:5" x14ac:dyDescent="0.2">
      <c r="A187" s="110">
        <v>5205180100</v>
      </c>
      <c r="B187" s="110" t="s">
        <v>384</v>
      </c>
      <c r="C187" s="110" t="s">
        <v>385</v>
      </c>
    </row>
    <row r="188" spans="1:5" x14ac:dyDescent="0.2">
      <c r="A188" s="110">
        <v>5205361000</v>
      </c>
      <c r="B188" s="110" t="s">
        <v>386</v>
      </c>
      <c r="C188" s="110" t="s">
        <v>387</v>
      </c>
      <c r="D188" s="110" t="s">
        <v>101</v>
      </c>
    </row>
    <row r="189" spans="1:5" x14ac:dyDescent="0.2">
      <c r="A189" s="110">
        <v>5205391000</v>
      </c>
      <c r="B189" s="110" t="s">
        <v>386</v>
      </c>
      <c r="C189" s="110" t="s">
        <v>388</v>
      </c>
      <c r="D189" s="110">
        <v>4638.9799999999996</v>
      </c>
    </row>
    <row r="190" spans="1:5" x14ac:dyDescent="0.2">
      <c r="A190" s="110">
        <v>5205422000</v>
      </c>
      <c r="B190" s="110" t="s">
        <v>386</v>
      </c>
      <c r="C190" s="110" t="s">
        <v>389</v>
      </c>
      <c r="D190" s="110">
        <v>1230.26</v>
      </c>
    </row>
    <row r="191" spans="1:5" x14ac:dyDescent="0.2">
      <c r="A191" s="110">
        <v>5205691000</v>
      </c>
      <c r="B191" s="110" t="s">
        <v>386</v>
      </c>
      <c r="C191" s="110" t="s">
        <v>390</v>
      </c>
      <c r="D191" s="110">
        <v>307.56</v>
      </c>
    </row>
    <row r="192" spans="1:5" x14ac:dyDescent="0.2">
      <c r="A192" s="110">
        <v>5205701000</v>
      </c>
      <c r="B192" s="110" t="s">
        <v>386</v>
      </c>
      <c r="C192" s="110" t="s">
        <v>391</v>
      </c>
      <c r="D192" s="110">
        <v>896.8</v>
      </c>
    </row>
    <row r="193" spans="1:4" x14ac:dyDescent="0.2">
      <c r="A193" s="110">
        <v>5160200000</v>
      </c>
      <c r="B193" s="110" t="s">
        <v>392</v>
      </c>
      <c r="C193" s="110" t="s">
        <v>393</v>
      </c>
      <c r="D193" s="110">
        <v>604.20000000000005</v>
      </c>
    </row>
    <row r="194" spans="1:4" x14ac:dyDescent="0.2">
      <c r="A194" s="110">
        <v>5260100000</v>
      </c>
      <c r="B194" s="110" t="s">
        <v>392</v>
      </c>
      <c r="C194" s="110" t="s">
        <v>394</v>
      </c>
      <c r="D194" s="110">
        <v>27.16</v>
      </c>
    </row>
    <row r="195" spans="1:4" x14ac:dyDescent="0.2">
      <c r="A195" s="110">
        <v>5260200000</v>
      </c>
      <c r="B195" s="110" t="s">
        <v>392</v>
      </c>
      <c r="C195" s="110" t="s">
        <v>340</v>
      </c>
      <c r="D195" s="110">
        <v>7704.96</v>
      </c>
    </row>
    <row r="196" spans="1:4" x14ac:dyDescent="0.2">
      <c r="A196" s="110">
        <v>5260150000</v>
      </c>
      <c r="B196" s="110" t="s">
        <v>392</v>
      </c>
    </row>
    <row r="197" spans="1:4" x14ac:dyDescent="0.2">
      <c r="A197" s="110">
        <v>5260350000</v>
      </c>
      <c r="B197" s="110" t="s">
        <v>392</v>
      </c>
    </row>
    <row r="198" spans="1:4" x14ac:dyDescent="0.2">
      <c r="A198" s="110">
        <v>5160150000</v>
      </c>
      <c r="B198" s="110" t="s">
        <v>395</v>
      </c>
    </row>
    <row r="199" spans="1:4" x14ac:dyDescent="0.2">
      <c r="A199" s="110">
        <v>5145150100</v>
      </c>
      <c r="B199" s="110" t="s">
        <v>396</v>
      </c>
    </row>
    <row r="200" spans="1:4" x14ac:dyDescent="0.2">
      <c r="A200" s="110">
        <v>5235300000</v>
      </c>
      <c r="B200" s="110" t="s">
        <v>396</v>
      </c>
    </row>
    <row r="201" spans="1:4" x14ac:dyDescent="0.2">
      <c r="A201" s="110">
        <v>5245100000</v>
      </c>
      <c r="B201" s="110" t="s">
        <v>396</v>
      </c>
    </row>
    <row r="202" spans="1:4" x14ac:dyDescent="0.2">
      <c r="A202" s="110">
        <v>5245150000</v>
      </c>
      <c r="B202" s="110" t="s">
        <v>396</v>
      </c>
    </row>
    <row r="203" spans="1:4" x14ac:dyDescent="0.2">
      <c r="A203" s="110">
        <v>5245150100</v>
      </c>
      <c r="B203" s="110" t="s">
        <v>396</v>
      </c>
    </row>
    <row r="204" spans="1:4" x14ac:dyDescent="0.2">
      <c r="A204" s="110">
        <v>5245200000</v>
      </c>
      <c r="B204" s="110" t="s">
        <v>396</v>
      </c>
    </row>
    <row r="205" spans="1:4" x14ac:dyDescent="0.2">
      <c r="A205" s="110">
        <v>5245250000</v>
      </c>
      <c r="B205" s="110" t="s">
        <v>396</v>
      </c>
    </row>
    <row r="206" spans="1:4" x14ac:dyDescent="0.2">
      <c r="A206" s="110">
        <v>5250050000</v>
      </c>
      <c r="B206" s="110" t="s">
        <v>396</v>
      </c>
    </row>
    <row r="207" spans="1:4" x14ac:dyDescent="0.2">
      <c r="A207" s="110">
        <v>5250100000</v>
      </c>
      <c r="B207" s="110" t="s">
        <v>396</v>
      </c>
    </row>
    <row r="208" spans="1:4" x14ac:dyDescent="0.2">
      <c r="A208" s="110">
        <v>5250950000</v>
      </c>
      <c r="B208" s="110" t="s">
        <v>396</v>
      </c>
    </row>
    <row r="209" spans="1:2" x14ac:dyDescent="0.2">
      <c r="A209" s="110">
        <v>5295250000</v>
      </c>
      <c r="B209" s="110" t="s">
        <v>396</v>
      </c>
    </row>
    <row r="210" spans="1:2" x14ac:dyDescent="0.2">
      <c r="A210" s="110">
        <v>5295950300</v>
      </c>
      <c r="B210" s="110" t="s">
        <v>396</v>
      </c>
    </row>
    <row r="211" spans="1:2" x14ac:dyDescent="0.2">
      <c r="A211" s="110">
        <v>5235050000</v>
      </c>
      <c r="B211" s="110" t="s">
        <v>397</v>
      </c>
    </row>
    <row r="212" spans="1:2" x14ac:dyDescent="0.2">
      <c r="A212" s="110">
        <v>5235200000</v>
      </c>
      <c r="B212" s="110" t="s">
        <v>397</v>
      </c>
    </row>
    <row r="213" spans="1:2" x14ac:dyDescent="0.2">
      <c r="A213" s="110">
        <v>5235950100</v>
      </c>
      <c r="B213" s="110" t="s">
        <v>397</v>
      </c>
    </row>
    <row r="214" spans="1:2" x14ac:dyDescent="0.2">
      <c r="A214" s="110">
        <v>5235950400</v>
      </c>
      <c r="B214" s="110" t="s">
        <v>397</v>
      </c>
    </row>
    <row r="215" spans="1:2" x14ac:dyDescent="0.2">
      <c r="A215" s="110">
        <v>5235950500</v>
      </c>
      <c r="B215" s="110" t="s">
        <v>397</v>
      </c>
    </row>
    <row r="216" spans="1:2" x14ac:dyDescent="0.2">
      <c r="A216" s="110">
        <v>5235950600</v>
      </c>
      <c r="B216" s="110" t="s">
        <v>397</v>
      </c>
    </row>
    <row r="217" spans="1:2" x14ac:dyDescent="0.2">
      <c r="A217" s="110">
        <v>5235950600</v>
      </c>
      <c r="B217" s="110" t="s">
        <v>397</v>
      </c>
    </row>
    <row r="218" spans="1:2" x14ac:dyDescent="0.2">
      <c r="A218" s="110">
        <v>5235950600</v>
      </c>
      <c r="B218" s="110" t="s">
        <v>397</v>
      </c>
    </row>
    <row r="219" spans="1:2" x14ac:dyDescent="0.2">
      <c r="A219" s="110">
        <v>5295950500</v>
      </c>
      <c r="B219" s="110" t="s">
        <v>397</v>
      </c>
    </row>
    <row r="220" spans="1:2" x14ac:dyDescent="0.2">
      <c r="A220" s="110">
        <v>5295950100</v>
      </c>
      <c r="B220" s="110" t="s">
        <v>398</v>
      </c>
    </row>
    <row r="221" spans="1:2" x14ac:dyDescent="0.2">
      <c r="A221" s="110">
        <v>5299100000</v>
      </c>
      <c r="B221" s="110" t="s">
        <v>399</v>
      </c>
    </row>
    <row r="222" spans="1:2" x14ac:dyDescent="0.2">
      <c r="A222" s="110">
        <v>5160100000</v>
      </c>
      <c r="B222" s="110" t="s">
        <v>400</v>
      </c>
    </row>
    <row r="223" spans="1:2" x14ac:dyDescent="0.2">
      <c r="B223" s="110" t="s">
        <v>401</v>
      </c>
    </row>
    <row r="224" spans="1:2" x14ac:dyDescent="0.2">
      <c r="A224" s="110">
        <v>5205630100</v>
      </c>
      <c r="B224" s="110" t="s">
        <v>402</v>
      </c>
    </row>
    <row r="225" spans="1:2" x14ac:dyDescent="0.2">
      <c r="A225" s="110">
        <v>5205630200</v>
      </c>
      <c r="B225" s="110" t="s">
        <v>402</v>
      </c>
    </row>
    <row r="226" spans="1:2" x14ac:dyDescent="0.2">
      <c r="A226" s="110">
        <v>5205060100</v>
      </c>
      <c r="B226" s="110" t="s">
        <v>403</v>
      </c>
    </row>
    <row r="227" spans="1:2" x14ac:dyDescent="0.2">
      <c r="A227" s="110">
        <v>5205150100</v>
      </c>
      <c r="B227" s="110" t="s">
        <v>403</v>
      </c>
    </row>
    <row r="228" spans="1:2" x14ac:dyDescent="0.2">
      <c r="A228" s="110">
        <v>5205360100</v>
      </c>
      <c r="B228" s="110" t="s">
        <v>404</v>
      </c>
    </row>
    <row r="229" spans="1:2" x14ac:dyDescent="0.2">
      <c r="A229" s="110">
        <v>5205390100</v>
      </c>
      <c r="B229" s="110" t="s">
        <v>404</v>
      </c>
    </row>
    <row r="230" spans="1:2" x14ac:dyDescent="0.2">
      <c r="A230" s="110">
        <v>5205600100</v>
      </c>
      <c r="B230" s="110" t="s">
        <v>404</v>
      </c>
    </row>
    <row r="231" spans="1:2" x14ac:dyDescent="0.2">
      <c r="A231" s="110">
        <v>5205690100</v>
      </c>
      <c r="B231" s="110" t="s">
        <v>404</v>
      </c>
    </row>
    <row r="232" spans="1:2" x14ac:dyDescent="0.2">
      <c r="A232" s="110">
        <v>5205700100</v>
      </c>
      <c r="B232" s="110" t="s">
        <v>404</v>
      </c>
    </row>
    <row r="233" spans="1:2" x14ac:dyDescent="0.2">
      <c r="A233" s="110">
        <v>5205700100</v>
      </c>
      <c r="B233" s="110" t="s">
        <v>404</v>
      </c>
    </row>
    <row r="234" spans="1:2" x14ac:dyDescent="0.2">
      <c r="A234" s="110">
        <v>5205700200</v>
      </c>
      <c r="B234" s="110" t="s">
        <v>404</v>
      </c>
    </row>
    <row r="235" spans="1:2" x14ac:dyDescent="0.2">
      <c r="A235" s="110">
        <v>5205780100</v>
      </c>
      <c r="B235" s="110" t="s">
        <v>404</v>
      </c>
    </row>
    <row r="236" spans="1:2" x14ac:dyDescent="0.2">
      <c r="A236" s="110">
        <v>5205660100</v>
      </c>
      <c r="B236" s="110" t="s">
        <v>405</v>
      </c>
    </row>
    <row r="237" spans="1:2" x14ac:dyDescent="0.2">
      <c r="A237" s="110">
        <v>5210250000</v>
      </c>
      <c r="B237" s="110" t="s">
        <v>406</v>
      </c>
    </row>
    <row r="238" spans="1:2" x14ac:dyDescent="0.2">
      <c r="A238" s="110">
        <v>5210350000</v>
      </c>
      <c r="B238" s="110" t="s">
        <v>406</v>
      </c>
    </row>
    <row r="239" spans="1:2" x14ac:dyDescent="0.2">
      <c r="A239" s="110">
        <v>5210950000</v>
      </c>
      <c r="B239" s="110" t="s">
        <v>406</v>
      </c>
    </row>
    <row r="240" spans="1:2" x14ac:dyDescent="0.2">
      <c r="A240" s="110">
        <v>5115950000</v>
      </c>
      <c r="B240" s="110" t="s">
        <v>407</v>
      </c>
    </row>
    <row r="241" spans="1:2" x14ac:dyDescent="0.2">
      <c r="A241" s="110">
        <v>5215100000</v>
      </c>
      <c r="B241" s="110" t="s">
        <v>407</v>
      </c>
    </row>
    <row r="242" spans="1:2" x14ac:dyDescent="0.2">
      <c r="A242" s="110">
        <v>5215950000</v>
      </c>
      <c r="B242" s="110" t="s">
        <v>407</v>
      </c>
    </row>
    <row r="243" spans="1:2" x14ac:dyDescent="0.2">
      <c r="A243" s="110">
        <v>5240100000</v>
      </c>
      <c r="B243" s="110" t="s">
        <v>407</v>
      </c>
    </row>
    <row r="244" spans="1:2" x14ac:dyDescent="0.2">
      <c r="A244" s="110">
        <v>5240150000</v>
      </c>
      <c r="B244" s="110" t="s">
        <v>407</v>
      </c>
    </row>
    <row r="245" spans="1:2" x14ac:dyDescent="0.2">
      <c r="A245" s="110">
        <v>5245400000</v>
      </c>
      <c r="B245" s="110" t="s">
        <v>408</v>
      </c>
    </row>
    <row r="246" spans="1:2" x14ac:dyDescent="0.2">
      <c r="A246" s="110">
        <v>5295350000</v>
      </c>
      <c r="B246" s="110" t="s">
        <v>408</v>
      </c>
    </row>
    <row r="247" spans="1:2" x14ac:dyDescent="0.2">
      <c r="A247" s="110">
        <v>5295100000</v>
      </c>
      <c r="B247" s="110" t="s">
        <v>409</v>
      </c>
    </row>
    <row r="248" spans="1:2" x14ac:dyDescent="0.2">
      <c r="A248" s="110">
        <v>5295300000</v>
      </c>
      <c r="B248" s="110" t="s">
        <v>409</v>
      </c>
    </row>
    <row r="249" spans="1:2" x14ac:dyDescent="0.2">
      <c r="A249" s="110">
        <v>5235600000</v>
      </c>
      <c r="B249" s="110" t="s">
        <v>410</v>
      </c>
    </row>
    <row r="250" spans="1:2" x14ac:dyDescent="0.2">
      <c r="A250" s="110">
        <v>5235350000</v>
      </c>
      <c r="B250" s="110" t="s">
        <v>411</v>
      </c>
    </row>
    <row r="251" spans="1:2" x14ac:dyDescent="0.2">
      <c r="A251" s="110">
        <v>5235400100</v>
      </c>
      <c r="B251" s="110" t="s">
        <v>411</v>
      </c>
    </row>
    <row r="252" spans="1:2" x14ac:dyDescent="0.2">
      <c r="A252" s="110">
        <v>5235400200</v>
      </c>
      <c r="B252" s="110" t="s">
        <v>411</v>
      </c>
    </row>
    <row r="253" spans="1:2" x14ac:dyDescent="0.2">
      <c r="A253" s="110">
        <v>5235450000</v>
      </c>
      <c r="B253" s="110" t="s">
        <v>411</v>
      </c>
    </row>
    <row r="254" spans="1:2" x14ac:dyDescent="0.2">
      <c r="A254" s="110">
        <v>5230250000</v>
      </c>
      <c r="B254" s="110" t="s">
        <v>412</v>
      </c>
    </row>
    <row r="255" spans="1:2" x14ac:dyDescent="0.2">
      <c r="A255" s="110">
        <v>5230950000</v>
      </c>
      <c r="B255" s="110" t="s">
        <v>412</v>
      </c>
    </row>
    <row r="256" spans="1:2" x14ac:dyDescent="0.2">
      <c r="A256" s="110">
        <v>5295700000</v>
      </c>
      <c r="B256" s="110" t="s">
        <v>412</v>
      </c>
    </row>
    <row r="257" spans="1:2" x14ac:dyDescent="0.2">
      <c r="A257" s="110">
        <v>5225100000</v>
      </c>
      <c r="B257" s="110" t="s">
        <v>413</v>
      </c>
    </row>
    <row r="258" spans="1:2" x14ac:dyDescent="0.2">
      <c r="A258" s="110">
        <v>5205480100</v>
      </c>
      <c r="B258" s="110" t="s">
        <v>414</v>
      </c>
    </row>
    <row r="259" spans="1:2" x14ac:dyDescent="0.2">
      <c r="A259" s="110">
        <v>5205480200</v>
      </c>
      <c r="B259" s="110" t="s">
        <v>414</v>
      </c>
    </row>
    <row r="260" spans="1:2" x14ac:dyDescent="0.2">
      <c r="A260" s="110">
        <v>5205481000</v>
      </c>
      <c r="B260" s="110" t="s">
        <v>414</v>
      </c>
    </row>
    <row r="261" spans="1:2" x14ac:dyDescent="0.2">
      <c r="A261" s="110">
        <v>5205481100</v>
      </c>
      <c r="B261" s="110" t="s">
        <v>414</v>
      </c>
    </row>
    <row r="262" spans="1:2" x14ac:dyDescent="0.2">
      <c r="A262" s="110">
        <v>5205210100</v>
      </c>
      <c r="B262" s="110" t="s">
        <v>415</v>
      </c>
    </row>
    <row r="263" spans="1:2" x14ac:dyDescent="0.2">
      <c r="A263" s="110">
        <v>5205210200</v>
      </c>
      <c r="B263" s="110" t="s">
        <v>415</v>
      </c>
    </row>
    <row r="264" spans="1:2" x14ac:dyDescent="0.2">
      <c r="A264" s="110">
        <v>5255050100</v>
      </c>
      <c r="B264" s="110" t="s">
        <v>415</v>
      </c>
    </row>
    <row r="265" spans="1:2" x14ac:dyDescent="0.2">
      <c r="A265" s="110">
        <v>5255060100</v>
      </c>
      <c r="B265" s="110" t="s">
        <v>415</v>
      </c>
    </row>
    <row r="266" spans="1:2" x14ac:dyDescent="0.2">
      <c r="A266" s="110">
        <v>5255150100</v>
      </c>
      <c r="B266" s="110" t="s">
        <v>415</v>
      </c>
    </row>
    <row r="267" spans="1:2" x14ac:dyDescent="0.2">
      <c r="A267" s="110">
        <v>5255200100</v>
      </c>
      <c r="B267" s="110" t="s">
        <v>415</v>
      </c>
    </row>
    <row r="268" spans="1:2" x14ac:dyDescent="0.2">
      <c r="A268" s="110">
        <v>5255200200</v>
      </c>
      <c r="B268" s="110" t="s">
        <v>415</v>
      </c>
    </row>
    <row r="269" spans="1:2" x14ac:dyDescent="0.2">
      <c r="A269" s="110">
        <v>5255950100</v>
      </c>
      <c r="B269" s="110" t="s">
        <v>415</v>
      </c>
    </row>
    <row r="270" spans="1:2" x14ac:dyDescent="0.2">
      <c r="A270" s="110">
        <v>5240050000</v>
      </c>
      <c r="B270" s="110" t="s">
        <v>416</v>
      </c>
    </row>
    <row r="271" spans="1:2" x14ac:dyDescent="0.2">
      <c r="A271" s="110">
        <v>5240200400</v>
      </c>
      <c r="B271" s="110" t="s">
        <v>416</v>
      </c>
    </row>
    <row r="272" spans="1:2" x14ac:dyDescent="0.2">
      <c r="A272" s="110">
        <v>5220050000</v>
      </c>
      <c r="B272" s="110" t="s">
        <v>417</v>
      </c>
    </row>
    <row r="273" spans="1:2" x14ac:dyDescent="0.2">
      <c r="A273" s="110">
        <v>5220100000</v>
      </c>
      <c r="B273" s="110" t="s">
        <v>417</v>
      </c>
    </row>
    <row r="274" spans="1:2" x14ac:dyDescent="0.2">
      <c r="A274" s="110">
        <v>5220100100</v>
      </c>
      <c r="B274" s="110" t="s">
        <v>417</v>
      </c>
    </row>
    <row r="275" spans="1:2" x14ac:dyDescent="0.2">
      <c r="A275" s="110">
        <v>5220950000</v>
      </c>
      <c r="B275" s="110" t="s">
        <v>417</v>
      </c>
    </row>
    <row r="278" spans="1:2" x14ac:dyDescent="0.2">
      <c r="B278" s="110" t="s">
        <v>418</v>
      </c>
    </row>
    <row r="279" spans="1:2" x14ac:dyDescent="0.2">
      <c r="A279" s="110">
        <v>5105060000</v>
      </c>
      <c r="B279" s="110" t="s">
        <v>419</v>
      </c>
    </row>
    <row r="280" spans="1:2" x14ac:dyDescent="0.2">
      <c r="A280" s="110">
        <v>5105150000</v>
      </c>
      <c r="B280" s="110" t="s">
        <v>419</v>
      </c>
    </row>
    <row r="281" spans="1:2" x14ac:dyDescent="0.2">
      <c r="A281" s="110">
        <v>5105360000</v>
      </c>
      <c r="B281" s="110" t="s">
        <v>420</v>
      </c>
    </row>
    <row r="282" spans="1:2" x14ac:dyDescent="0.2">
      <c r="A282" s="110">
        <v>5105390000</v>
      </c>
      <c r="B282" s="110" t="s">
        <v>420</v>
      </c>
    </row>
    <row r="283" spans="1:2" x14ac:dyDescent="0.2">
      <c r="A283" s="110">
        <v>5105600000</v>
      </c>
      <c r="B283" s="110" t="s">
        <v>420</v>
      </c>
    </row>
    <row r="284" spans="1:2" x14ac:dyDescent="0.2">
      <c r="A284" s="110">
        <v>5105690000</v>
      </c>
      <c r="B284" s="110" t="s">
        <v>420</v>
      </c>
    </row>
    <row r="285" spans="1:2" x14ac:dyDescent="0.2">
      <c r="A285" s="110">
        <v>5105700000</v>
      </c>
      <c r="B285" s="110" t="s">
        <v>420</v>
      </c>
    </row>
    <row r="286" spans="1:2" x14ac:dyDescent="0.2">
      <c r="A286" s="110">
        <v>5105780000</v>
      </c>
      <c r="B286" s="110" t="s">
        <v>420</v>
      </c>
    </row>
    <row r="287" spans="1:2" x14ac:dyDescent="0.2">
      <c r="A287" s="110">
        <v>5105950000</v>
      </c>
      <c r="B287" s="110" t="s">
        <v>420</v>
      </c>
    </row>
    <row r="288" spans="1:2" x14ac:dyDescent="0.2">
      <c r="A288" s="110">
        <v>5105180000</v>
      </c>
      <c r="B288" s="110" t="s">
        <v>421</v>
      </c>
    </row>
    <row r="289" spans="1:2" x14ac:dyDescent="0.2">
      <c r="A289" s="110">
        <v>5105630000</v>
      </c>
      <c r="B289" s="110" t="s">
        <v>422</v>
      </c>
    </row>
    <row r="290" spans="1:2" x14ac:dyDescent="0.2">
      <c r="A290" s="110">
        <v>5105391000</v>
      </c>
      <c r="B290" s="110" t="s">
        <v>423</v>
      </c>
    </row>
    <row r="291" spans="1:2" x14ac:dyDescent="0.2">
      <c r="A291" s="110">
        <v>5105691000</v>
      </c>
      <c r="B291" s="110" t="s">
        <v>423</v>
      </c>
    </row>
    <row r="292" spans="1:2" x14ac:dyDescent="0.2">
      <c r="A292" s="110">
        <v>5105701000</v>
      </c>
      <c r="B292" s="110" t="s">
        <v>423</v>
      </c>
    </row>
    <row r="293" spans="1:2" x14ac:dyDescent="0.2">
      <c r="A293" s="110">
        <v>5135050000</v>
      </c>
      <c r="B293" s="110" t="s">
        <v>397</v>
      </c>
    </row>
    <row r="294" spans="1:2" x14ac:dyDescent="0.2">
      <c r="A294" s="110">
        <v>5135150000</v>
      </c>
      <c r="B294" s="110" t="s">
        <v>397</v>
      </c>
    </row>
    <row r="295" spans="1:2" x14ac:dyDescent="0.2">
      <c r="A295" s="110">
        <v>5135200000</v>
      </c>
      <c r="B295" s="110" t="s">
        <v>397</v>
      </c>
    </row>
    <row r="296" spans="1:2" x14ac:dyDescent="0.2">
      <c r="A296" s="110">
        <v>5135950500</v>
      </c>
      <c r="B296" s="110" t="s">
        <v>397</v>
      </c>
    </row>
    <row r="297" spans="1:2" x14ac:dyDescent="0.2">
      <c r="A297" s="110">
        <v>5120100000</v>
      </c>
      <c r="B297" s="110" t="s">
        <v>424</v>
      </c>
    </row>
    <row r="298" spans="1:2" x14ac:dyDescent="0.2">
      <c r="A298" s="110">
        <v>5105660000</v>
      </c>
      <c r="B298" s="110" t="s">
        <v>425</v>
      </c>
    </row>
    <row r="299" spans="1:2" x14ac:dyDescent="0.2">
      <c r="A299" s="110">
        <v>5155960000</v>
      </c>
      <c r="B299" s="110" t="s">
        <v>425</v>
      </c>
    </row>
    <row r="300" spans="1:2" x14ac:dyDescent="0.2">
      <c r="A300" s="110">
        <v>5195950300</v>
      </c>
      <c r="B300" s="110" t="s">
        <v>426</v>
      </c>
    </row>
    <row r="301" spans="1:2" x14ac:dyDescent="0.2">
      <c r="A301" s="110">
        <v>5110100000</v>
      </c>
      <c r="B301" s="110" t="s">
        <v>427</v>
      </c>
    </row>
    <row r="302" spans="1:2" x14ac:dyDescent="0.2">
      <c r="A302" s="110">
        <v>5110200000</v>
      </c>
      <c r="B302" s="110" t="s">
        <v>427</v>
      </c>
    </row>
    <row r="303" spans="1:2" x14ac:dyDescent="0.2">
      <c r="A303" s="110">
        <v>5110250000</v>
      </c>
      <c r="B303" s="110" t="s">
        <v>427</v>
      </c>
    </row>
    <row r="304" spans="1:2" x14ac:dyDescent="0.2">
      <c r="A304" s="110">
        <v>5110300000</v>
      </c>
      <c r="B304" s="110" t="s">
        <v>427</v>
      </c>
    </row>
    <row r="305" spans="1:2" x14ac:dyDescent="0.2">
      <c r="A305" s="110">
        <v>5110350000</v>
      </c>
      <c r="B305" s="110" t="s">
        <v>427</v>
      </c>
    </row>
    <row r="306" spans="1:2" x14ac:dyDescent="0.2">
      <c r="A306" s="110">
        <v>5110950000</v>
      </c>
      <c r="B306" s="110" t="s">
        <v>427</v>
      </c>
    </row>
    <row r="307" spans="1:2" x14ac:dyDescent="0.2">
      <c r="A307" s="110">
        <v>5130</v>
      </c>
      <c r="B307" s="110" t="s">
        <v>428</v>
      </c>
    </row>
    <row r="308" spans="1:2" x14ac:dyDescent="0.2">
      <c r="A308" s="110">
        <v>5145400000</v>
      </c>
      <c r="B308" s="110" t="s">
        <v>429</v>
      </c>
    </row>
    <row r="309" spans="1:2" x14ac:dyDescent="0.2">
      <c r="A309" s="110">
        <v>5195350000</v>
      </c>
      <c r="B309" s="110" t="s">
        <v>429</v>
      </c>
    </row>
    <row r="310" spans="1:2" x14ac:dyDescent="0.2">
      <c r="A310" s="110">
        <v>5195300000</v>
      </c>
      <c r="B310" s="110" t="s">
        <v>409</v>
      </c>
    </row>
    <row r="311" spans="1:2" x14ac:dyDescent="0.2">
      <c r="A311" s="110">
        <v>5135350000</v>
      </c>
      <c r="B311" s="110" t="s">
        <v>430</v>
      </c>
    </row>
    <row r="312" spans="1:2" x14ac:dyDescent="0.2">
      <c r="A312" s="110">
        <v>5145050000</v>
      </c>
      <c r="B312" s="110" t="s">
        <v>431</v>
      </c>
    </row>
    <row r="313" spans="1:2" x14ac:dyDescent="0.2">
      <c r="A313" s="110">
        <v>5145100000</v>
      </c>
      <c r="B313" s="110" t="s">
        <v>431</v>
      </c>
    </row>
    <row r="314" spans="1:2" x14ac:dyDescent="0.2">
      <c r="A314" s="110">
        <v>5145200000</v>
      </c>
      <c r="B314" s="110" t="s">
        <v>431</v>
      </c>
    </row>
    <row r="315" spans="1:2" x14ac:dyDescent="0.2">
      <c r="A315" s="110">
        <v>5145250000</v>
      </c>
      <c r="B315" s="110" t="s">
        <v>431</v>
      </c>
    </row>
    <row r="316" spans="1:2" x14ac:dyDescent="0.2">
      <c r="A316" s="110">
        <v>5150050000</v>
      </c>
      <c r="B316" s="110" t="s">
        <v>431</v>
      </c>
    </row>
    <row r="317" spans="1:2" x14ac:dyDescent="0.2">
      <c r="A317" s="110">
        <v>5150100000</v>
      </c>
      <c r="B317" s="110" t="s">
        <v>431</v>
      </c>
    </row>
    <row r="318" spans="1:2" x14ac:dyDescent="0.2">
      <c r="A318" s="110">
        <v>5150150000</v>
      </c>
      <c r="B318" s="110" t="s">
        <v>431</v>
      </c>
    </row>
    <row r="319" spans="1:2" x14ac:dyDescent="0.2">
      <c r="A319" s="110">
        <v>5150950000</v>
      </c>
      <c r="B319" s="110" t="s">
        <v>431</v>
      </c>
    </row>
    <row r="320" spans="1:2" x14ac:dyDescent="0.2">
      <c r="A320" s="110">
        <v>5195150000</v>
      </c>
      <c r="B320" s="110" t="s">
        <v>431</v>
      </c>
    </row>
    <row r="321" spans="1:2" x14ac:dyDescent="0.2">
      <c r="A321" s="110">
        <v>5195250000</v>
      </c>
      <c r="B321" s="110" t="s">
        <v>431</v>
      </c>
    </row>
    <row r="322" spans="1:2" x14ac:dyDescent="0.2">
      <c r="A322" s="110">
        <v>5195400000</v>
      </c>
      <c r="B322" s="110" t="s">
        <v>431</v>
      </c>
    </row>
    <row r="323" spans="1:2" x14ac:dyDescent="0.2">
      <c r="A323" s="124">
        <v>5140050000</v>
      </c>
      <c r="B323" s="110" t="s">
        <v>432</v>
      </c>
    </row>
    <row r="324" spans="1:2" x14ac:dyDescent="0.2">
      <c r="A324" s="124">
        <v>5140100000</v>
      </c>
      <c r="B324" s="110" t="s">
        <v>433</v>
      </c>
    </row>
    <row r="325" spans="1:2" x14ac:dyDescent="0.2">
      <c r="A325" s="110">
        <v>5105210000</v>
      </c>
      <c r="B325" s="110" t="s">
        <v>434</v>
      </c>
    </row>
    <row r="326" spans="1:2" x14ac:dyDescent="0.2">
      <c r="A326" s="110">
        <v>5155050000</v>
      </c>
      <c r="B326" s="110" t="s">
        <v>434</v>
      </c>
    </row>
    <row r="327" spans="1:2" x14ac:dyDescent="0.2">
      <c r="A327" s="110">
        <v>5155060000</v>
      </c>
      <c r="B327" s="110" t="s">
        <v>434</v>
      </c>
    </row>
    <row r="328" spans="1:2" x14ac:dyDescent="0.2">
      <c r="A328" s="110">
        <v>5155150000</v>
      </c>
      <c r="B328" s="110" t="s">
        <v>434</v>
      </c>
    </row>
    <row r="329" spans="1:2" x14ac:dyDescent="0.2">
      <c r="A329" s="110">
        <v>5155200000</v>
      </c>
      <c r="B329" s="110" t="s">
        <v>434</v>
      </c>
    </row>
    <row r="330" spans="1:2" x14ac:dyDescent="0.2">
      <c r="A330" s="110">
        <v>5155950000</v>
      </c>
      <c r="B330" s="110" t="s">
        <v>434</v>
      </c>
    </row>
    <row r="332" spans="1:2" x14ac:dyDescent="0.2">
      <c r="B332" s="110" t="s">
        <v>435</v>
      </c>
    </row>
    <row r="333" spans="1:2" x14ac:dyDescent="0.2">
      <c r="A333" s="110">
        <v>5135950300</v>
      </c>
      <c r="B333" s="110" t="s">
        <v>436</v>
      </c>
    </row>
    <row r="334" spans="1:2" x14ac:dyDescent="0.2">
      <c r="A334" s="110">
        <v>5198530000</v>
      </c>
      <c r="B334" s="110" t="s">
        <v>436</v>
      </c>
    </row>
    <row r="335" spans="1:2" x14ac:dyDescent="0.2">
      <c r="A335" s="110">
        <v>5398050000</v>
      </c>
      <c r="B335" s="110" t="s">
        <v>436</v>
      </c>
    </row>
    <row r="336" spans="1:2" x14ac:dyDescent="0.2">
      <c r="A336" s="110">
        <v>5398210000</v>
      </c>
      <c r="B336" s="110" t="s">
        <v>437</v>
      </c>
    </row>
    <row r="337" spans="1:2" x14ac:dyDescent="0.2">
      <c r="A337" s="110">
        <v>5110358000</v>
      </c>
      <c r="B337" s="110" t="s">
        <v>438</v>
      </c>
    </row>
    <row r="338" spans="1:2" x14ac:dyDescent="0.2">
      <c r="A338" s="110">
        <v>5210358000</v>
      </c>
      <c r="B338" s="110" t="s">
        <v>438</v>
      </c>
    </row>
    <row r="340" spans="1:2" x14ac:dyDescent="0.2">
      <c r="B340" s="110" t="s">
        <v>439</v>
      </c>
    </row>
    <row r="341" spans="1:2" x14ac:dyDescent="0.2">
      <c r="A341" s="110">
        <v>4210200100</v>
      </c>
      <c r="B341" s="110" t="s">
        <v>440</v>
      </c>
    </row>
    <row r="342" spans="1:2" x14ac:dyDescent="0.2">
      <c r="A342" s="110">
        <v>4210200200</v>
      </c>
      <c r="B342" s="110" t="s">
        <v>440</v>
      </c>
    </row>
    <row r="343" spans="1:2" x14ac:dyDescent="0.2">
      <c r="A343" s="110">
        <v>4210200400</v>
      </c>
      <c r="B343" s="110" t="s">
        <v>441</v>
      </c>
    </row>
    <row r="344" spans="1:2" x14ac:dyDescent="0.2">
      <c r="A344" s="110">
        <v>4210200500</v>
      </c>
      <c r="B344" s="110" t="s">
        <v>441</v>
      </c>
    </row>
    <row r="345" spans="1:2" x14ac:dyDescent="0.2">
      <c r="A345" s="110">
        <v>4210200501</v>
      </c>
      <c r="B345" s="110" t="s">
        <v>441</v>
      </c>
    </row>
    <row r="346" spans="1:2" x14ac:dyDescent="0.2">
      <c r="A346" s="110">
        <v>4210201000</v>
      </c>
      <c r="B346" s="110" t="s">
        <v>441</v>
      </c>
    </row>
    <row r="347" spans="1:2" x14ac:dyDescent="0.2">
      <c r="A347" s="110">
        <v>4210201001</v>
      </c>
      <c r="B347" s="110" t="s">
        <v>441</v>
      </c>
    </row>
    <row r="348" spans="1:2" x14ac:dyDescent="0.2">
      <c r="A348" s="110">
        <v>4210201100</v>
      </c>
      <c r="B348" s="110" t="s">
        <v>441</v>
      </c>
    </row>
    <row r="349" spans="1:2" x14ac:dyDescent="0.2">
      <c r="A349" s="110">
        <v>4210051000</v>
      </c>
      <c r="B349" s="110" t="s">
        <v>442</v>
      </c>
    </row>
    <row r="350" spans="1:2" x14ac:dyDescent="0.2">
      <c r="A350" s="110">
        <v>4210201000</v>
      </c>
      <c r="B350" s="110" t="s">
        <v>442</v>
      </c>
    </row>
    <row r="351" spans="1:2" x14ac:dyDescent="0.2">
      <c r="A351" s="110">
        <v>4210400000</v>
      </c>
      <c r="B351" s="110" t="s">
        <v>442</v>
      </c>
    </row>
    <row r="352" spans="1:2" x14ac:dyDescent="0.2">
      <c r="A352" s="110">
        <v>4245010000</v>
      </c>
      <c r="B352" s="110" t="s">
        <v>442</v>
      </c>
    </row>
    <row r="353" spans="1:2" x14ac:dyDescent="0.2">
      <c r="A353" s="110">
        <v>4250500100</v>
      </c>
      <c r="B353" s="110" t="s">
        <v>442</v>
      </c>
    </row>
    <row r="354" spans="1:2" x14ac:dyDescent="0.2">
      <c r="A354" s="110">
        <v>4250500200</v>
      </c>
      <c r="B354" s="110" t="s">
        <v>442</v>
      </c>
    </row>
    <row r="355" spans="1:2" x14ac:dyDescent="0.2">
      <c r="A355" s="110">
        <v>4250500300</v>
      </c>
      <c r="B355" s="110" t="s">
        <v>442</v>
      </c>
    </row>
    <row r="356" spans="1:2" x14ac:dyDescent="0.2">
      <c r="A356" s="110">
        <v>4250506600</v>
      </c>
      <c r="B356" s="110" t="s">
        <v>442</v>
      </c>
    </row>
    <row r="357" spans="1:2" x14ac:dyDescent="0.2">
      <c r="A357" s="110">
        <v>4255200000</v>
      </c>
      <c r="B357" s="110" t="s">
        <v>442</v>
      </c>
    </row>
    <row r="358" spans="1:2" x14ac:dyDescent="0.2">
      <c r="A358" s="110">
        <v>4295050000</v>
      </c>
      <c r="B358" s="110" t="s">
        <v>442</v>
      </c>
    </row>
    <row r="359" spans="1:2" x14ac:dyDescent="0.2">
      <c r="A359" s="110">
        <v>4295810000</v>
      </c>
      <c r="B359" s="110" t="s">
        <v>442</v>
      </c>
    </row>
    <row r="361" spans="1:2" x14ac:dyDescent="0.2">
      <c r="B361" s="110" t="s">
        <v>443</v>
      </c>
    </row>
    <row r="362" spans="1:2" x14ac:dyDescent="0.2">
      <c r="A362" s="110">
        <v>5305350000</v>
      </c>
      <c r="B362" s="110" t="s">
        <v>444</v>
      </c>
    </row>
    <row r="363" spans="1:2" x14ac:dyDescent="0.2">
      <c r="A363" s="110">
        <v>5310150000</v>
      </c>
      <c r="B363" s="110" t="s">
        <v>444</v>
      </c>
    </row>
    <row r="364" spans="1:2" x14ac:dyDescent="0.2">
      <c r="A364" s="110">
        <v>5310300000</v>
      </c>
      <c r="B364" s="110" t="s">
        <v>444</v>
      </c>
    </row>
    <row r="365" spans="1:2" x14ac:dyDescent="0.2">
      <c r="A365" s="110">
        <v>5310350000</v>
      </c>
      <c r="B365" s="110" t="s">
        <v>444</v>
      </c>
    </row>
    <row r="366" spans="1:2" x14ac:dyDescent="0.2">
      <c r="A366" s="110">
        <v>5313050000</v>
      </c>
      <c r="B366" s="110" t="s">
        <v>444</v>
      </c>
    </row>
    <row r="367" spans="1:2" x14ac:dyDescent="0.2">
      <c r="A367" s="110">
        <v>5315150200</v>
      </c>
      <c r="B367" s="110" t="s">
        <v>444</v>
      </c>
    </row>
    <row r="368" spans="1:2" x14ac:dyDescent="0.2">
      <c r="A368" s="110">
        <v>5315160000</v>
      </c>
      <c r="B368" s="110" t="s">
        <v>444</v>
      </c>
    </row>
    <row r="369" spans="1:3" x14ac:dyDescent="0.2">
      <c r="A369" s="110">
        <v>5315200000</v>
      </c>
      <c r="B369" s="110" t="s">
        <v>444</v>
      </c>
    </row>
    <row r="370" spans="1:3" x14ac:dyDescent="0.2">
      <c r="A370" s="110">
        <v>5315200100</v>
      </c>
      <c r="B370" s="110" t="s">
        <v>444</v>
      </c>
    </row>
    <row r="371" spans="1:3" x14ac:dyDescent="0.2">
      <c r="A371" s="110">
        <v>5315950000</v>
      </c>
      <c r="B371" s="110" t="s">
        <v>444</v>
      </c>
    </row>
    <row r="372" spans="1:3" x14ac:dyDescent="0.2">
      <c r="A372" s="110">
        <v>5395200000</v>
      </c>
      <c r="B372" s="110" t="s">
        <v>444</v>
      </c>
    </row>
    <row r="373" spans="1:3" x14ac:dyDescent="0.2">
      <c r="A373" s="110">
        <v>5395300000</v>
      </c>
      <c r="B373" s="110" t="s">
        <v>444</v>
      </c>
    </row>
    <row r="374" spans="1:3" x14ac:dyDescent="0.2">
      <c r="A374" s="110">
        <v>5395950000</v>
      </c>
      <c r="B374" s="110" t="s">
        <v>444</v>
      </c>
    </row>
    <row r="375" spans="1:3" x14ac:dyDescent="0.2">
      <c r="A375" s="110">
        <v>5305250500</v>
      </c>
      <c r="B375" s="110" t="s">
        <v>445</v>
      </c>
    </row>
    <row r="376" spans="1:3" x14ac:dyDescent="0.2">
      <c r="A376" s="110">
        <v>5305050000</v>
      </c>
      <c r="B376" s="110" t="s">
        <v>446</v>
      </c>
      <c r="C376" s="110">
        <v>5305050000</v>
      </c>
    </row>
    <row r="377" spans="1:3" x14ac:dyDescent="0.2">
      <c r="A377" s="110">
        <v>5305150000</v>
      </c>
      <c r="B377" s="110" t="s">
        <v>446</v>
      </c>
      <c r="C377" s="110">
        <v>5305200100</v>
      </c>
    </row>
    <row r="378" spans="1:3" x14ac:dyDescent="0.2">
      <c r="A378" s="110">
        <v>5305200100</v>
      </c>
      <c r="B378" s="110" t="s">
        <v>446</v>
      </c>
      <c r="C378" s="110">
        <v>5305202200</v>
      </c>
    </row>
    <row r="379" spans="1:3" x14ac:dyDescent="0.2">
      <c r="A379" s="110">
        <v>5305200200</v>
      </c>
      <c r="B379" s="110" t="s">
        <v>446</v>
      </c>
      <c r="C379" s="110">
        <v>5305150000</v>
      </c>
    </row>
    <row r="380" spans="1:3" x14ac:dyDescent="0.2">
      <c r="A380" s="110">
        <v>5305200300</v>
      </c>
      <c r="B380" s="110" t="s">
        <v>446</v>
      </c>
      <c r="C380" s="110">
        <v>5305200101</v>
      </c>
    </row>
    <row r="381" spans="1:3" x14ac:dyDescent="0.2">
      <c r="A381" s="110">
        <v>5305200400</v>
      </c>
      <c r="B381" s="110" t="s">
        <v>446</v>
      </c>
    </row>
    <row r="382" spans="1:3" x14ac:dyDescent="0.2">
      <c r="A382" s="110">
        <v>5305950000</v>
      </c>
      <c r="B382" s="110" t="s">
        <v>446</v>
      </c>
    </row>
    <row r="383" spans="1:3" x14ac:dyDescent="0.2">
      <c r="A383" s="110">
        <v>5315150000</v>
      </c>
      <c r="B383" s="110" t="s">
        <v>446</v>
      </c>
    </row>
    <row r="385" spans="1:2" x14ac:dyDescent="0.2">
      <c r="A385" s="110">
        <v>5405050100</v>
      </c>
      <c r="B385" s="110" t="s">
        <v>447</v>
      </c>
    </row>
    <row r="389" spans="1:2" x14ac:dyDescent="0.2">
      <c r="B389" s="110" t="s">
        <v>368</v>
      </c>
    </row>
    <row r="390" spans="1:2" x14ac:dyDescent="0.2">
      <c r="A390" s="110">
        <v>5205180100</v>
      </c>
      <c r="B390" s="110" t="s">
        <v>384</v>
      </c>
    </row>
    <row r="391" spans="1:2" x14ac:dyDescent="0.2">
      <c r="A391" s="110">
        <v>5205361000</v>
      </c>
      <c r="B391" s="110" t="s">
        <v>386</v>
      </c>
    </row>
    <row r="392" spans="1:2" x14ac:dyDescent="0.2">
      <c r="A392" s="110">
        <v>5205391000</v>
      </c>
      <c r="B392" s="110" t="s">
        <v>386</v>
      </c>
    </row>
    <row r="393" spans="1:2" x14ac:dyDescent="0.2">
      <c r="A393" s="110">
        <v>5205422000</v>
      </c>
      <c r="B393" s="110" t="s">
        <v>386</v>
      </c>
    </row>
    <row r="394" spans="1:2" x14ac:dyDescent="0.2">
      <c r="A394" s="110">
        <v>5205691000</v>
      </c>
      <c r="B394" s="110" t="s">
        <v>386</v>
      </c>
    </row>
    <row r="395" spans="1:2" x14ac:dyDescent="0.2">
      <c r="A395" s="110">
        <v>5205701000</v>
      </c>
      <c r="B395" s="110" t="s">
        <v>386</v>
      </c>
    </row>
    <row r="396" spans="1:2" x14ac:dyDescent="0.2">
      <c r="A396" s="110">
        <v>5205060100</v>
      </c>
      <c r="B396" s="110" t="s">
        <v>403</v>
      </c>
    </row>
    <row r="397" spans="1:2" x14ac:dyDescent="0.2">
      <c r="A397" s="110">
        <v>5205150100</v>
      </c>
      <c r="B397" s="110" t="s">
        <v>403</v>
      </c>
    </row>
    <row r="398" spans="1:2" x14ac:dyDescent="0.2">
      <c r="A398" s="110">
        <v>5205360100</v>
      </c>
      <c r="B398" s="110" t="s">
        <v>404</v>
      </c>
    </row>
    <row r="399" spans="1:2" x14ac:dyDescent="0.2">
      <c r="A399" s="110">
        <v>5205390100</v>
      </c>
      <c r="B399" s="110" t="s">
        <v>404</v>
      </c>
    </row>
    <row r="400" spans="1:2" x14ac:dyDescent="0.2">
      <c r="A400" s="110">
        <v>5205600100</v>
      </c>
      <c r="B400" s="110" t="s">
        <v>404</v>
      </c>
    </row>
    <row r="401" spans="1:2" x14ac:dyDescent="0.2">
      <c r="A401" s="110">
        <v>5205690100</v>
      </c>
      <c r="B401" s="110" t="s">
        <v>404</v>
      </c>
    </row>
    <row r="402" spans="1:2" x14ac:dyDescent="0.2">
      <c r="A402" s="110">
        <v>5205700100</v>
      </c>
      <c r="B402" s="110" t="s">
        <v>404</v>
      </c>
    </row>
    <row r="403" spans="1:2" x14ac:dyDescent="0.2">
      <c r="A403" s="110">
        <v>5205700100</v>
      </c>
      <c r="B403" s="110" t="s">
        <v>404</v>
      </c>
    </row>
    <row r="404" spans="1:2" x14ac:dyDescent="0.2">
      <c r="A404" s="110">
        <v>5205700200</v>
      </c>
      <c r="B404" s="110" t="s">
        <v>404</v>
      </c>
    </row>
    <row r="405" spans="1:2" x14ac:dyDescent="0.2">
      <c r="A405" s="110">
        <v>5205780100</v>
      </c>
      <c r="B405" s="110" t="s">
        <v>404</v>
      </c>
    </row>
    <row r="406" spans="1:2" x14ac:dyDescent="0.2">
      <c r="A406" s="110">
        <v>5105060000</v>
      </c>
      <c r="B406" s="110" t="s">
        <v>419</v>
      </c>
    </row>
    <row r="407" spans="1:2" x14ac:dyDescent="0.2">
      <c r="A407" s="110">
        <v>5105150000</v>
      </c>
      <c r="B407" s="110" t="s">
        <v>419</v>
      </c>
    </row>
    <row r="408" spans="1:2" x14ac:dyDescent="0.2">
      <c r="A408" s="110">
        <v>5105360000</v>
      </c>
      <c r="B408" s="110" t="s">
        <v>420</v>
      </c>
    </row>
    <row r="409" spans="1:2" x14ac:dyDescent="0.2">
      <c r="A409" s="110">
        <v>5105390000</v>
      </c>
      <c r="B409" s="110" t="s">
        <v>420</v>
      </c>
    </row>
    <row r="410" spans="1:2" x14ac:dyDescent="0.2">
      <c r="A410" s="110">
        <v>5105600000</v>
      </c>
      <c r="B410" s="110" t="s">
        <v>420</v>
      </c>
    </row>
    <row r="411" spans="1:2" x14ac:dyDescent="0.2">
      <c r="A411" s="110">
        <v>5105690000</v>
      </c>
      <c r="B411" s="110" t="s">
        <v>420</v>
      </c>
    </row>
    <row r="412" spans="1:2" x14ac:dyDescent="0.2">
      <c r="A412" s="110">
        <v>5105700000</v>
      </c>
      <c r="B412" s="110" t="s">
        <v>420</v>
      </c>
    </row>
    <row r="413" spans="1:2" x14ac:dyDescent="0.2">
      <c r="A413" s="110">
        <v>5105780000</v>
      </c>
      <c r="B413" s="110" t="s">
        <v>420</v>
      </c>
    </row>
    <row r="414" spans="1:2" x14ac:dyDescent="0.2">
      <c r="A414" s="110">
        <v>5105950000</v>
      </c>
      <c r="B414" s="110" t="s">
        <v>420</v>
      </c>
    </row>
    <row r="415" spans="1:2" x14ac:dyDescent="0.2">
      <c r="A415" s="110">
        <v>5105180000</v>
      </c>
      <c r="B415" s="110" t="s">
        <v>421</v>
      </c>
    </row>
    <row r="416" spans="1:2" x14ac:dyDescent="0.2">
      <c r="A416" s="110">
        <v>5105391000</v>
      </c>
      <c r="B416" s="110" t="s">
        <v>423</v>
      </c>
    </row>
    <row r="417" spans="1:3" x14ac:dyDescent="0.2">
      <c r="A417" s="110">
        <v>5105691000</v>
      </c>
      <c r="B417" s="110" t="s">
        <v>423</v>
      </c>
    </row>
    <row r="418" spans="1:3" x14ac:dyDescent="0.2">
      <c r="A418" s="110">
        <v>5105701000</v>
      </c>
      <c r="B418" s="110" t="s">
        <v>423</v>
      </c>
    </row>
    <row r="421" spans="1:3" x14ac:dyDescent="0.2">
      <c r="A421" s="110">
        <v>5160100000</v>
      </c>
      <c r="B421" s="110" t="s">
        <v>448</v>
      </c>
      <c r="C421" s="110" t="s">
        <v>449</v>
      </c>
    </row>
    <row r="427" spans="1:3" x14ac:dyDescent="0.2">
      <c r="A427" s="111" t="s">
        <v>450</v>
      </c>
    </row>
    <row r="428" spans="1:3" x14ac:dyDescent="0.2">
      <c r="A428" s="110">
        <v>1105050100</v>
      </c>
      <c r="B428" s="110" t="s">
        <v>451</v>
      </c>
      <c r="C428" s="112">
        <v>153078</v>
      </c>
    </row>
    <row r="429" spans="1:3" x14ac:dyDescent="0.2">
      <c r="A429" s="110">
        <v>1105100200</v>
      </c>
      <c r="B429" s="110" t="s">
        <v>452</v>
      </c>
      <c r="C429" s="112">
        <v>7650000</v>
      </c>
    </row>
    <row r="430" spans="1:3" x14ac:dyDescent="0.2">
      <c r="A430" s="110">
        <v>1110050101</v>
      </c>
      <c r="B430" s="110" t="s">
        <v>453</v>
      </c>
      <c r="C430" s="112">
        <v>87094833.519999996</v>
      </c>
    </row>
    <row r="431" spans="1:3" x14ac:dyDescent="0.2">
      <c r="A431" s="110">
        <v>1110050106</v>
      </c>
      <c r="B431" s="110" t="s">
        <v>454</v>
      </c>
      <c r="C431" s="112">
        <v>4020934.46</v>
      </c>
    </row>
    <row r="432" spans="1:3" x14ac:dyDescent="0.2">
      <c r="A432" s="110">
        <v>1110050108</v>
      </c>
      <c r="B432" s="110" t="s">
        <v>455</v>
      </c>
      <c r="C432" s="112">
        <v>2182803.0099999998</v>
      </c>
    </row>
    <row r="433" spans="1:3" x14ac:dyDescent="0.2">
      <c r="A433" s="110">
        <v>1110050110</v>
      </c>
      <c r="B433" s="110" t="s">
        <v>456</v>
      </c>
      <c r="C433" s="112">
        <v>562187.67000000004</v>
      </c>
    </row>
    <row r="434" spans="1:3" x14ac:dyDescent="0.2">
      <c r="A434" s="110">
        <v>1110050111</v>
      </c>
      <c r="B434" s="110" t="s">
        <v>457</v>
      </c>
      <c r="C434" s="112">
        <v>4855691.87</v>
      </c>
    </row>
    <row r="435" spans="1:3" x14ac:dyDescent="0.2">
      <c r="A435" s="110">
        <v>1110100101</v>
      </c>
      <c r="B435" s="110" t="s">
        <v>458</v>
      </c>
      <c r="C435" s="112">
        <v>6300643.9299999997</v>
      </c>
    </row>
    <row r="436" spans="1:3" x14ac:dyDescent="0.2">
      <c r="A436" s="110">
        <v>1125100200</v>
      </c>
      <c r="B436" s="110" t="s">
        <v>459</v>
      </c>
      <c r="C436" s="112">
        <v>1355004.36</v>
      </c>
    </row>
    <row r="437" spans="1:3" x14ac:dyDescent="0.2">
      <c r="A437" s="110">
        <v>1130050100</v>
      </c>
      <c r="B437" s="110" t="s">
        <v>460</v>
      </c>
      <c r="C437" s="112">
        <v>377428.44</v>
      </c>
    </row>
    <row r="438" spans="1:3" x14ac:dyDescent="0.2">
      <c r="A438" s="111"/>
      <c r="C438" s="112">
        <f>SUM(C428:C437)</f>
        <v>114552605.26000001</v>
      </c>
    </row>
    <row r="439" spans="1:3" x14ac:dyDescent="0.2">
      <c r="A439" s="111"/>
    </row>
    <row r="440" spans="1:3" x14ac:dyDescent="0.2">
      <c r="A440" s="110">
        <v>1101</v>
      </c>
      <c r="B440" s="110" t="s">
        <v>461</v>
      </c>
    </row>
    <row r="441" spans="1:3" x14ac:dyDescent="0.2">
      <c r="A441" s="110">
        <v>1102</v>
      </c>
      <c r="B441" s="110" t="s">
        <v>462</v>
      </c>
    </row>
    <row r="442" spans="1:3" x14ac:dyDescent="0.2">
      <c r="A442" s="110">
        <v>1103</v>
      </c>
      <c r="B442" s="110" t="s">
        <v>463</v>
      </c>
    </row>
    <row r="443" spans="1:3" x14ac:dyDescent="0.2">
      <c r="A443" s="110">
        <v>1104</v>
      </c>
      <c r="B443" s="110" t="s">
        <v>464</v>
      </c>
    </row>
    <row r="444" spans="1:3" x14ac:dyDescent="0.2">
      <c r="A444" s="110" t="s">
        <v>465</v>
      </c>
      <c r="B444" s="110" t="s">
        <v>466</v>
      </c>
    </row>
    <row r="445" spans="1:3" x14ac:dyDescent="0.2">
      <c r="A445" s="110">
        <v>1106</v>
      </c>
      <c r="B445" s="110" t="s">
        <v>467</v>
      </c>
    </row>
    <row r="446" spans="1:3" x14ac:dyDescent="0.2">
      <c r="B446" s="110" t="s">
        <v>468</v>
      </c>
    </row>
    <row r="448" spans="1:3" x14ac:dyDescent="0.2">
      <c r="B448" s="110" t="s">
        <v>469</v>
      </c>
    </row>
    <row r="450" spans="1:2" x14ac:dyDescent="0.2">
      <c r="B450" s="110" t="s">
        <v>84</v>
      </c>
    </row>
    <row r="451" spans="1:2" x14ac:dyDescent="0.2">
      <c r="A451" s="110">
        <v>1201</v>
      </c>
      <c r="B451" s="110" t="s">
        <v>470</v>
      </c>
    </row>
    <row r="452" spans="1:2" x14ac:dyDescent="0.2">
      <c r="A452" s="110">
        <v>1202</v>
      </c>
      <c r="B452" s="110" t="s">
        <v>471</v>
      </c>
    </row>
    <row r="453" spans="1:2" x14ac:dyDescent="0.2">
      <c r="A453" s="110">
        <v>1203</v>
      </c>
      <c r="B453" s="110" t="s">
        <v>472</v>
      </c>
    </row>
    <row r="454" spans="1:2" x14ac:dyDescent="0.2">
      <c r="A454" s="110">
        <v>1204</v>
      </c>
      <c r="B454" s="110" t="s">
        <v>473</v>
      </c>
    </row>
    <row r="455" spans="1:2" x14ac:dyDescent="0.2">
      <c r="A455" s="110">
        <v>1205</v>
      </c>
      <c r="B455" s="110" t="s">
        <v>474</v>
      </c>
    </row>
    <row r="456" spans="1:2" x14ac:dyDescent="0.2">
      <c r="A456" s="110">
        <v>1206</v>
      </c>
      <c r="B456" s="110" t="s">
        <v>475</v>
      </c>
    </row>
    <row r="458" spans="1:2" x14ac:dyDescent="0.2">
      <c r="B458" s="110" t="s">
        <v>476</v>
      </c>
    </row>
    <row r="460" spans="1:2" x14ac:dyDescent="0.2">
      <c r="B460" s="110" t="s">
        <v>477</v>
      </c>
    </row>
    <row r="461" spans="1:2" x14ac:dyDescent="0.2">
      <c r="A461" s="110">
        <v>1208</v>
      </c>
      <c r="B461" s="110" t="s">
        <v>478</v>
      </c>
    </row>
    <row r="463" spans="1:2" x14ac:dyDescent="0.2">
      <c r="B463" s="110" t="s">
        <v>85</v>
      </c>
    </row>
    <row r="464" spans="1:2" x14ac:dyDescent="0.2">
      <c r="A464" s="110" t="s">
        <v>479</v>
      </c>
      <c r="B464" s="110" t="s">
        <v>480</v>
      </c>
    </row>
    <row r="465" spans="1:2" x14ac:dyDescent="0.2">
      <c r="A465" s="110">
        <v>1210</v>
      </c>
      <c r="B465" s="110" t="s">
        <v>481</v>
      </c>
    </row>
    <row r="466" spans="1:2" x14ac:dyDescent="0.2">
      <c r="A466" s="110">
        <v>1211</v>
      </c>
      <c r="B466" s="110" t="s">
        <v>482</v>
      </c>
    </row>
    <row r="467" spans="1:2" x14ac:dyDescent="0.2">
      <c r="A467" s="110">
        <v>1212</v>
      </c>
      <c r="B467" s="110" t="s">
        <v>483</v>
      </c>
    </row>
    <row r="468" spans="1:2" x14ac:dyDescent="0.2">
      <c r="B468" s="110" t="s">
        <v>484</v>
      </c>
    </row>
    <row r="470" spans="1:2" x14ac:dyDescent="0.2">
      <c r="B470" s="110" t="s">
        <v>86</v>
      </c>
    </row>
    <row r="471" spans="1:2" x14ac:dyDescent="0.2">
      <c r="A471" s="110">
        <v>1214</v>
      </c>
      <c r="B471" s="110" t="s">
        <v>485</v>
      </c>
    </row>
    <row r="472" spans="1:2" x14ac:dyDescent="0.2">
      <c r="A472" s="110">
        <v>1242</v>
      </c>
      <c r="B472" s="110" t="s">
        <v>486</v>
      </c>
    </row>
    <row r="473" spans="1:2" x14ac:dyDescent="0.2">
      <c r="A473" s="110">
        <v>1243</v>
      </c>
      <c r="B473" s="110" t="s">
        <v>487</v>
      </c>
    </row>
    <row r="474" spans="1:2" x14ac:dyDescent="0.2">
      <c r="A474" s="110">
        <v>1244</v>
      </c>
      <c r="B474" s="110" t="s">
        <v>488</v>
      </c>
    </row>
    <row r="475" spans="1:2" x14ac:dyDescent="0.2">
      <c r="A475" s="110">
        <v>1245</v>
      </c>
      <c r="B475" s="110" t="s">
        <v>489</v>
      </c>
    </row>
    <row r="476" spans="1:2" x14ac:dyDescent="0.2">
      <c r="A476" s="110">
        <v>1246</v>
      </c>
      <c r="B476" s="110" t="s">
        <v>490</v>
      </c>
    </row>
    <row r="477" spans="1:2" x14ac:dyDescent="0.2">
      <c r="A477" s="110">
        <v>1215</v>
      </c>
      <c r="B477" s="110" t="s">
        <v>491</v>
      </c>
    </row>
    <row r="478" spans="1:2" x14ac:dyDescent="0.2">
      <c r="A478" s="110">
        <v>1216</v>
      </c>
      <c r="B478" s="110" t="s">
        <v>492</v>
      </c>
    </row>
    <row r="479" spans="1:2" x14ac:dyDescent="0.2">
      <c r="A479" s="110">
        <v>1217</v>
      </c>
      <c r="B479" s="110" t="s">
        <v>493</v>
      </c>
    </row>
    <row r="480" spans="1:2" x14ac:dyDescent="0.2">
      <c r="A480" s="110">
        <v>1218</v>
      </c>
      <c r="B480" s="110" t="s">
        <v>494</v>
      </c>
    </row>
    <row r="481" spans="1:2" x14ac:dyDescent="0.2">
      <c r="A481" s="110">
        <v>1219</v>
      </c>
      <c r="B481" s="110" t="s">
        <v>495</v>
      </c>
    </row>
    <row r="482" spans="1:2" x14ac:dyDescent="0.2">
      <c r="A482" s="110">
        <v>1220</v>
      </c>
      <c r="B482" s="110" t="s">
        <v>496</v>
      </c>
    </row>
    <row r="483" spans="1:2" x14ac:dyDescent="0.2">
      <c r="A483" s="110">
        <v>1221</v>
      </c>
      <c r="B483" s="110" t="s">
        <v>497</v>
      </c>
    </row>
    <row r="484" spans="1:2" x14ac:dyDescent="0.2">
      <c r="A484" s="110">
        <v>1222</v>
      </c>
      <c r="B484" s="110" t="s">
        <v>498</v>
      </c>
    </row>
    <row r="485" spans="1:2" x14ac:dyDescent="0.2">
      <c r="A485" s="110">
        <v>1223</v>
      </c>
      <c r="B485" s="110" t="s">
        <v>499</v>
      </c>
    </row>
    <row r="486" spans="1:2" x14ac:dyDescent="0.2">
      <c r="A486" s="110">
        <v>1224</v>
      </c>
      <c r="B486" s="110" t="s">
        <v>500</v>
      </c>
    </row>
    <row r="487" spans="1:2" x14ac:dyDescent="0.2">
      <c r="A487" s="110">
        <v>1225</v>
      </c>
      <c r="B487" s="110" t="s">
        <v>501</v>
      </c>
    </row>
    <row r="488" spans="1:2" x14ac:dyDescent="0.2">
      <c r="A488" s="110">
        <v>1226</v>
      </c>
      <c r="B488" s="110" t="s">
        <v>502</v>
      </c>
    </row>
    <row r="489" spans="1:2" x14ac:dyDescent="0.2">
      <c r="A489" s="110">
        <v>1227</v>
      </c>
      <c r="B489" s="110" t="s">
        <v>503</v>
      </c>
    </row>
    <row r="490" spans="1:2" x14ac:dyDescent="0.2">
      <c r="A490" s="110">
        <v>1228</v>
      </c>
      <c r="B490" s="110" t="s">
        <v>504</v>
      </c>
    </row>
    <row r="491" spans="1:2" x14ac:dyDescent="0.2">
      <c r="A491" s="110">
        <v>1229</v>
      </c>
      <c r="B491" s="110" t="s">
        <v>505</v>
      </c>
    </row>
    <row r="492" spans="1:2" x14ac:dyDescent="0.2">
      <c r="A492" s="110">
        <v>1230</v>
      </c>
      <c r="B492" s="110" t="s">
        <v>506</v>
      </c>
    </row>
    <row r="493" spans="1:2" x14ac:dyDescent="0.2">
      <c r="A493" s="110">
        <v>1231</v>
      </c>
      <c r="B493" s="110" t="s">
        <v>507</v>
      </c>
    </row>
    <row r="494" spans="1:2" x14ac:dyDescent="0.2">
      <c r="A494" s="110">
        <v>1232</v>
      </c>
      <c r="B494" s="110" t="s">
        <v>508</v>
      </c>
    </row>
    <row r="495" spans="1:2" x14ac:dyDescent="0.2">
      <c r="A495" s="110">
        <v>1233</v>
      </c>
      <c r="B495" s="110" t="s">
        <v>509</v>
      </c>
    </row>
    <row r="496" spans="1:2" x14ac:dyDescent="0.2">
      <c r="A496" s="110">
        <v>1234</v>
      </c>
      <c r="B496" s="110" t="s">
        <v>510</v>
      </c>
    </row>
    <row r="497" spans="1:2" x14ac:dyDescent="0.2">
      <c r="A497" s="110">
        <v>1235</v>
      </c>
      <c r="B497" s="110" t="s">
        <v>511</v>
      </c>
    </row>
    <row r="498" spans="1:2" x14ac:dyDescent="0.2">
      <c r="A498" s="110">
        <v>1236</v>
      </c>
      <c r="B498" s="110" t="s">
        <v>512</v>
      </c>
    </row>
    <row r="499" spans="1:2" x14ac:dyDescent="0.2">
      <c r="A499" s="110">
        <v>1237</v>
      </c>
      <c r="B499" s="110" t="s">
        <v>513</v>
      </c>
    </row>
    <row r="500" spans="1:2" x14ac:dyDescent="0.2">
      <c r="A500" s="110">
        <v>1238</v>
      </c>
      <c r="B500" s="110" t="s">
        <v>514</v>
      </c>
    </row>
    <row r="501" spans="1:2" x14ac:dyDescent="0.2">
      <c r="A501" s="110">
        <v>1239</v>
      </c>
      <c r="B501" s="110" t="s">
        <v>515</v>
      </c>
    </row>
    <row r="502" spans="1:2" x14ac:dyDescent="0.2">
      <c r="A502" s="110">
        <v>1240</v>
      </c>
      <c r="B502" s="110" t="s">
        <v>516</v>
      </c>
    </row>
    <row r="503" spans="1:2" x14ac:dyDescent="0.2">
      <c r="A503" s="110">
        <v>1241</v>
      </c>
      <c r="B503" s="110" t="s">
        <v>517</v>
      </c>
    </row>
    <row r="504" spans="1:2" x14ac:dyDescent="0.2">
      <c r="B504" s="110" t="s">
        <v>518</v>
      </c>
    </row>
    <row r="506" spans="1:2" x14ac:dyDescent="0.2">
      <c r="B506" s="110" t="s">
        <v>519</v>
      </c>
    </row>
    <row r="508" spans="1:2" x14ac:dyDescent="0.2">
      <c r="B508" s="110" t="s">
        <v>520</v>
      </c>
    </row>
    <row r="510" spans="1:2" x14ac:dyDescent="0.2">
      <c r="B510" s="110" t="s">
        <v>521</v>
      </c>
    </row>
    <row r="512" spans="1:2" x14ac:dyDescent="0.2">
      <c r="B512" s="110" t="s">
        <v>522</v>
      </c>
    </row>
    <row r="513" spans="1:2" x14ac:dyDescent="0.2">
      <c r="A513" s="110">
        <v>2101</v>
      </c>
      <c r="B513" s="110" t="s">
        <v>523</v>
      </c>
    </row>
    <row r="514" spans="1:2" x14ac:dyDescent="0.2">
      <c r="A514" s="110">
        <v>2102</v>
      </c>
      <c r="B514" s="110" t="s">
        <v>524</v>
      </c>
    </row>
    <row r="515" spans="1:2" x14ac:dyDescent="0.2">
      <c r="A515" s="110">
        <v>2103</v>
      </c>
      <c r="B515" s="110" t="s">
        <v>525</v>
      </c>
    </row>
    <row r="516" spans="1:2" x14ac:dyDescent="0.2">
      <c r="A516" s="110">
        <v>1207</v>
      </c>
      <c r="B516" s="110" t="s">
        <v>526</v>
      </c>
    </row>
    <row r="517" spans="1:2" x14ac:dyDescent="0.2">
      <c r="B517" s="110" t="s">
        <v>527</v>
      </c>
    </row>
    <row r="519" spans="1:2" x14ac:dyDescent="0.2">
      <c r="B519" s="110" t="s">
        <v>87</v>
      </c>
    </row>
    <row r="520" spans="1:2" x14ac:dyDescent="0.2">
      <c r="A520" s="110">
        <v>3101</v>
      </c>
      <c r="B520" s="110" t="s">
        <v>528</v>
      </c>
    </row>
    <row r="521" spans="1:2" x14ac:dyDescent="0.2">
      <c r="A521" s="110" t="s">
        <v>529</v>
      </c>
      <c r="B521" s="110" t="s">
        <v>530</v>
      </c>
    </row>
    <row r="522" spans="1:2" x14ac:dyDescent="0.2">
      <c r="A522" s="110">
        <v>3103</v>
      </c>
      <c r="B522" s="110" t="s">
        <v>531</v>
      </c>
    </row>
    <row r="523" spans="1:2" x14ac:dyDescent="0.2">
      <c r="A523" s="110">
        <v>3104</v>
      </c>
      <c r="B523" s="110" t="s">
        <v>532</v>
      </c>
    </row>
    <row r="524" spans="1:2" x14ac:dyDescent="0.2">
      <c r="B524" s="110" t="s">
        <v>533</v>
      </c>
    </row>
    <row r="526" spans="1:2" x14ac:dyDescent="0.2">
      <c r="B526" s="110" t="s">
        <v>534</v>
      </c>
    </row>
    <row r="534" spans="1:12" x14ac:dyDescent="0.2">
      <c r="B534" s="110" t="s">
        <v>535</v>
      </c>
    </row>
    <row r="535" spans="1:12" x14ac:dyDescent="0.2">
      <c r="B535" s="110" t="s">
        <v>536</v>
      </c>
    </row>
    <row r="536" spans="1:12" x14ac:dyDescent="0.2">
      <c r="A536" s="110">
        <v>5101</v>
      </c>
      <c r="B536" s="110" t="s">
        <v>537</v>
      </c>
    </row>
    <row r="537" spans="1:12" x14ac:dyDescent="0.2">
      <c r="A537" s="110">
        <v>5102</v>
      </c>
      <c r="B537" s="110" t="s">
        <v>538</v>
      </c>
    </row>
    <row r="538" spans="1:12" x14ac:dyDescent="0.2">
      <c r="A538" s="110">
        <v>5103</v>
      </c>
      <c r="B538" s="110" t="s">
        <v>539</v>
      </c>
    </row>
    <row r="539" spans="1:12" x14ac:dyDescent="0.2">
      <c r="A539" s="110">
        <v>5104</v>
      </c>
      <c r="B539" s="110" t="s">
        <v>540</v>
      </c>
    </row>
    <row r="540" spans="1:12" x14ac:dyDescent="0.2">
      <c r="A540" s="110">
        <v>5105</v>
      </c>
      <c r="B540" s="110" t="s">
        <v>541</v>
      </c>
      <c r="E540" s="110" t="s">
        <v>542</v>
      </c>
      <c r="F540" s="110" t="s">
        <v>543</v>
      </c>
    </row>
    <row r="541" spans="1:12" x14ac:dyDescent="0.2">
      <c r="B541" s="110" t="s">
        <v>544</v>
      </c>
    </row>
    <row r="542" spans="1:12" x14ac:dyDescent="0.2">
      <c r="E542" s="110" t="s">
        <v>545</v>
      </c>
      <c r="G542" s="110"/>
      <c r="H542" s="110"/>
      <c r="I542" s="110"/>
      <c r="J542" s="110"/>
      <c r="K542" s="110"/>
      <c r="L542" s="110"/>
    </row>
    <row r="543" spans="1:12" x14ac:dyDescent="0.2">
      <c r="B543" s="110" t="s">
        <v>534</v>
      </c>
      <c r="E543" s="110" t="s">
        <v>546</v>
      </c>
      <c r="F543" s="110" t="s">
        <v>547</v>
      </c>
      <c r="G543" s="110" t="s">
        <v>101</v>
      </c>
      <c r="H543" s="110"/>
      <c r="I543" s="110"/>
      <c r="J543" s="110"/>
      <c r="K543" s="110"/>
      <c r="L543" s="110"/>
    </row>
    <row r="544" spans="1:12" x14ac:dyDescent="0.2">
      <c r="A544" s="110">
        <v>6190</v>
      </c>
      <c r="B544" s="110" t="s">
        <v>548</v>
      </c>
      <c r="E544" s="110" t="s">
        <v>549</v>
      </c>
      <c r="F544" s="110" t="s">
        <v>550</v>
      </c>
      <c r="G544" s="121">
        <v>15856000</v>
      </c>
      <c r="H544" s="110"/>
      <c r="I544" s="110"/>
      <c r="J544" s="110"/>
      <c r="K544" s="110"/>
      <c r="L544" s="110"/>
    </row>
    <row r="545" spans="1:12" x14ac:dyDescent="0.2">
      <c r="A545" s="110">
        <v>7101</v>
      </c>
      <c r="B545" s="110" t="s">
        <v>551</v>
      </c>
      <c r="E545" s="110" t="s">
        <v>552</v>
      </c>
      <c r="F545" s="110" t="s">
        <v>553</v>
      </c>
      <c r="G545" s="121">
        <v>89381000</v>
      </c>
      <c r="H545" s="110"/>
      <c r="I545" s="110"/>
      <c r="J545" s="110"/>
      <c r="K545" s="110"/>
      <c r="L545" s="110"/>
    </row>
    <row r="546" spans="1:12" x14ac:dyDescent="0.2">
      <c r="A546" s="110">
        <v>7102</v>
      </c>
      <c r="B546" s="110" t="s">
        <v>553</v>
      </c>
      <c r="E546" s="110" t="s">
        <v>554</v>
      </c>
      <c r="F546" s="110" t="s">
        <v>555</v>
      </c>
      <c r="G546" s="121">
        <v>42000000</v>
      </c>
      <c r="H546" s="110"/>
      <c r="I546" s="110"/>
      <c r="J546" s="110"/>
      <c r="K546" s="110"/>
      <c r="L546" s="110"/>
    </row>
    <row r="547" spans="1:12" x14ac:dyDescent="0.2">
      <c r="A547" s="110">
        <v>7103</v>
      </c>
      <c r="B547" s="110" t="s">
        <v>556</v>
      </c>
      <c r="E547" s="110" t="s">
        <v>340</v>
      </c>
      <c r="G547" s="121">
        <v>147237000</v>
      </c>
      <c r="H547" s="110"/>
      <c r="I547" s="110"/>
      <c r="J547" s="110"/>
      <c r="K547" s="110"/>
      <c r="L547" s="110"/>
    </row>
    <row r="548" spans="1:12" x14ac:dyDescent="0.2">
      <c r="A548" s="110">
        <v>7104</v>
      </c>
      <c r="B548" s="110" t="s">
        <v>557</v>
      </c>
      <c r="G548" s="110"/>
      <c r="H548" s="110"/>
      <c r="I548" s="110"/>
      <c r="J548" s="110"/>
      <c r="K548" s="110"/>
      <c r="L548" s="110"/>
    </row>
    <row r="549" spans="1:12" x14ac:dyDescent="0.2">
      <c r="A549" s="110">
        <v>7105</v>
      </c>
      <c r="B549" s="110" t="s">
        <v>558</v>
      </c>
      <c r="G549" s="110"/>
      <c r="H549" s="110"/>
      <c r="I549" s="110"/>
      <c r="J549" s="110"/>
      <c r="K549" s="110"/>
      <c r="L549" s="110"/>
    </row>
    <row r="550" spans="1:12" x14ac:dyDescent="0.2">
      <c r="A550" s="110" t="s">
        <v>559</v>
      </c>
      <c r="B550" s="110" t="s">
        <v>560</v>
      </c>
      <c r="G550" s="110"/>
      <c r="H550" s="110"/>
      <c r="I550" s="110"/>
      <c r="J550" s="110"/>
      <c r="K550" s="110"/>
      <c r="L550" s="110"/>
    </row>
    <row r="551" spans="1:12" x14ac:dyDescent="0.2">
      <c r="A551" s="110">
        <v>4101</v>
      </c>
      <c r="B551" s="110" t="s">
        <v>561</v>
      </c>
      <c r="G551" s="110"/>
      <c r="H551" s="110"/>
      <c r="I551" s="110"/>
      <c r="J551" s="110"/>
      <c r="K551" s="110"/>
    </row>
    <row r="552" spans="1:12" x14ac:dyDescent="0.2">
      <c r="A552" s="110">
        <v>4102</v>
      </c>
      <c r="B552" s="110" t="s">
        <v>550</v>
      </c>
      <c r="G552" s="110"/>
      <c r="H552" s="110"/>
      <c r="I552" s="110"/>
      <c r="J552" s="110"/>
      <c r="K552" s="110"/>
    </row>
    <row r="553" spans="1:12" x14ac:dyDescent="0.2">
      <c r="G553" s="110"/>
      <c r="H553" s="110"/>
      <c r="I553" s="110"/>
      <c r="J553" s="110"/>
      <c r="K553" s="110"/>
    </row>
    <row r="554" spans="1:12" x14ac:dyDescent="0.2">
      <c r="G554" s="110"/>
      <c r="H554" s="110"/>
      <c r="I554" s="110"/>
      <c r="J554" s="110"/>
      <c r="K554" s="110"/>
    </row>
    <row r="555" spans="1:12" x14ac:dyDescent="0.2">
      <c r="B555" s="110" t="s">
        <v>562</v>
      </c>
      <c r="G555" s="110"/>
      <c r="H555" s="110"/>
      <c r="I555" s="110"/>
      <c r="J555" s="110"/>
      <c r="K555" s="110"/>
    </row>
    <row r="556" spans="1:12" x14ac:dyDescent="0.2">
      <c r="A556" s="111" t="s">
        <v>563</v>
      </c>
      <c r="G556" s="110"/>
    </row>
    <row r="557" spans="1:12" x14ac:dyDescent="0.2">
      <c r="A557" s="125">
        <v>1110050100</v>
      </c>
      <c r="B557" s="126" t="s">
        <v>564</v>
      </c>
      <c r="G557" s="110"/>
    </row>
    <row r="558" spans="1:12" x14ac:dyDescent="0.2">
      <c r="A558" s="125">
        <v>1110050200</v>
      </c>
      <c r="B558" s="110" t="s">
        <v>565</v>
      </c>
      <c r="G558" s="110"/>
    </row>
    <row r="559" spans="1:12" x14ac:dyDescent="0.2">
      <c r="G559" s="110"/>
    </row>
    <row r="563" spans="1:2" x14ac:dyDescent="0.2">
      <c r="A563" s="110">
        <v>4170250000</v>
      </c>
      <c r="B563" s="110" t="s">
        <v>566</v>
      </c>
    </row>
    <row r="565" spans="1:2" x14ac:dyDescent="0.2">
      <c r="A565" s="110">
        <v>4218050000</v>
      </c>
      <c r="B565" s="110" t="s">
        <v>567</v>
      </c>
    </row>
    <row r="568" spans="1:2" x14ac:dyDescent="0.2">
      <c r="A568" s="110">
        <v>5210350000</v>
      </c>
      <c r="B568" s="110" t="s">
        <v>568</v>
      </c>
    </row>
    <row r="569" spans="1:2" x14ac:dyDescent="0.2">
      <c r="A569" s="110">
        <v>5140950000</v>
      </c>
    </row>
    <row r="571" spans="1:2" x14ac:dyDescent="0.2">
      <c r="A571" s="125">
        <v>5305950000</v>
      </c>
      <c r="B571" s="110" t="s">
        <v>569</v>
      </c>
    </row>
    <row r="572" spans="1:2" x14ac:dyDescent="0.2">
      <c r="A572" s="125">
        <v>5313050000</v>
      </c>
      <c r="B572" s="110" t="s">
        <v>567</v>
      </c>
    </row>
    <row r="573" spans="1:2" x14ac:dyDescent="0.2">
      <c r="A573" s="110">
        <v>5310950000</v>
      </c>
      <c r="B573" s="110" t="s">
        <v>570</v>
      </c>
    </row>
    <row r="577" spans="1:3" x14ac:dyDescent="0.2">
      <c r="A577" s="110">
        <v>1101</v>
      </c>
      <c r="B577" s="110" t="s">
        <v>571</v>
      </c>
    </row>
    <row r="578" spans="1:3" x14ac:dyDescent="0.2">
      <c r="A578" s="110">
        <v>1102</v>
      </c>
      <c r="B578" s="110" t="s">
        <v>572</v>
      </c>
    </row>
    <row r="579" spans="1:3" x14ac:dyDescent="0.2">
      <c r="A579" s="110">
        <v>1103</v>
      </c>
      <c r="B579" s="110" t="s">
        <v>573</v>
      </c>
    </row>
    <row r="580" spans="1:3" x14ac:dyDescent="0.2">
      <c r="A580" s="110">
        <v>1104</v>
      </c>
      <c r="B580" s="110" t="s">
        <v>574</v>
      </c>
    </row>
    <row r="581" spans="1:3" x14ac:dyDescent="0.2">
      <c r="A581" s="110">
        <v>1106</v>
      </c>
      <c r="B581" s="110" t="s">
        <v>575</v>
      </c>
    </row>
    <row r="582" spans="1:3" x14ac:dyDescent="0.2">
      <c r="A582" s="110">
        <v>9999</v>
      </c>
      <c r="B582" s="110" t="s">
        <v>576</v>
      </c>
      <c r="C582" s="110" t="s">
        <v>577</v>
      </c>
    </row>
    <row r="584" spans="1:3" x14ac:dyDescent="0.2">
      <c r="A584" s="110">
        <v>1218</v>
      </c>
      <c r="B584" s="110" t="s">
        <v>578</v>
      </c>
    </row>
    <row r="585" spans="1:3" x14ac:dyDescent="0.2">
      <c r="A585" s="110">
        <v>1223</v>
      </c>
      <c r="B585" s="110" t="s">
        <v>579</v>
      </c>
    </row>
    <row r="586" spans="1:3" x14ac:dyDescent="0.2">
      <c r="A586" s="110">
        <v>1231</v>
      </c>
      <c r="B586" s="110" t="s">
        <v>580</v>
      </c>
    </row>
    <row r="587" spans="1:3" x14ac:dyDescent="0.2">
      <c r="A587" s="110">
        <v>1235</v>
      </c>
      <c r="B587" s="110" t="s">
        <v>581</v>
      </c>
    </row>
    <row r="588" spans="1:3" x14ac:dyDescent="0.2">
      <c r="A588" s="110">
        <v>1201</v>
      </c>
      <c r="B588" s="110" t="s">
        <v>582</v>
      </c>
    </row>
    <row r="591" spans="1:3" x14ac:dyDescent="0.2">
      <c r="A591" s="110">
        <v>5103</v>
      </c>
      <c r="B591" s="110" t="s">
        <v>539</v>
      </c>
      <c r="C591" s="110" t="s">
        <v>583</v>
      </c>
    </row>
    <row r="592" spans="1:3" x14ac:dyDescent="0.2">
      <c r="A592" s="110">
        <v>5104</v>
      </c>
      <c r="B592" s="110" t="s">
        <v>540</v>
      </c>
      <c r="C592" s="110" t="s">
        <v>577</v>
      </c>
    </row>
    <row r="593" spans="1:3" x14ac:dyDescent="0.2">
      <c r="A593" s="110">
        <v>5105</v>
      </c>
      <c r="B593" s="110" t="s">
        <v>584</v>
      </c>
      <c r="C593" s="110" t="s">
        <v>577</v>
      </c>
    </row>
    <row r="594" spans="1:3" x14ac:dyDescent="0.2">
      <c r="A594" s="110">
        <v>5106</v>
      </c>
      <c r="B594" s="110" t="s">
        <v>585</v>
      </c>
      <c r="C594" s="110" t="s">
        <v>583</v>
      </c>
    </row>
    <row r="595" spans="1:3" x14ac:dyDescent="0.2">
      <c r="A595" s="110">
        <v>7101</v>
      </c>
      <c r="B595" s="110" t="s">
        <v>586</v>
      </c>
    </row>
  </sheetData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28F9A-B441-4343-B678-FF2200432212}">
  <sheetPr>
    <tabColor theme="2" tint="-0.749992370372631"/>
  </sheetPr>
  <dimension ref="A1:AG47"/>
  <sheetViews>
    <sheetView showGridLines="0" tabSelected="1" zoomScaleNormal="100" workbookViewId="0">
      <selection activeCell="T33" sqref="T33"/>
    </sheetView>
  </sheetViews>
  <sheetFormatPr baseColWidth="10" defaultRowHeight="12.75" x14ac:dyDescent="0.2"/>
  <cols>
    <col min="1" max="1" width="4.140625" style="10" customWidth="1"/>
    <col min="2" max="2" width="26.28515625" style="10" customWidth="1"/>
    <col min="3" max="3" width="9.42578125" style="10" customWidth="1"/>
    <col min="4" max="4" width="6.42578125" style="10" customWidth="1"/>
    <col min="5" max="5" width="10.28515625" style="10" customWidth="1"/>
    <col min="6" max="7" width="7.140625" style="10" customWidth="1"/>
    <col min="8" max="8" width="11" style="10" customWidth="1"/>
    <col min="9" max="9" width="6.42578125" style="10" customWidth="1"/>
    <col min="10" max="10" width="9.5703125" style="10" customWidth="1"/>
    <col min="11" max="11" width="10.5703125" style="10" customWidth="1"/>
    <col min="12" max="12" width="5.42578125" style="10" customWidth="1"/>
    <col min="13" max="13" width="9.140625" style="10" bestFit="1" customWidth="1"/>
    <col min="14" max="14" width="5.42578125" style="10" customWidth="1"/>
    <col min="15" max="15" width="7.140625" style="10" customWidth="1"/>
    <col min="16" max="16" width="10.7109375" style="10" customWidth="1"/>
    <col min="17" max="17" width="5.140625" style="10" customWidth="1"/>
    <col min="18" max="18" width="7.140625" style="10" customWidth="1"/>
    <col min="19" max="19" width="10.85546875" style="11" customWidth="1"/>
    <col min="20" max="20" width="17.42578125" style="10" customWidth="1"/>
    <col min="21" max="28" width="11.42578125" style="10"/>
    <col min="29" max="29" width="5.7109375" style="10" bestFit="1" customWidth="1"/>
    <col min="30" max="31" width="11.42578125" style="10"/>
    <col min="32" max="32" width="13.42578125" style="10" customWidth="1"/>
    <col min="33" max="16384" width="11.42578125" style="10"/>
  </cols>
  <sheetData>
    <row r="1" spans="1:33" s="7" customFormat="1" ht="12.75" customHeight="1" x14ac:dyDescent="0.2">
      <c r="B1" s="8"/>
      <c r="S1" s="9"/>
    </row>
    <row r="2" spans="1:33" ht="11.25" customHeight="1" x14ac:dyDescent="0.2">
      <c r="A2" s="7"/>
      <c r="X2" s="12"/>
      <c r="Y2" s="12"/>
      <c r="Z2" s="12"/>
      <c r="AA2" s="12"/>
      <c r="AB2" s="12"/>
    </row>
    <row r="3" spans="1:33" ht="18" x14ac:dyDescent="0.25">
      <c r="B3" s="13" t="s">
        <v>4</v>
      </c>
      <c r="S3" s="14"/>
      <c r="T3" s="15" t="str">
        <f>+B3</f>
        <v>MUSICAR S.A. COLOMBIA CONSOLIDADO</v>
      </c>
    </row>
    <row r="4" spans="1:33" x14ac:dyDescent="0.2">
      <c r="B4" s="2" t="s">
        <v>5</v>
      </c>
      <c r="S4" s="14"/>
      <c r="T4" s="16" t="s">
        <v>6</v>
      </c>
    </row>
    <row r="5" spans="1:33" x14ac:dyDescent="0.2">
      <c r="B5" s="3" t="s">
        <v>7</v>
      </c>
      <c r="S5" s="14"/>
      <c r="T5" s="16" t="s">
        <v>7</v>
      </c>
    </row>
    <row r="6" spans="1:33" ht="13.5" thickBot="1" x14ac:dyDescent="0.25">
      <c r="B6" s="17" t="str">
        <f>+'COLOMB$ '!B6</f>
        <v>JULIO de 2022</v>
      </c>
      <c r="K6" s="18" t="s">
        <v>8</v>
      </c>
      <c r="L6" s="18"/>
      <c r="M6" s="18"/>
      <c r="N6" s="18"/>
      <c r="O6" s="18"/>
      <c r="P6" s="18"/>
      <c r="Q6" s="18"/>
      <c r="R6" s="18"/>
      <c r="S6" s="14"/>
      <c r="T6" s="10" t="str">
        <f>+B6</f>
        <v>JULIO de 2022</v>
      </c>
      <c r="X6" s="18" t="s">
        <v>8</v>
      </c>
      <c r="Y6" s="18"/>
      <c r="Z6" s="18"/>
      <c r="AA6" s="18"/>
      <c r="AB6" s="18"/>
      <c r="AC6" s="18"/>
    </row>
    <row r="7" spans="1:33" ht="17.25" customHeight="1" x14ac:dyDescent="0.2">
      <c r="C7" s="19" t="str">
        <f>+'COLOMB$ '!D7:D7</f>
        <v>Ppto 2022</v>
      </c>
      <c r="E7" s="10" t="str">
        <f>+'COLOMB$ '!F7:F7</f>
        <v>Real 2022</v>
      </c>
      <c r="G7" s="7" t="s">
        <v>9</v>
      </c>
      <c r="H7" s="10" t="str">
        <f>+'COLOMB$ '!I7:I7</f>
        <v>Real 2021</v>
      </c>
      <c r="J7" s="7" t="s">
        <v>10</v>
      </c>
      <c r="K7" s="10" t="str">
        <f>+C7</f>
        <v>Ppto 2022</v>
      </c>
      <c r="M7" s="20" t="str">
        <f>+E7</f>
        <v>Real 2022</v>
      </c>
      <c r="N7" s="20"/>
      <c r="O7" s="7" t="s">
        <v>9</v>
      </c>
      <c r="P7" s="10" t="str">
        <f>+H7</f>
        <v>Real 2021</v>
      </c>
      <c r="R7" s="7" t="s">
        <v>10</v>
      </c>
      <c r="S7" s="21"/>
      <c r="T7" s="12"/>
      <c r="U7" s="12" t="str">
        <f>+C7</f>
        <v>Ppto 2022</v>
      </c>
      <c r="V7" s="12" t="str">
        <f>+M7</f>
        <v>Real 2022</v>
      </c>
      <c r="W7" s="12" t="str">
        <f>+H7</f>
        <v>Real 2021</v>
      </c>
      <c r="X7" s="12" t="str">
        <f>+U7</f>
        <v>Ppto 2022</v>
      </c>
      <c r="Y7" s="12" t="str">
        <f>+V7</f>
        <v>Real 2022</v>
      </c>
      <c r="Z7" s="12" t="s">
        <v>11</v>
      </c>
      <c r="AA7" s="12" t="s">
        <v>9</v>
      </c>
      <c r="AB7" s="12" t="str">
        <f>+W7</f>
        <v>Real 2021</v>
      </c>
      <c r="AC7" s="12" t="s">
        <v>10</v>
      </c>
    </row>
    <row r="8" spans="1:33" ht="15.75" customHeight="1" thickBot="1" x14ac:dyDescent="0.25">
      <c r="B8" s="22" t="s">
        <v>12</v>
      </c>
      <c r="C8" s="23" t="s">
        <v>13</v>
      </c>
      <c r="D8" s="23" t="s">
        <v>14</v>
      </c>
      <c r="E8" s="23" t="s">
        <v>13</v>
      </c>
      <c r="F8" s="23" t="s">
        <v>14</v>
      </c>
      <c r="G8" s="23" t="s">
        <v>15</v>
      </c>
      <c r="H8" s="23" t="s">
        <v>13</v>
      </c>
      <c r="I8" s="23" t="s">
        <v>14</v>
      </c>
      <c r="J8" s="23" t="s">
        <v>15</v>
      </c>
      <c r="K8" s="23" t="s">
        <v>13</v>
      </c>
      <c r="L8" s="23" t="s">
        <v>14</v>
      </c>
      <c r="M8" s="23" t="s">
        <v>13</v>
      </c>
      <c r="N8" s="23" t="s">
        <v>14</v>
      </c>
      <c r="O8" s="23" t="s">
        <v>15</v>
      </c>
      <c r="P8" s="23" t="s">
        <v>13</v>
      </c>
      <c r="Q8" s="23" t="s">
        <v>14</v>
      </c>
      <c r="R8" s="23" t="s">
        <v>15</v>
      </c>
      <c r="S8" s="9"/>
      <c r="T8" s="24"/>
      <c r="U8" s="25"/>
      <c r="V8" s="25"/>
      <c r="W8" s="25"/>
      <c r="X8" s="25"/>
      <c r="Y8" s="25"/>
      <c r="Z8" s="25"/>
      <c r="AA8" s="25" t="s">
        <v>15</v>
      </c>
      <c r="AB8" s="25"/>
      <c r="AC8" s="25" t="s">
        <v>15</v>
      </c>
    </row>
    <row r="9" spans="1:33" x14ac:dyDescent="0.2">
      <c r="S9" s="14"/>
      <c r="U9" s="12"/>
      <c r="V9" s="12"/>
      <c r="W9" s="12"/>
      <c r="X9" s="12"/>
      <c r="Y9" s="12"/>
      <c r="Z9" s="12"/>
      <c r="AB9" s="12"/>
    </row>
    <row r="10" spans="1:33" x14ac:dyDescent="0.2">
      <c r="B10" s="16" t="str">
        <f>+'COLOMB$ '!B10</f>
        <v>Musical Experience  (Ambiental)</v>
      </c>
      <c r="C10" s="26">
        <f>+'COLOMB$ '!C10+'PROY SAT$'!C10</f>
        <v>384101</v>
      </c>
      <c r="D10" s="27">
        <f t="shared" ref="D10:D20" si="0">+C10/$C$20</f>
        <v>0.42732206271082351</v>
      </c>
      <c r="E10" s="26">
        <f>+'COLOMB$ '!E10+'PROY SAT$'!E10</f>
        <v>390609.04399999999</v>
      </c>
      <c r="F10" s="27">
        <f t="shared" ref="F10:F20" si="1">+E10/$E$20</f>
        <v>0.42414343715930619</v>
      </c>
      <c r="G10" s="27">
        <f t="shared" ref="G10:G20" si="2">IF(C10=0,"",(E10-C10)/ABS(C10)+1)</f>
        <v>1.0169435747368532</v>
      </c>
      <c r="H10" s="26">
        <f>+'COLOMB$ '!H10+'PROY SAT$'!H10</f>
        <v>359331.40600000002</v>
      </c>
      <c r="I10" s="27">
        <f t="shared" ref="I10:I19" si="3">+H10/$H$20</f>
        <v>0.41105820420461625</v>
      </c>
      <c r="J10" s="28">
        <f t="shared" ref="J10:J20" si="4">IF(H10=0,"",(E10-H10)/ABS(H10))</f>
        <v>8.7043986352809855E-2</v>
      </c>
      <c r="K10" s="26">
        <f>+'COLOMB$ '!K10+'PROY SAT$'!K10</f>
        <v>2547867</v>
      </c>
      <c r="L10" s="27">
        <f t="shared" ref="L10:L20" si="5">+K10/$K$20</f>
        <v>0.41256995271714492</v>
      </c>
      <c r="M10" s="26">
        <f>+'COLOMB$ '!M10+'PROY SAT$'!M10</f>
        <v>2544103.1150000002</v>
      </c>
      <c r="N10" s="27">
        <f t="shared" ref="N10:N20" si="6">+M10/$M$20</f>
        <v>0.41875225140824646</v>
      </c>
      <c r="O10" s="27">
        <f t="shared" ref="O10:O20" si="7">IF(K10=0,"",(M10-K10)/ABS(K10)+1)</f>
        <v>0.99852273097457611</v>
      </c>
      <c r="P10" s="26">
        <f>+'COLOMB$ '!P10+'PROY SAT$'!P10</f>
        <v>2373972.4580000001</v>
      </c>
      <c r="Q10" s="27">
        <f t="shared" ref="Q10:Q20" si="8">+P10/$P$20</f>
        <v>0.44079042726956885</v>
      </c>
      <c r="R10" s="28">
        <f t="shared" ref="R10:R20" si="9">IF(P10=0,"",(M10-P10)/ABS(P10))</f>
        <v>7.1664966637115093E-2</v>
      </c>
      <c r="S10" s="21"/>
      <c r="T10" s="16" t="s">
        <v>16</v>
      </c>
      <c r="U10" s="26">
        <f>+'COLOMB$ '!U10</f>
        <v>9557.3442523382837</v>
      </c>
      <c r="V10" s="26">
        <f>+'COLOMB$ '!V10</f>
        <v>36272</v>
      </c>
      <c r="W10" s="26">
        <f>+'COLOMB$ '!W10</f>
        <v>1018976.9502899999</v>
      </c>
      <c r="X10" s="26">
        <f>+'COLOMB$ '!X10</f>
        <v>484392</v>
      </c>
      <c r="Y10" s="26">
        <f>+'COLOMB$ '!Y10</f>
        <v>484392</v>
      </c>
      <c r="Z10" s="29">
        <f>+Y10-X10</f>
        <v>0</v>
      </c>
      <c r="AA10" s="30">
        <f>IF(X10=0,"",(Y10-X10)/ABS(X10)+1)</f>
        <v>1</v>
      </c>
      <c r="AB10" s="26">
        <f>+'COLOMB$ '!AB10</f>
        <v>590525</v>
      </c>
      <c r="AC10" s="28">
        <f>IF(W10=0,"",(Y10-AB10)/ABS(AB10))</f>
        <v>-0.17972651454214469</v>
      </c>
    </row>
    <row r="11" spans="1:33" x14ac:dyDescent="0.2">
      <c r="B11" s="16" t="str">
        <f>+'COLOMB$ '!B11</f>
        <v>Instalaciones</v>
      </c>
      <c r="C11" s="26">
        <f>+'COLOMB$ '!C11+'PROY SAT$'!C11</f>
        <v>54476</v>
      </c>
      <c r="D11" s="27">
        <f t="shared" si="0"/>
        <v>6.0605925754514629E-2</v>
      </c>
      <c r="E11" s="26">
        <f>+'COLOMB$ '!E11+'PROY SAT$'!E11</f>
        <v>23552.15</v>
      </c>
      <c r="F11" s="27">
        <f t="shared" si="1"/>
        <v>2.5574138660986952E-2</v>
      </c>
      <c r="G11" s="27">
        <f t="shared" si="2"/>
        <v>0.43233992951024303</v>
      </c>
      <c r="H11" s="26">
        <f>+'COLOMB$ '!H11+'PROY SAT$'!H11</f>
        <v>35329.351000000002</v>
      </c>
      <c r="I11" s="27">
        <f t="shared" si="3"/>
        <v>4.0415113556131976E-2</v>
      </c>
      <c r="J11" s="28">
        <f t="shared" si="4"/>
        <v>-0.33335458101112586</v>
      </c>
      <c r="K11" s="26">
        <f>+'COLOMB$ '!K11+'PROY SAT$'!K11</f>
        <v>294171</v>
      </c>
      <c r="L11" s="27">
        <f t="shared" si="5"/>
        <v>4.7634399896366343E-2</v>
      </c>
      <c r="M11" s="26">
        <f>+'COLOMB$ '!M11+'PROY SAT$'!M11</f>
        <v>223417.21299999999</v>
      </c>
      <c r="N11" s="27">
        <f t="shared" si="6"/>
        <v>3.6773847881989535E-2</v>
      </c>
      <c r="O11" s="27">
        <f t="shared" si="7"/>
        <v>0.75948075439115337</v>
      </c>
      <c r="P11" s="26">
        <f>+'COLOMB$ '!P11+'PROY SAT$'!P11</f>
        <v>203638.93799999999</v>
      </c>
      <c r="Q11" s="27">
        <f t="shared" si="8"/>
        <v>3.7810924969771169E-2</v>
      </c>
      <c r="R11" s="28">
        <f t="shared" si="9"/>
        <v>9.7124229748241933E-2</v>
      </c>
      <c r="S11" s="21"/>
      <c r="T11" s="16" t="s">
        <v>17</v>
      </c>
      <c r="U11" s="26">
        <f>+'COLOMB$ '!U11</f>
        <v>1065320</v>
      </c>
      <c r="V11" s="26">
        <f>+'COLOMB$ '!V11</f>
        <v>1052994.29342</v>
      </c>
      <c r="W11" s="26">
        <f>+'COLOMB$ '!W11</f>
        <v>923101.63909000007</v>
      </c>
      <c r="X11" s="26">
        <f>+'COLOMB$ '!X11</f>
        <v>6998047</v>
      </c>
      <c r="Y11" s="26">
        <f>+'COLOMB$ '!Y11</f>
        <v>6964945.5385299996</v>
      </c>
      <c r="Z11" s="29">
        <f>+Y11-X11</f>
        <v>-33101.461470000446</v>
      </c>
      <c r="AA11" s="30">
        <f>IF(X11=0,"",(Y11-X11)/ABS(X11)+1)</f>
        <v>0.99526990009212568</v>
      </c>
      <c r="AB11" s="26">
        <f>+'COLOMB$ '!AB11</f>
        <v>6555252.3001600001</v>
      </c>
      <c r="AC11" s="28">
        <f>IF(AB11=0,"",(Y11-AB11)/ABS(AB11))</f>
        <v>6.249846986972564E-2</v>
      </c>
    </row>
    <row r="12" spans="1:33" x14ac:dyDescent="0.2">
      <c r="B12" s="16" t="str">
        <f>+'COLOMB$ '!B12</f>
        <v>Voice Experience (Publihold)</v>
      </c>
      <c r="C12" s="26">
        <f>+'COLOMB$ '!C12+'PROY SAT$'!C12</f>
        <v>62953</v>
      </c>
      <c r="D12" s="27">
        <f t="shared" si="0"/>
        <v>7.0036802335413012E-2</v>
      </c>
      <c r="E12" s="26">
        <f>+'COLOMB$ '!E12+'PROY SAT$'!E12</f>
        <v>78277.460000000006</v>
      </c>
      <c r="F12" s="27">
        <f t="shared" si="1"/>
        <v>8.4997701529153813E-2</v>
      </c>
      <c r="G12" s="27">
        <f t="shared" si="2"/>
        <v>1.243427001096056</v>
      </c>
      <c r="H12" s="26">
        <f>+'COLOMB$ '!H12+'PROY SAT$'!H12</f>
        <v>87846.191000000006</v>
      </c>
      <c r="I12" s="27">
        <f t="shared" si="3"/>
        <v>0.10049190500948232</v>
      </c>
      <c r="J12" s="28">
        <f t="shared" si="4"/>
        <v>-0.10892596356283676</v>
      </c>
      <c r="K12" s="26">
        <f>+'COLOMB$ '!K12+'PROY SAT$'!K12</f>
        <v>583173</v>
      </c>
      <c r="L12" s="27">
        <f t="shared" si="5"/>
        <v>9.4431796100783727E-2</v>
      </c>
      <c r="M12" s="26">
        <f>+'COLOMB$ '!M12+'PROY SAT$'!M12</f>
        <v>626038.58979999996</v>
      </c>
      <c r="N12" s="27">
        <f t="shared" si="6"/>
        <v>0.10304419950651003</v>
      </c>
      <c r="O12" s="27">
        <f t="shared" si="7"/>
        <v>1.0735040713476103</v>
      </c>
      <c r="P12" s="26">
        <f>+'COLOMB$ '!P12+'PROY SAT$'!P12</f>
        <v>698546.10620000004</v>
      </c>
      <c r="Q12" s="27">
        <f t="shared" si="8"/>
        <v>0.12970345783994416</v>
      </c>
      <c r="R12" s="28">
        <f t="shared" si="9"/>
        <v>-0.10379775329996689</v>
      </c>
      <c r="S12" s="21"/>
      <c r="AC12" s="2"/>
    </row>
    <row r="13" spans="1:33" x14ac:dyDescent="0.2">
      <c r="B13" s="16" t="str">
        <f>+'COLOMB$ '!B13</f>
        <v>Service &amp; Equipment Experience</v>
      </c>
      <c r="C13" s="26">
        <f>+'COLOMB$ '!C13+'PROY SAT$'!C13</f>
        <v>101611</v>
      </c>
      <c r="D13" s="27">
        <f t="shared" si="0"/>
        <v>0.11304480361704211</v>
      </c>
      <c r="E13" s="26">
        <f>+'COLOMB$ '!E13+'PROY SAT$'!E13</f>
        <v>113870.552</v>
      </c>
      <c r="F13" s="27">
        <f t="shared" si="1"/>
        <v>0.12364651576400137</v>
      </c>
      <c r="G13" s="27">
        <f t="shared" si="2"/>
        <v>1.1206518191928039</v>
      </c>
      <c r="H13" s="26">
        <f>+'COLOMB$ '!H13+'PROY SAT$'!H13</f>
        <v>52561.262999999999</v>
      </c>
      <c r="I13" s="27">
        <f t="shared" si="3"/>
        <v>6.0127609273057922E-2</v>
      </c>
      <c r="J13" s="28">
        <f t="shared" si="4"/>
        <v>1.1664348514608562</v>
      </c>
      <c r="K13" s="26">
        <f>+'COLOMB$ '!K13+'PROY SAT$'!K13</f>
        <v>625629</v>
      </c>
      <c r="L13" s="27">
        <f t="shared" si="5"/>
        <v>0.10130659369130125</v>
      </c>
      <c r="M13" s="26">
        <f>+'COLOMB$ '!M13+'PROY SAT$'!M13</f>
        <v>541342.55099999998</v>
      </c>
      <c r="N13" s="27">
        <f t="shared" si="6"/>
        <v>8.9103468596764573E-2</v>
      </c>
      <c r="O13" s="27">
        <f t="shared" si="7"/>
        <v>0.865277266558935</v>
      </c>
      <c r="P13" s="26">
        <f>+'COLOMB$ '!P13+'PROY SAT$'!P13</f>
        <v>328619.27799999999</v>
      </c>
      <c r="Q13" s="27">
        <f t="shared" si="8"/>
        <v>6.1016812335165357E-2</v>
      </c>
      <c r="R13" s="28">
        <f t="shared" si="9"/>
        <v>0.64732438795024072</v>
      </c>
      <c r="S13" s="21"/>
      <c r="T13" s="16" t="s">
        <v>18</v>
      </c>
      <c r="U13" s="26">
        <f>+'COLOMB$ '!U13</f>
        <v>92762</v>
      </c>
      <c r="V13" s="26">
        <f>+'COLOMB$ '!V13</f>
        <v>93180.424969999993</v>
      </c>
      <c r="W13" s="26">
        <f>+'COLOMB$ '!W13</f>
        <v>180873.66230000003</v>
      </c>
      <c r="X13" s="26">
        <f>+'COLOMB$ '!X13</f>
        <v>1023489</v>
      </c>
      <c r="Y13" s="26">
        <f>+'COLOMB$ '!Y13</f>
        <v>872805.85543</v>
      </c>
      <c r="Z13" s="29">
        <f>+X13-Y13</f>
        <v>150683.14457</v>
      </c>
      <c r="AA13" s="30">
        <f>IF(X13=0,"",(Y13-X13)/ABS(X13)+1)</f>
        <v>0.85277502291670937</v>
      </c>
      <c r="AB13" s="26">
        <f>+'COLOMB$ '!AB13</f>
        <v>1283732.1154700001</v>
      </c>
      <c r="AC13" s="28">
        <f>IF(AB13=0,"",(Y13-AB13)/ABS(AB13))</f>
        <v>-0.32010281201818475</v>
      </c>
      <c r="AE13" s="31"/>
      <c r="AF13" s="31"/>
    </row>
    <row r="14" spans="1:33" x14ac:dyDescent="0.2">
      <c r="B14" s="16" t="str">
        <f>+'COLOMB$ '!B14</f>
        <v>POP Satelital</v>
      </c>
      <c r="C14" s="26">
        <f>+'COLOMB$ '!C14+'PROY SAT$'!C14</f>
        <v>0</v>
      </c>
      <c r="D14" s="27">
        <f t="shared" si="0"/>
        <v>0</v>
      </c>
      <c r="E14" s="26">
        <f>+'COLOMB$ '!E14+'PROY SAT$'!E14</f>
        <v>0</v>
      </c>
      <c r="F14" s="27">
        <f t="shared" si="1"/>
        <v>0</v>
      </c>
      <c r="G14" s="27" t="str">
        <f t="shared" si="2"/>
        <v/>
      </c>
      <c r="H14" s="26">
        <f>+'COLOMB$ '!H14+'PROY SAT$'!H14</f>
        <v>0</v>
      </c>
      <c r="I14" s="27">
        <f t="shared" si="3"/>
        <v>0</v>
      </c>
      <c r="J14" s="28" t="str">
        <f t="shared" si="4"/>
        <v/>
      </c>
      <c r="K14" s="26">
        <f>+'COLOMB$ '!K14+'PROY SAT$'!K14</f>
        <v>0</v>
      </c>
      <c r="L14" s="27">
        <f t="shared" si="5"/>
        <v>0</v>
      </c>
      <c r="M14" s="26">
        <f>+'COLOMB$ '!M14+'PROY SAT$'!M14</f>
        <v>0</v>
      </c>
      <c r="N14" s="27">
        <f t="shared" si="6"/>
        <v>0</v>
      </c>
      <c r="O14" s="27" t="str">
        <f t="shared" si="7"/>
        <v/>
      </c>
      <c r="P14" s="26">
        <f>+'COLOMB$ '!P14+'PROY SAT$'!P14</f>
        <v>0</v>
      </c>
      <c r="Q14" s="27">
        <f t="shared" si="8"/>
        <v>0</v>
      </c>
      <c r="R14" s="28" t="str">
        <f t="shared" si="9"/>
        <v/>
      </c>
      <c r="S14" s="21"/>
      <c r="T14" s="16" t="s">
        <v>19</v>
      </c>
      <c r="U14" s="26">
        <f>+'COLOMB$ '!U14</f>
        <v>8353</v>
      </c>
      <c r="V14" s="26">
        <f>+'COLOMB$ '!V14</f>
        <v>10310.54392</v>
      </c>
      <c r="W14" s="26">
        <f>+'COLOMB$ '!W14</f>
        <v>7291.0429999999997</v>
      </c>
      <c r="X14" s="26">
        <f>+'COLOMB$ '!X14</f>
        <v>58471</v>
      </c>
      <c r="Y14" s="26">
        <f>+'COLOMB$ '!Y14</f>
        <v>68323.871680000011</v>
      </c>
      <c r="Z14" s="29">
        <f>+X14-Y14</f>
        <v>-9852.8716800000111</v>
      </c>
      <c r="AA14" s="30">
        <f>IF(X14=0,"",(Y14-X14)/ABS(X14)+1)</f>
        <v>1.1685086911460383</v>
      </c>
      <c r="AB14" s="26">
        <f>+'COLOMB$ '!AB14</f>
        <v>49297.796000000002</v>
      </c>
      <c r="AC14" s="28">
        <f>IF(AB14=0,"",(Y14-AB14)/ABS(AB14))</f>
        <v>0.38594170984844856</v>
      </c>
      <c r="AE14" s="31"/>
    </row>
    <row r="15" spans="1:33" x14ac:dyDescent="0.2">
      <c r="B15" s="16" t="str">
        <f>+'COLOMB$ '!B15</f>
        <v>Voice Experience (Audicóm)</v>
      </c>
      <c r="C15" s="26">
        <f>+'COLOMB$ '!C15+'PROY SAT$'!C15</f>
        <v>125847</v>
      </c>
      <c r="D15" s="27">
        <f t="shared" si="0"/>
        <v>0.14000796568082097</v>
      </c>
      <c r="E15" s="26">
        <f>+'COLOMB$ '!E15+'PROY SAT$'!E15</f>
        <v>134191.334</v>
      </c>
      <c r="F15" s="27">
        <f t="shared" si="1"/>
        <v>0.1457118684629137</v>
      </c>
      <c r="G15" s="27">
        <f t="shared" si="2"/>
        <v>1.0663053866997227</v>
      </c>
      <c r="H15" s="26">
        <f>+'COLOMB$ '!H15+'PROY SAT$'!H15</f>
        <v>123560.003</v>
      </c>
      <c r="I15" s="27">
        <f t="shared" si="3"/>
        <v>0.1413468238417685</v>
      </c>
      <c r="J15" s="28">
        <f t="shared" si="4"/>
        <v>8.6041848024234882E-2</v>
      </c>
      <c r="K15" s="26">
        <f>+'COLOMB$ '!K15+'PROY SAT$'!K15</f>
        <v>864267</v>
      </c>
      <c r="L15" s="27">
        <f t="shared" si="5"/>
        <v>0.13994866895524322</v>
      </c>
      <c r="M15" s="26">
        <f>+'COLOMB$ '!M15+'PROY SAT$'!M15</f>
        <v>859527.77500000002</v>
      </c>
      <c r="N15" s="27">
        <f t="shared" si="6"/>
        <v>0.1414758658196803</v>
      </c>
      <c r="O15" s="27">
        <f t="shared" si="7"/>
        <v>0.99451648043949381</v>
      </c>
      <c r="P15" s="26">
        <f>+'COLOMB$ '!P15+'PROY SAT$'!P15</f>
        <v>816300.87699999998</v>
      </c>
      <c r="Q15" s="27">
        <f t="shared" si="8"/>
        <v>0.15156772823577289</v>
      </c>
      <c r="R15" s="28">
        <f t="shared" si="9"/>
        <v>5.2954614184495166E-2</v>
      </c>
      <c r="S15" s="21"/>
      <c r="T15" s="16" t="s">
        <v>20</v>
      </c>
      <c r="U15" s="26">
        <f>+'COLOMB$ '!U15</f>
        <v>373248</v>
      </c>
      <c r="V15" s="26">
        <f>+'COLOMB$ '!V15</f>
        <v>338235.842</v>
      </c>
      <c r="W15" s="26">
        <f>+'COLOMB$ '!W15</f>
        <v>328290.33799999999</v>
      </c>
      <c r="X15" s="26">
        <f>+'COLOMB$ '!X15</f>
        <v>2797267</v>
      </c>
      <c r="Y15" s="26">
        <f>+'COLOMB$ '!Y15</f>
        <v>2742923.0572800003</v>
      </c>
      <c r="Z15" s="29">
        <f>+X15-Y15</f>
        <v>54343.942719999701</v>
      </c>
      <c r="AA15" s="30">
        <f>IF(X15=0,"",(Y15-X15)/ABS(X15)+1)</f>
        <v>0.9805724863876063</v>
      </c>
      <c r="AB15" s="26">
        <f>+'COLOMB$ '!AB15</f>
        <v>2333549.8420000002</v>
      </c>
      <c r="AC15" s="28">
        <f>IF(AB15=0,"",(Y15-AB15)/ABS(AB15))</f>
        <v>0.17542938569897495</v>
      </c>
      <c r="AE15" s="31"/>
      <c r="AF15" s="31"/>
      <c r="AG15" s="31"/>
    </row>
    <row r="16" spans="1:33" x14ac:dyDescent="0.2">
      <c r="B16" s="16" t="str">
        <f>+'COLOMB$ '!B16</f>
        <v>Fact. Servicio Satelital</v>
      </c>
      <c r="C16" s="26">
        <f>+'COLOMB$ '!C16+'PROY SAT$'!C16</f>
        <v>0</v>
      </c>
      <c r="D16" s="27">
        <f t="shared" si="0"/>
        <v>0</v>
      </c>
      <c r="E16" s="26">
        <f>+'COLOMB$ '!E16+'PROY SAT$'!E16</f>
        <v>0</v>
      </c>
      <c r="F16" s="27">
        <f t="shared" si="1"/>
        <v>0</v>
      </c>
      <c r="G16" s="27" t="str">
        <f t="shared" si="2"/>
        <v/>
      </c>
      <c r="H16" s="26">
        <f>+'COLOMB$ '!H16+'PROY SAT$'!H16</f>
        <v>0</v>
      </c>
      <c r="I16" s="27">
        <f t="shared" si="3"/>
        <v>0</v>
      </c>
      <c r="J16" s="28" t="str">
        <f t="shared" si="4"/>
        <v/>
      </c>
      <c r="K16" s="26">
        <f>+'COLOMB$ '!K16+'PROY SAT$'!K16</f>
        <v>0</v>
      </c>
      <c r="L16" s="27">
        <f t="shared" si="5"/>
        <v>0</v>
      </c>
      <c r="M16" s="26">
        <f>+'COLOMB$ '!M16+'PROY SAT$'!M16</f>
        <v>0</v>
      </c>
      <c r="N16" s="27">
        <f t="shared" si="6"/>
        <v>0</v>
      </c>
      <c r="O16" s="27" t="str">
        <f t="shared" si="7"/>
        <v/>
      </c>
      <c r="P16" s="26">
        <f>+'COLOMB$ '!P16+'PROY SAT$'!P16</f>
        <v>0</v>
      </c>
      <c r="Q16" s="27">
        <f t="shared" si="8"/>
        <v>0</v>
      </c>
      <c r="R16" s="28" t="str">
        <f t="shared" si="9"/>
        <v/>
      </c>
      <c r="S16" s="21"/>
      <c r="T16" s="16" t="s">
        <v>21</v>
      </c>
      <c r="U16" s="26">
        <f>+'COLOMB$ '!U16</f>
        <v>234794</v>
      </c>
      <c r="V16" s="26">
        <f>+'COLOMB$ '!V16</f>
        <v>205669.17216999998</v>
      </c>
      <c r="W16" s="26">
        <f>+'COLOMB$ '!W16</f>
        <v>178113.01166999998</v>
      </c>
      <c r="X16" s="26">
        <f>+'COLOMB$ '!X16</f>
        <v>1758303</v>
      </c>
      <c r="Y16" s="26">
        <f>+'COLOMB$ '!Y16</f>
        <v>1728031.9394499999</v>
      </c>
      <c r="Z16" s="29">
        <f>+X16-Y16</f>
        <v>30271.060550000053</v>
      </c>
      <c r="AA16" s="30">
        <f>IF(X16=0,"",(Y16-X16)/ABS(X16)+1)</f>
        <v>0.98278393396928743</v>
      </c>
      <c r="AB16" s="26">
        <f>+'COLOMB$ '!AB16</f>
        <v>1159508.1095399999</v>
      </c>
      <c r="AC16" s="28">
        <f>IF(AB16=0,"",(Y16-AB16)/ABS(AB16))</f>
        <v>0.49031466466892148</v>
      </c>
      <c r="AE16" s="31"/>
      <c r="AF16" s="11"/>
    </row>
    <row r="17" spans="2:32" x14ac:dyDescent="0.2">
      <c r="B17" s="16" t="str">
        <f>+'COLOMB$ '!B17</f>
        <v>Visual Experience</v>
      </c>
      <c r="C17" s="26">
        <f>+'COLOMB$ '!C17+'PROY SAT$'!C17</f>
        <v>17859</v>
      </c>
      <c r="D17" s="27">
        <f t="shared" si="0"/>
        <v>1.9868588516959336E-2</v>
      </c>
      <c r="E17" s="26">
        <f>+'COLOMB$ '!E17+'PROY SAT$'!E17</f>
        <v>15560.143</v>
      </c>
      <c r="F17" s="27">
        <f t="shared" si="1"/>
        <v>1.6896005446075432E-2</v>
      </c>
      <c r="G17" s="27">
        <f t="shared" si="2"/>
        <v>0.8712773951509043</v>
      </c>
      <c r="H17" s="26">
        <f>+'COLOMB$ '!H17+'PROY SAT$'!H17</f>
        <v>108118.986</v>
      </c>
      <c r="I17" s="27">
        <f t="shared" si="3"/>
        <v>0.12368302765493325</v>
      </c>
      <c r="J17" s="28">
        <f t="shared" si="4"/>
        <v>-0.85608315823457692</v>
      </c>
      <c r="K17" s="26">
        <f>+'COLOMB$ '!K17+'PROY SAT$'!K17</f>
        <v>208281</v>
      </c>
      <c r="L17" s="27">
        <f t="shared" si="5"/>
        <v>3.3726439536239397E-2</v>
      </c>
      <c r="M17" s="26">
        <f>+'COLOMB$ '!M17+'PROY SAT$'!M17</f>
        <v>207157.29699999999</v>
      </c>
      <c r="N17" s="27">
        <f t="shared" si="6"/>
        <v>3.4097511222298378E-2</v>
      </c>
      <c r="O17" s="27">
        <f t="shared" si="7"/>
        <v>0.99460487034343026</v>
      </c>
      <c r="P17" s="26">
        <f>+'COLOMB$ '!P17+'PROY SAT$'!P17</f>
        <v>195417.68100000001</v>
      </c>
      <c r="Q17" s="27">
        <f t="shared" si="8"/>
        <v>3.6284432371463643E-2</v>
      </c>
      <c r="R17" s="28">
        <f t="shared" si="9"/>
        <v>6.007448220614172E-2</v>
      </c>
      <c r="S17" s="21"/>
      <c r="T17" s="16" t="s">
        <v>22</v>
      </c>
      <c r="U17" s="26">
        <f>U13+U14+U15+U16</f>
        <v>709157</v>
      </c>
      <c r="V17" s="26">
        <f>V13+V14+V15+V16</f>
        <v>647395.98306</v>
      </c>
      <c r="W17" s="26">
        <f>W13+W14+W15+W16</f>
        <v>694568.05496999994</v>
      </c>
      <c r="X17" s="26">
        <f>X13+X14+X15+X16</f>
        <v>5637530</v>
      </c>
      <c r="Y17" s="26">
        <f>Y13+Y14+Y15+Y16</f>
        <v>5412084.7238400001</v>
      </c>
      <c r="Z17" s="29">
        <f>+Y17-X17</f>
        <v>-225445.27615999989</v>
      </c>
      <c r="AA17" s="30">
        <f>IF(X17=0,"",(Y17-X17)/ABS(X17)+1)</f>
        <v>0.96000991991882967</v>
      </c>
      <c r="AB17" s="26">
        <f>+'COLOMB$ '!AB17</f>
        <v>4826087.8630100004</v>
      </c>
      <c r="AC17" s="28">
        <f>IF(AB17=0,"",(Y17-AB17)/ABS(AB17))</f>
        <v>0.12142275015783015</v>
      </c>
      <c r="AE17" s="31"/>
      <c r="AF17" s="31"/>
    </row>
    <row r="18" spans="2:32" x14ac:dyDescent="0.2">
      <c r="B18" s="16" t="str">
        <f>+'COLOMB$ '!B18</f>
        <v>Olfa Experience</v>
      </c>
      <c r="C18" s="26">
        <f>+'COLOMB$ '!C18+'PROY SAT$'!C18</f>
        <v>108537</v>
      </c>
      <c r="D18" s="27">
        <f t="shared" si="0"/>
        <v>0.1207501535284851</v>
      </c>
      <c r="E18" s="26">
        <f>+'COLOMB$ '!E18+'PROY SAT$'!E18</f>
        <v>112021.371</v>
      </c>
      <c r="F18" s="27">
        <f t="shared" si="1"/>
        <v>0.12163857970282384</v>
      </c>
      <c r="G18" s="27">
        <f t="shared" si="2"/>
        <v>1.0321030708422012</v>
      </c>
      <c r="H18" s="26">
        <f>+'COLOMB$ '!H18+'PROY SAT$'!H18</f>
        <v>73505.430999999997</v>
      </c>
      <c r="I18" s="27">
        <f t="shared" si="3"/>
        <v>8.4086751009307348E-2</v>
      </c>
      <c r="J18" s="32">
        <f t="shared" si="4"/>
        <v>0.52398767650243427</v>
      </c>
      <c r="K18" s="26">
        <f>+'COLOMB$ '!K18+'PROY SAT$'!K18</f>
        <v>750454</v>
      </c>
      <c r="L18" s="27">
        <f t="shared" si="5"/>
        <v>0.12151920461169764</v>
      </c>
      <c r="M18" s="26">
        <f>+'COLOMB$ '!M18+'PROY SAT$'!M18</f>
        <v>707006.81900000002</v>
      </c>
      <c r="N18" s="27">
        <f t="shared" si="6"/>
        <v>0.11637134339078571</v>
      </c>
      <c r="O18" s="27">
        <f t="shared" si="7"/>
        <v>0.94210547082166263</v>
      </c>
      <c r="P18" s="26">
        <f>+'COLOMB$ '!P18+'PROY SAT$'!P18</f>
        <v>532445.10800000001</v>
      </c>
      <c r="Q18" s="27">
        <f t="shared" si="8"/>
        <v>9.8862438720387094E-2</v>
      </c>
      <c r="R18" s="28">
        <f t="shared" si="9"/>
        <v>0.32784921558524305</v>
      </c>
      <c r="S18" s="21"/>
      <c r="AC18" s="2"/>
      <c r="AE18" s="31"/>
    </row>
    <row r="19" spans="2:32" x14ac:dyDescent="0.2">
      <c r="B19" s="16" t="str">
        <f>+'COLOMB$ '!B19</f>
        <v>Locutor virtual</v>
      </c>
      <c r="C19" s="26">
        <f>+'COLOMB$ '!C19+'PROY SAT$'!C19</f>
        <v>43472</v>
      </c>
      <c r="D19" s="27">
        <f t="shared" si="0"/>
        <v>4.8363697855941329E-2</v>
      </c>
      <c r="E19" s="26">
        <f>+'COLOMB$ '!E19+'PROY SAT$'!E19</f>
        <v>52854.142999999996</v>
      </c>
      <c r="F19" s="27">
        <f t="shared" si="1"/>
        <v>5.739175327473852E-2</v>
      </c>
      <c r="G19" s="27">
        <f t="shared" si="2"/>
        <v>1.2158203671328671</v>
      </c>
      <c r="H19" s="26">
        <f>+'COLOMB$ '!H19+'PROY SAT$'!H19</f>
        <v>33909.233</v>
      </c>
      <c r="I19" s="27">
        <f t="shared" si="3"/>
        <v>3.8790565450702384E-2</v>
      </c>
      <c r="J19" s="28">
        <f t="shared" si="4"/>
        <v>0.55869473662232338</v>
      </c>
      <c r="K19" s="26">
        <f>+'COLOMB$ '!K19+'PROY SAT$'!K19</f>
        <v>301758</v>
      </c>
      <c r="L19" s="27">
        <f t="shared" si="5"/>
        <v>4.8862944491223526E-2</v>
      </c>
      <c r="M19" s="26">
        <f>+'COLOMB$ '!M19+'PROY SAT$'!M19</f>
        <v>366844.10100000002</v>
      </c>
      <c r="N19" s="27">
        <f t="shared" si="6"/>
        <v>6.0381512173724984E-2</v>
      </c>
      <c r="O19" s="27">
        <f t="shared" si="7"/>
        <v>1.2156897281927903</v>
      </c>
      <c r="P19" s="26">
        <f>+'COLOMB$ '!P19+'PROY SAT$'!P19</f>
        <v>236776.46400000001</v>
      </c>
      <c r="Q19" s="27">
        <f t="shared" si="8"/>
        <v>4.3963778257926904E-2</v>
      </c>
      <c r="R19" s="28">
        <f t="shared" si="9"/>
        <v>0.54932671433086366</v>
      </c>
      <c r="S19" s="21"/>
      <c r="T19" s="16" t="s">
        <v>23</v>
      </c>
      <c r="U19" s="26">
        <f>U11-U17</f>
        <v>356163</v>
      </c>
      <c r="V19" s="26">
        <f>V11-V17</f>
        <v>405598.31036</v>
      </c>
      <c r="W19" s="26">
        <f>W11-W17</f>
        <v>228533.58412000013</v>
      </c>
      <c r="X19" s="26">
        <f>X11-X17</f>
        <v>1360517</v>
      </c>
      <c r="Y19" s="26">
        <f>Y11-Y17</f>
        <v>1552860.8146899994</v>
      </c>
      <c r="Z19" s="29">
        <f>+Y19-X19</f>
        <v>192343.81468999945</v>
      </c>
      <c r="AA19" s="30">
        <f>IF(X19=0,"",(Y19-X19)/ABS(X19)+1)</f>
        <v>1.1413755320146675</v>
      </c>
      <c r="AB19" s="26">
        <f>AB11-AB17</f>
        <v>1729164.4371499997</v>
      </c>
      <c r="AC19" s="28">
        <f>IF(AB19=0,"",(Y19-AB19)/ABS(AB19))</f>
        <v>-0.10195885288421903</v>
      </c>
      <c r="AE19" s="31"/>
    </row>
    <row r="20" spans="2:32" x14ac:dyDescent="0.2">
      <c r="B20" s="33" t="s">
        <v>24</v>
      </c>
      <c r="C20" s="34">
        <f>SUM(C10:C19)</f>
        <v>898856</v>
      </c>
      <c r="D20" s="35">
        <f t="shared" si="0"/>
        <v>1</v>
      </c>
      <c r="E20" s="34">
        <f>SUM(E10:E19)</f>
        <v>920936.19700000016</v>
      </c>
      <c r="F20" s="35">
        <f t="shared" si="1"/>
        <v>1</v>
      </c>
      <c r="G20" s="35">
        <f t="shared" si="2"/>
        <v>1.0245647767829331</v>
      </c>
      <c r="H20" s="34">
        <f>SUM(H10:H19)</f>
        <v>874161.86400000006</v>
      </c>
      <c r="I20" s="35">
        <f>+H22/$H$22</f>
        <v>1</v>
      </c>
      <c r="J20" s="36">
        <f t="shared" si="4"/>
        <v>5.350763391343745E-2</v>
      </c>
      <c r="K20" s="34">
        <f>SUM(K10:K19)</f>
        <v>6175600</v>
      </c>
      <c r="L20" s="35">
        <f t="shared" si="5"/>
        <v>1</v>
      </c>
      <c r="M20" s="34">
        <f>SUM(M10:M19)</f>
        <v>6075437.4608000005</v>
      </c>
      <c r="N20" s="35">
        <f t="shared" si="6"/>
        <v>1</v>
      </c>
      <c r="O20" s="35">
        <f t="shared" si="7"/>
        <v>0.98378092182136156</v>
      </c>
      <c r="P20" s="34">
        <f>SUM(P10:P19)</f>
        <v>5385716.9101999998</v>
      </c>
      <c r="Q20" s="35">
        <f t="shared" si="8"/>
        <v>1</v>
      </c>
      <c r="R20" s="36">
        <f t="shared" si="9"/>
        <v>0.12806476131222941</v>
      </c>
      <c r="S20" s="21"/>
      <c r="T20" s="16"/>
      <c r="U20" s="26"/>
      <c r="V20" s="26"/>
      <c r="W20" s="26"/>
      <c r="X20" s="26"/>
      <c r="Y20" s="26"/>
      <c r="Z20" s="29"/>
      <c r="AA20" s="30"/>
      <c r="AB20" s="26"/>
      <c r="AC20" s="28" t="str">
        <f>IF(AB20=0,"",(Y20-AB20)/ABS(AB20))</f>
        <v/>
      </c>
      <c r="AE20" s="31"/>
    </row>
    <row r="21" spans="2:32" x14ac:dyDescent="0.2">
      <c r="J21" s="28"/>
      <c r="R21" s="28"/>
      <c r="S21" s="21"/>
      <c r="T21" s="16" t="s">
        <v>25</v>
      </c>
      <c r="U21" s="26">
        <f>+U10+U19</f>
        <v>365720.34425233828</v>
      </c>
      <c r="V21" s="26">
        <f>+V10+V19</f>
        <v>441870.31036</v>
      </c>
      <c r="W21" s="26">
        <f>+'COLOMB$ '!W21</f>
        <v>1247510.5344100001</v>
      </c>
      <c r="X21" s="26">
        <f>+X10+X19</f>
        <v>1844909</v>
      </c>
      <c r="Y21" s="26">
        <f>+Y10+Y19</f>
        <v>2037252.8146899994</v>
      </c>
      <c r="Z21" s="29">
        <f>+Y21-X21</f>
        <v>192343.81468999945</v>
      </c>
      <c r="AA21" s="30">
        <f>IF(X21=0,"",(Y21-X21)/ABS(X21)+1)</f>
        <v>1.1042565322679869</v>
      </c>
      <c r="AB21" s="26">
        <f>+'COLOMB$ '!AB21</f>
        <v>2319689.4371499997</v>
      </c>
      <c r="AC21" s="28">
        <f>IF(AB21=0,"",(Y21-AB21)/ABS(AB21))</f>
        <v>-0.1217562221635175</v>
      </c>
    </row>
    <row r="22" spans="2:32" x14ac:dyDescent="0.2">
      <c r="B22" s="16" t="s">
        <v>26</v>
      </c>
      <c r="C22" s="26">
        <f>+'COLOMB$ '!C22+'PROY SAT$'!C22</f>
        <v>82495</v>
      </c>
      <c r="D22" s="27">
        <f>+C22/$C$20</f>
        <v>9.1777770855398413E-2</v>
      </c>
      <c r="E22" s="26">
        <f>+'COLOMB$ '!E22+'PROY SAT$'!E22</f>
        <v>94434.959540000011</v>
      </c>
      <c r="F22" s="27">
        <f>+E22/$E$20</f>
        <v>0.10254234750206044</v>
      </c>
      <c r="G22" s="27">
        <f>IF(C22=0,"",(E22-C22)/ABS(C22)+1)</f>
        <v>1.1447355541547974</v>
      </c>
      <c r="H22" s="26">
        <f>+'COLOMB$ '!H22+'PROY SAT$'!H22</f>
        <v>39745.727899999998</v>
      </c>
      <c r="I22" s="27">
        <f>+H22/$H$20</f>
        <v>4.5467240721450641E-2</v>
      </c>
      <c r="J22" s="28">
        <f>IF(H22=0,"",(E22-H22)/ABS(H22))</f>
        <v>1.3759776089042268</v>
      </c>
      <c r="K22" s="26">
        <f>+'COLOMB$ '!K22+'PROY SAT$'!K22</f>
        <v>501280</v>
      </c>
      <c r="L22" s="27">
        <f>+K22/$K$20</f>
        <v>8.117106030183302E-2</v>
      </c>
      <c r="M22" s="26">
        <f>+'COLOMB$ '!M22+'PROY SAT$'!M22</f>
        <v>501715.43479999999</v>
      </c>
      <c r="N22" s="27">
        <f>+M22/$M$20</f>
        <v>8.2580956192401522E-2</v>
      </c>
      <c r="O22" s="27">
        <f>IF(K22=0,"",(M22-K22)/ABS(K22)+1)</f>
        <v>1.0008686458665814</v>
      </c>
      <c r="P22" s="26">
        <f>+'COLOMB$ '!P22+'PROY SAT$'!P22</f>
        <v>266690.26369000005</v>
      </c>
      <c r="Q22" s="27">
        <f>+P22/$P$20</f>
        <v>4.9518061965885325E-2</v>
      </c>
      <c r="R22" s="28">
        <f>IF(P22=0,"",(M22-P22)/ABS(P22))</f>
        <v>0.88126640942240198</v>
      </c>
      <c r="S22" s="21"/>
      <c r="AC22" s="28"/>
      <c r="AE22" s="31"/>
    </row>
    <row r="23" spans="2:32" x14ac:dyDescent="0.2">
      <c r="J23" s="28"/>
      <c r="R23" s="28"/>
      <c r="S23" s="21"/>
      <c r="T23" s="16" t="s">
        <v>27</v>
      </c>
      <c r="U23" s="26">
        <f>+'COLOMB$ '!U23</f>
        <v>5205</v>
      </c>
      <c r="V23" s="26">
        <f>+'COLOMB$ '!V23</f>
        <v>615.82500000000005</v>
      </c>
      <c r="W23" s="26">
        <f>+'COLOMB$ '!W23</f>
        <v>40245.120000000003</v>
      </c>
      <c r="X23" s="26">
        <f>+'COLOMB$ '!X23</f>
        <v>424785</v>
      </c>
      <c r="Y23" s="26">
        <f>+'COLOMB$ '!Y23</f>
        <v>567222.03300000005</v>
      </c>
      <c r="Z23" s="29">
        <f>+Y23-X23</f>
        <v>142437.03300000005</v>
      </c>
      <c r="AA23" s="30">
        <f>IF(X23=0,"",(Y23-X23)/ABS(X23)+1)</f>
        <v>1.3353155902397684</v>
      </c>
      <c r="AB23" s="26">
        <f>+'COLOMB$ '!AB23</f>
        <v>344404.40399999998</v>
      </c>
      <c r="AC23" s="28">
        <f>IF(AB23=0,"",(Y23-AB23)/ABS(AB23))</f>
        <v>0.64696509804212632</v>
      </c>
    </row>
    <row r="24" spans="2:32" x14ac:dyDescent="0.2">
      <c r="B24" s="37" t="s">
        <v>28</v>
      </c>
      <c r="C24" s="26">
        <f>+C20-C22</f>
        <v>816361</v>
      </c>
      <c r="D24" s="27">
        <f>+C24/$C$20</f>
        <v>0.9082222291446016</v>
      </c>
      <c r="E24" s="26">
        <f>+E20-E22</f>
        <v>826501.23746000021</v>
      </c>
      <c r="F24" s="27">
        <f>+E24/$E$20</f>
        <v>0.89745765249793963</v>
      </c>
      <c r="G24" s="27">
        <f>IF(C24=0,"",(E24-C24)/ABS(C24)+1)</f>
        <v>1.0124212664005265</v>
      </c>
      <c r="H24" s="26">
        <f>+H20-H22</f>
        <v>834416.1361</v>
      </c>
      <c r="I24" s="27">
        <f>+H24/$H$20</f>
        <v>0.9545327592785493</v>
      </c>
      <c r="J24" s="28">
        <f>IF(H24=0,"",(E24-H24)/ABS(H24))</f>
        <v>-9.4855531881172066E-3</v>
      </c>
      <c r="K24" s="26">
        <f>+K20-K22</f>
        <v>5674320</v>
      </c>
      <c r="L24" s="27">
        <f>+K24/$K$20</f>
        <v>0.91882893969816692</v>
      </c>
      <c r="M24" s="26">
        <f>+M20-M22</f>
        <v>5573722.0260000005</v>
      </c>
      <c r="N24" s="27">
        <f>+M24/$M$20</f>
        <v>0.91741904380759853</v>
      </c>
      <c r="O24" s="27">
        <f>IF(K24=0,"",(M24-K24)/ABS(K24)+1)</f>
        <v>0.98227136044495211</v>
      </c>
      <c r="P24" s="26">
        <f>+P20-P22</f>
        <v>5119026.6465099994</v>
      </c>
      <c r="Q24" s="27">
        <f>+P24/$P$20</f>
        <v>0.95048193803411463</v>
      </c>
      <c r="R24" s="28">
        <f>IF(P24=0,"",(M24-P24)/ABS(P24))</f>
        <v>8.882457757862991E-2</v>
      </c>
      <c r="S24" s="21"/>
      <c r="AC24" s="28"/>
    </row>
    <row r="25" spans="2:32" x14ac:dyDescent="0.2">
      <c r="J25" s="28"/>
      <c r="R25" s="28"/>
      <c r="T25" s="16" t="s">
        <v>29</v>
      </c>
      <c r="U25" s="26">
        <f>+'COLOMB$ '!U25</f>
        <v>321817</v>
      </c>
      <c r="V25" s="26">
        <f>+'COLOMB$ '!V25</f>
        <v>296674.11817999999</v>
      </c>
      <c r="W25" s="26">
        <f>+'COLOMB$ '!W25</f>
        <v>216256.52374999999</v>
      </c>
      <c r="X25" s="26">
        <f>+'COLOMB$ '!X25</f>
        <v>1295654</v>
      </c>
      <c r="Y25" s="26">
        <f>+'COLOMB$ '!Y25</f>
        <v>1291139.1565399999</v>
      </c>
      <c r="Z25" s="29">
        <f>+Y25-X25</f>
        <v>-4514.8434600001201</v>
      </c>
      <c r="AA25" s="30">
        <f>IF(X25=0,"",(Y25-X25)/ABS(X25)+1)</f>
        <v>0.99651539418702828</v>
      </c>
      <c r="AB25" s="26">
        <f>+'COLOMB$ '!AB25</f>
        <v>1108402.92374</v>
      </c>
      <c r="AC25" s="28">
        <f>IF(AB25=0,"",(Y25-AB25)/ABS(AB25))</f>
        <v>0.16486444494697547</v>
      </c>
    </row>
    <row r="26" spans="2:32" x14ac:dyDescent="0.2">
      <c r="B26" s="16" t="s">
        <v>30</v>
      </c>
      <c r="C26" s="26">
        <f>+'COLOMB$ '!C26+'PROY SAT$'!C26</f>
        <v>200413</v>
      </c>
      <c r="D26" s="27">
        <f>+C26/$C$20</f>
        <v>0.22296452379469014</v>
      </c>
      <c r="E26" s="26">
        <f>+'COLOMB$ '!E26+'PROY SAT$'!E26</f>
        <v>174358.68244</v>
      </c>
      <c r="F26" s="27">
        <f>+E26/$E$20</f>
        <v>0.18932764615831468</v>
      </c>
      <c r="G26" s="27">
        <f>IF(C26=0,"",(E26-C26)/ABS(C26)+1)</f>
        <v>0.86999686866620429</v>
      </c>
      <c r="H26" s="26">
        <f>+'COLOMB$ '!H26+'PROY SAT$'!H26</f>
        <v>169290.49709000002</v>
      </c>
      <c r="I26" s="27">
        <f>+H26/$H$20</f>
        <v>0.19366035520625274</v>
      </c>
      <c r="J26" s="28">
        <f>IF(H26=0,"",(E26-H26)/ABS(H26))</f>
        <v>2.99378018088374E-2</v>
      </c>
      <c r="K26" s="26">
        <f>+'COLOMB$ '!K26+'PROY SAT$'!K26</f>
        <v>1352345</v>
      </c>
      <c r="L26" s="27">
        <f>+K26/$K$20</f>
        <v>0.21898196126692143</v>
      </c>
      <c r="M26" s="26">
        <f>+'COLOMB$ '!M26+'PROY SAT$'!M26</f>
        <v>1321624.56865</v>
      </c>
      <c r="N26" s="27">
        <f>+M26/$M$20</f>
        <v>0.21753570457722585</v>
      </c>
      <c r="O26" s="27">
        <f>IF(K26=0,"",(M26-K26)/ABS(K26)+1)</f>
        <v>0.97728358418155137</v>
      </c>
      <c r="P26" s="26">
        <f>+'COLOMB$ '!P26+'PROY SAT$'!P26</f>
        <v>1075487.8805900002</v>
      </c>
      <c r="Q26" s="27">
        <f>+P26/$P$20</f>
        <v>0.1996926126126562</v>
      </c>
      <c r="R26" s="28">
        <f>IF(P26=0,"",(M26-P26)/ABS(P26))</f>
        <v>0.2288604943878792</v>
      </c>
      <c r="S26" s="21"/>
      <c r="AC26" s="28"/>
    </row>
    <row r="27" spans="2:32" x14ac:dyDescent="0.2">
      <c r="B27" s="16" t="s">
        <v>31</v>
      </c>
      <c r="C27" s="26">
        <f>+'COLOMB$ '!C27+'PROY SAT$'!C27</f>
        <v>283527</v>
      </c>
      <c r="D27" s="27">
        <f>+C27/$C$20</f>
        <v>0.31543094778251468</v>
      </c>
      <c r="E27" s="26">
        <f>+'COLOMB$ '!E27+'PROY SAT$'!E27</f>
        <v>288206.53912000003</v>
      </c>
      <c r="F27" s="27">
        <f>+E27/$E$20</f>
        <v>0.31294951817384148</v>
      </c>
      <c r="G27" s="27">
        <f>IF(C27=0,"",(E27-C27)/ABS(C27)+1)</f>
        <v>1.0165047389490243</v>
      </c>
      <c r="H27" s="26">
        <f>+'COLOMB$ '!H27+'PROY SAT$'!H27</f>
        <v>292290.51912999997</v>
      </c>
      <c r="I27" s="27">
        <f>+H27/$H$20</f>
        <v>0.33436658720449508</v>
      </c>
      <c r="J27" s="28">
        <f>IF(H27=0,"",(E27-H27)/ABS(H27))</f>
        <v>-1.3972331439814982E-2</v>
      </c>
      <c r="K27" s="26">
        <f>+'COLOMB$ '!K27+'PROY SAT$'!K27</f>
        <v>1977998</v>
      </c>
      <c r="L27" s="27">
        <f>+K27/$K$20</f>
        <v>0.32029244122028627</v>
      </c>
      <c r="M27" s="26">
        <f>+'COLOMB$ '!M27+'PROY SAT$'!M27</f>
        <v>1973172.50877</v>
      </c>
      <c r="N27" s="27">
        <f>+M27/$M$20</f>
        <v>0.3247786717419649</v>
      </c>
      <c r="O27" s="27">
        <f>IF(K27=0,"",(M27-K27)/ABS(K27)+1)</f>
        <v>0.99756041652721583</v>
      </c>
      <c r="P27" s="26">
        <f>+'COLOMB$ '!P27+'PROY SAT$'!P27</f>
        <v>2048753.0141099999</v>
      </c>
      <c r="Q27" s="27">
        <f>+P27/$P$20</f>
        <v>0.38040488355967433</v>
      </c>
      <c r="R27" s="28">
        <f>IF(P27=0,"",(M27-P27)/ABS(P27))</f>
        <v>-3.6890979449190897E-2</v>
      </c>
      <c r="S27" s="21"/>
      <c r="T27" s="16" t="s">
        <v>32</v>
      </c>
      <c r="U27" s="26">
        <f>+'COLOMB$ '!U27</f>
        <v>-47425</v>
      </c>
      <c r="V27" s="26">
        <f>+'COLOMB$ '!V27</f>
        <v>8111.3116</v>
      </c>
      <c r="W27" s="26">
        <f>+'COLOMB$ '!W27</f>
        <v>32361.787</v>
      </c>
      <c r="X27" s="26">
        <f>+'COLOMB$ '!X27</f>
        <v>-194153</v>
      </c>
      <c r="Y27" s="26">
        <f>+'COLOMB$ '!Y27</f>
        <v>-161204.40708</v>
      </c>
      <c r="Z27" s="29">
        <f>+Y27-X27</f>
        <v>32948.592919999996</v>
      </c>
      <c r="AA27" s="30">
        <f>IF(X27=0,"",(Y27-X27)/ABS(X27)+1)</f>
        <v>1.1697042689013304</v>
      </c>
      <c r="AB27" s="26">
        <f>+'COLOMB$ '!AB27</f>
        <v>-91765.44872</v>
      </c>
      <c r="AC27" s="28">
        <f>IF(AB27=0,"",(Y27-AB27)/ABS(AB27))</f>
        <v>-0.75670047200309709</v>
      </c>
    </row>
    <row r="28" spans="2:32" x14ac:dyDescent="0.2">
      <c r="B28" s="16" t="s">
        <v>33</v>
      </c>
      <c r="C28" s="26">
        <f>SUM(C26:C27)</f>
        <v>483940</v>
      </c>
      <c r="D28" s="27">
        <f>+C28/$C$20</f>
        <v>0.5383954715772048</v>
      </c>
      <c r="E28" s="26">
        <f>SUM(E26:E27)</f>
        <v>462565.22156000003</v>
      </c>
      <c r="F28" s="27">
        <f>+E28/$E$20</f>
        <v>0.50227716433215619</v>
      </c>
      <c r="G28" s="27">
        <f>IF(C28=0,"",(E28-C28)/ABS(C28)+1)</f>
        <v>0.95583175922635044</v>
      </c>
      <c r="H28" s="26">
        <f>SUM(H26:H27)</f>
        <v>461581.01621999999</v>
      </c>
      <c r="I28" s="27">
        <f>+H28/$H$20</f>
        <v>0.52802694241074777</v>
      </c>
      <c r="J28" s="28">
        <f>IF(H28=0,"",(E28-H28)/ABS(H28))</f>
        <v>2.1322483061802298E-3</v>
      </c>
      <c r="K28" s="26">
        <f>SUM(K26:K27)</f>
        <v>3330343</v>
      </c>
      <c r="L28" s="27">
        <f>+K28/$K$20</f>
        <v>0.5392744024872077</v>
      </c>
      <c r="M28" s="26">
        <f>SUM(M26:M27)</f>
        <v>3294797.07742</v>
      </c>
      <c r="N28" s="27">
        <f>+M28/$M$20</f>
        <v>0.54231437631919077</v>
      </c>
      <c r="O28" s="27">
        <f>IF(K28=0,"",(M28-K28)/ABS(K28)+1)</f>
        <v>0.98932664816206617</v>
      </c>
      <c r="P28" s="26">
        <f>SUM(P26:P27)</f>
        <v>3124240.8947000001</v>
      </c>
      <c r="Q28" s="27">
        <f>+P28/$P$20</f>
        <v>0.58009749617233053</v>
      </c>
      <c r="R28" s="28">
        <f>IF(P28=0,"",(M28-P28)/ABS(P28))</f>
        <v>5.4591239430139174E-2</v>
      </c>
      <c r="S28" s="21"/>
      <c r="T28" s="16" t="s">
        <v>34</v>
      </c>
      <c r="U28" s="26">
        <f>+'COLOMB$ '!U28</f>
        <v>77500</v>
      </c>
      <c r="V28" s="26">
        <f>+'COLOMB$ '!V28</f>
        <v>79783.751000000004</v>
      </c>
      <c r="W28" s="26">
        <f>+'COLOMB$ '!W28</f>
        <v>0</v>
      </c>
      <c r="X28" s="26">
        <f>+'COLOMB$ '!X28</f>
        <v>310000</v>
      </c>
      <c r="Y28" s="26">
        <f>+'COLOMB$ '!Y28</f>
        <v>283410.13500000001</v>
      </c>
      <c r="Z28" s="29">
        <f>+Y28-X28</f>
        <v>-26589.864999999991</v>
      </c>
      <c r="AA28" s="30">
        <f>IF(X28=0,"",(Y28-X28)/ABS(X28)+1)</f>
        <v>0.91422624193548385</v>
      </c>
      <c r="AB28" s="26">
        <f>+'COLOMB$ '!AB28</f>
        <v>0</v>
      </c>
      <c r="AC28" s="28" t="str">
        <f>IF(AB28=0,"",(Y28-AB28)/ABS(AB28))</f>
        <v/>
      </c>
    </row>
    <row r="29" spans="2:32" x14ac:dyDescent="0.2">
      <c r="J29" s="28"/>
      <c r="R29" s="28"/>
      <c r="S29" s="21"/>
      <c r="AC29" s="2"/>
    </row>
    <row r="30" spans="2:32" x14ac:dyDescent="0.2">
      <c r="B30" s="16" t="s">
        <v>35</v>
      </c>
      <c r="C30" s="26">
        <f>+'COLOMB$ '!C30+'PROY SAT$'!C30</f>
        <v>59281</v>
      </c>
      <c r="D30" s="27">
        <f>+C30/$C$20</f>
        <v>6.5951609601537953E-2</v>
      </c>
      <c r="E30" s="26">
        <f>+'COLOMB$ '!E30+'PROY SAT$'!E30</f>
        <v>48360.814579999998</v>
      </c>
      <c r="F30" s="27">
        <f>+E30/$E$20</f>
        <v>5.2512665630407393E-2</v>
      </c>
      <c r="G30" s="27">
        <f>IF(C30=0,"",(E30-C30)/ABS(C30)+1)</f>
        <v>0.81578945328182717</v>
      </c>
      <c r="H30" s="26">
        <f>+'COLOMB$ '!H30+'PROY SAT$'!H30</f>
        <v>39640.550079999994</v>
      </c>
      <c r="I30" s="27">
        <f>+H30/$H$20</f>
        <v>4.5346922249172826E-2</v>
      </c>
      <c r="J30" s="28">
        <f>IF(H30=0,"",(E30-H30)/ABS(H30))</f>
        <v>0.21998343823184419</v>
      </c>
      <c r="K30" s="26">
        <f>+'COLOMB$ '!K30+'PROY SAT$'!K30</f>
        <v>362856</v>
      </c>
      <c r="L30" s="27">
        <f>+K30/$K$20</f>
        <v>5.8756396139646352E-2</v>
      </c>
      <c r="M30" s="26">
        <f>+'COLOMB$ '!M30+'PROY SAT$'!M30</f>
        <v>345495.57800000004</v>
      </c>
      <c r="N30" s="27">
        <f>+M30/$M$20</f>
        <v>5.6867605045597146E-2</v>
      </c>
      <c r="O30" s="27">
        <f>IF(K30=0,"",(M30-K30)/ABS(K30)+1)</f>
        <v>0.95215616663359581</v>
      </c>
      <c r="P30" s="26">
        <f>+'COLOMB$ '!P30+'PROY SAT$'!P30</f>
        <v>283496.92633000005</v>
      </c>
      <c r="Q30" s="27">
        <f>+P30/$P$20</f>
        <v>5.2638660935387396E-2</v>
      </c>
      <c r="R30" s="28">
        <f>IF(P30=0,"",(M30-P30)/ABS(P30))</f>
        <v>0.2186925003829899</v>
      </c>
      <c r="S30" s="21"/>
      <c r="T30" s="33" t="s">
        <v>36</v>
      </c>
      <c r="U30" s="34">
        <f>U21-U23-U25-U27-U28</f>
        <v>8623.3442523382837</v>
      </c>
      <c r="V30" s="34">
        <f>V21-V23-V25-V27-V28</f>
        <v>56685.304580000011</v>
      </c>
      <c r="W30" s="34">
        <f>W21-W23-W25-W27-W28</f>
        <v>958647.10366000002</v>
      </c>
      <c r="X30" s="34">
        <f>X21-X23-X25-X27-X28</f>
        <v>8623</v>
      </c>
      <c r="Y30" s="34">
        <f>Y21-Y23-Y25-Y27-Y28</f>
        <v>56685.897229999537</v>
      </c>
      <c r="Z30" s="38">
        <f>+Y30-X30</f>
        <v>48062.897229999537</v>
      </c>
      <c r="AA30" s="39">
        <f>IF(U30=0,"",(V30-U30)/ABS(U30)+1)</f>
        <v>6.5734711408082047</v>
      </c>
      <c r="AB30" s="34">
        <f>AB21-AB23-AB25-AB27-AB28</f>
        <v>958647.55812999955</v>
      </c>
      <c r="AC30" s="28">
        <f>IF(AB30=0,"",(Y30-AB30)/ABS(AB30))</f>
        <v>-0.94086888685078929</v>
      </c>
    </row>
    <row r="31" spans="2:32" x14ac:dyDescent="0.2">
      <c r="B31" s="16" t="s">
        <v>37</v>
      </c>
      <c r="C31" s="26">
        <f>+'COLOMB$ '!C31+'PROY SAT$'!C31</f>
        <v>170227</v>
      </c>
      <c r="D31" s="27">
        <f>+C31/$C$20</f>
        <v>0.1893818364676878</v>
      </c>
      <c r="E31" s="26">
        <f>+'COLOMB$ '!E31+'PROY SAT$'!E31</f>
        <v>164934.58606999999</v>
      </c>
      <c r="F31" s="27">
        <f>+E31/$E$20</f>
        <v>0.17909447647652832</v>
      </c>
      <c r="G31" s="27">
        <f>IF(C31=0,"",(E31-C31)/ABS(C31)+1)</f>
        <v>0.96890966809025592</v>
      </c>
      <c r="H31" s="26">
        <f>+'COLOMB$ '!H31+'PROY SAT$'!H31</f>
        <v>159719.96419</v>
      </c>
      <c r="I31" s="27">
        <f>+H31/$H$20</f>
        <v>0.18271211633409803</v>
      </c>
      <c r="J31" s="28">
        <f>IF(H31=0,"",(E31-H31)/ABS(H31))</f>
        <v>3.2648528982868859E-2</v>
      </c>
      <c r="K31" s="26">
        <f>+'COLOMB$ '!K31+'PROY SAT$'!K31</f>
        <v>1243693</v>
      </c>
      <c r="L31" s="27">
        <f>+K31/$K$20</f>
        <v>0.20138820519463696</v>
      </c>
      <c r="M31" s="26">
        <f>+'COLOMB$ '!M31+'PROY SAT$'!M31</f>
        <v>1186546.2657899999</v>
      </c>
      <c r="N31" s="27">
        <f>+M31/$M$20</f>
        <v>0.19530219403061028</v>
      </c>
      <c r="O31" s="27">
        <f>IF(K31=0,"",(M31-K31)/ABS(K31)+1)</f>
        <v>0.95405077120318271</v>
      </c>
      <c r="P31" s="26">
        <f>+'COLOMB$ '!P31+'PROY SAT$'!P31</f>
        <v>1079040.26725</v>
      </c>
      <c r="Q31" s="27">
        <f>+P31/$P$20</f>
        <v>0.20035220663128572</v>
      </c>
      <c r="R31" s="28">
        <f>IF(P31=0,"",(M31-P31)/ABS(P31))</f>
        <v>9.9631127588950333E-2</v>
      </c>
      <c r="S31" s="21"/>
    </row>
    <row r="32" spans="2:32" x14ac:dyDescent="0.2">
      <c r="B32" s="16" t="s">
        <v>38</v>
      </c>
      <c r="C32" s="26">
        <f>SUM(C30:C31)</f>
        <v>229508</v>
      </c>
      <c r="D32" s="27">
        <f>+C32/$C$20</f>
        <v>0.25533344606922576</v>
      </c>
      <c r="E32" s="26">
        <f>SUM(E30:E31)</f>
        <v>213295.40065</v>
      </c>
      <c r="F32" s="27">
        <f>+E32/$E$20</f>
        <v>0.23160714210693573</v>
      </c>
      <c r="G32" s="27">
        <f>IF(C32=0,"",(E32-C32)/ABS(C32)+1)</f>
        <v>0.92935932799728116</v>
      </c>
      <c r="H32" s="26">
        <f>SUM(H30:H31)</f>
        <v>199360.51426999999</v>
      </c>
      <c r="I32" s="27">
        <f>+H32/$H$20</f>
        <v>0.22805903858327087</v>
      </c>
      <c r="J32" s="28">
        <f>IF(H32=0,"",(E32-H32)/ABS(H32))</f>
        <v>6.9897925529664173E-2</v>
      </c>
      <c r="K32" s="26">
        <f>SUM(K30:K31)</f>
        <v>1606549</v>
      </c>
      <c r="L32" s="27">
        <f>+K32/$K$20</f>
        <v>0.2601446013342833</v>
      </c>
      <c r="M32" s="26">
        <f>SUM(M30:M31)</f>
        <v>1532041.8437899998</v>
      </c>
      <c r="N32" s="27">
        <f>+M32/$M$20</f>
        <v>0.2521697990762074</v>
      </c>
      <c r="O32" s="27">
        <f>IF(K32=0,"",(M32-K32)/ABS(K32)+1)</f>
        <v>0.9536228548211102</v>
      </c>
      <c r="P32" s="26">
        <f t="shared" ref="P32" si="10">SUM(P30:P31)</f>
        <v>1362537.1935800002</v>
      </c>
      <c r="Q32" s="27">
        <f>+P32/$P$20</f>
        <v>0.25299086756667316</v>
      </c>
      <c r="R32" s="28">
        <f>IF(P32=0,"",(M32-P32)/ABS(P32))</f>
        <v>0.12440368674607291</v>
      </c>
      <c r="S32" s="21"/>
    </row>
    <row r="33" spans="2:20" x14ac:dyDescent="0.2">
      <c r="J33" s="28"/>
      <c r="R33" s="28"/>
      <c r="S33" s="21"/>
    </row>
    <row r="34" spans="2:20" x14ac:dyDescent="0.2">
      <c r="B34" s="16" t="s">
        <v>39</v>
      </c>
      <c r="C34" s="26">
        <f>C28+C32</f>
        <v>713448</v>
      </c>
      <c r="D34" s="27">
        <f>+C34/$C$20</f>
        <v>0.79372891764643061</v>
      </c>
      <c r="E34" s="26">
        <f>E28+E32</f>
        <v>675860.62221000006</v>
      </c>
      <c r="F34" s="27">
        <f>+E34/$E$20</f>
        <v>0.73388430643909197</v>
      </c>
      <c r="G34" s="27">
        <f>IF(C34=0,"",(E34-C34)/ABS(C34)+1)</f>
        <v>0.94731588316177218</v>
      </c>
      <c r="H34" s="26">
        <f>H28+H32</f>
        <v>660941.53049000003</v>
      </c>
      <c r="I34" s="27">
        <f>+H34/$H$20</f>
        <v>0.75608598099401869</v>
      </c>
      <c r="J34" s="28">
        <f>IF(H34=0,"",(E34-H34)/ABS(H34))</f>
        <v>2.2572483391896266E-2</v>
      </c>
      <c r="K34" s="26">
        <f>K28+K32</f>
        <v>4936892</v>
      </c>
      <c r="L34" s="27">
        <f>+K34/$K$20</f>
        <v>0.799419003821491</v>
      </c>
      <c r="M34" s="26">
        <f>M28+M32</f>
        <v>4826838.9212100003</v>
      </c>
      <c r="N34" s="27">
        <f>+M34/$M$20</f>
        <v>0.79448417539539817</v>
      </c>
      <c r="O34" s="27">
        <f>IF(K34=0,"",(M34-K34)/ABS(K34)+1)</f>
        <v>0.97770802383564404</v>
      </c>
      <c r="P34" s="26">
        <f>P28+P32</f>
        <v>4486778.0882799998</v>
      </c>
      <c r="Q34" s="27">
        <f>+P34/$P$20</f>
        <v>0.83308836373900352</v>
      </c>
      <c r="R34" s="28">
        <f>IF(P34=0,"",(M34-P34)/ABS(P34))</f>
        <v>7.5791765547371284E-2</v>
      </c>
      <c r="S34" s="21"/>
    </row>
    <row r="35" spans="2:20" x14ac:dyDescent="0.2">
      <c r="J35" s="28"/>
      <c r="R35" s="28"/>
      <c r="S35" s="21"/>
    </row>
    <row r="36" spans="2:20" x14ac:dyDescent="0.2">
      <c r="B36" s="33" t="s">
        <v>40</v>
      </c>
      <c r="C36" s="34">
        <f>C24-C34</f>
        <v>102913</v>
      </c>
      <c r="D36" s="35">
        <f>+C36/$C$20</f>
        <v>0.114493311498171</v>
      </c>
      <c r="E36" s="34">
        <f>E24-E34</f>
        <v>150640.61525000015</v>
      </c>
      <c r="F36" s="35">
        <f>+E36/$E$20</f>
        <v>0.16357334605884769</v>
      </c>
      <c r="G36" s="35">
        <f>IF(C36=0,"",(E36-C36)/ABS(C36)+1)</f>
        <v>1.4637666305520212</v>
      </c>
      <c r="H36" s="34">
        <f>H24-H34</f>
        <v>173474.60560999997</v>
      </c>
      <c r="I36" s="35">
        <f>+H36/$H$20</f>
        <v>0.19844677828453056</v>
      </c>
      <c r="J36" s="36">
        <f>IF(H36=0,"",(E36-H36)/ABS(H36))</f>
        <v>-0.13162727927645193</v>
      </c>
      <c r="K36" s="34">
        <f>K24-K34</f>
        <v>737428</v>
      </c>
      <c r="L36" s="35">
        <f>+K36/$K$20</f>
        <v>0.11940993587667595</v>
      </c>
      <c r="M36" s="34">
        <f>+M24-M34</f>
        <v>746883.10479000024</v>
      </c>
      <c r="N36" s="35">
        <f>+M36/$M$20</f>
        <v>0.12293486841220028</v>
      </c>
      <c r="O36" s="35">
        <f>IF(K36=0,"",(M36-K36)/ABS(K36)+1)</f>
        <v>1.012821732820018</v>
      </c>
      <c r="P36" s="34">
        <f>P24-P34</f>
        <v>632248.55822999962</v>
      </c>
      <c r="Q36" s="35">
        <f>+P36/$P$20</f>
        <v>0.11739357429511105</v>
      </c>
      <c r="R36" s="36">
        <f>IF(P36=0,"",(M36-P36)/ABS(P36))</f>
        <v>0.18131246812317575</v>
      </c>
      <c r="S36" s="21"/>
    </row>
    <row r="37" spans="2:20" x14ac:dyDescent="0.2">
      <c r="J37" s="28"/>
      <c r="R37" s="28"/>
      <c r="S37" s="21"/>
    </row>
    <row r="38" spans="2:20" x14ac:dyDescent="0.2">
      <c r="B38" s="16" t="s">
        <v>41</v>
      </c>
      <c r="C38" s="26">
        <f>+'COLOMB$ '!C38+'PROY SAT$'!C38</f>
        <v>640</v>
      </c>
      <c r="D38" s="27">
        <f>+C38/$C$20</f>
        <v>7.1201616276689479E-4</v>
      </c>
      <c r="E38" s="26">
        <f>+'COLOMB$ '!E38+'PROY SAT$'!E38</f>
        <v>3115.80879</v>
      </c>
      <c r="F38" s="27">
        <f>+E38/$E$20</f>
        <v>3.3833058143983448E-3</v>
      </c>
      <c r="G38" s="27">
        <f>IF(C38=0,"",(E38-C38)/ABS(C38)+1)</f>
        <v>4.8684512343749997</v>
      </c>
      <c r="H38" s="26">
        <f>+'COLOMB$ '!H38+'PROY SAT$'!H38</f>
        <v>6945.0340199999991</v>
      </c>
      <c r="I38" s="27">
        <f>+H38/$H$20</f>
        <v>7.9447918126064557E-3</v>
      </c>
      <c r="J38" s="28">
        <f>IF(H38=0,"",(E38-H38)/ABS(H38))</f>
        <v>-0.55136162313572068</v>
      </c>
      <c r="K38" s="26">
        <f>+'COLOMB$ '!K38+'PROY SAT$'!K38</f>
        <v>4480</v>
      </c>
      <c r="L38" s="27">
        <f>+K38/$K$20</f>
        <v>7.2543558520629572E-4</v>
      </c>
      <c r="M38" s="26">
        <f>+'COLOMB$ '!M38+'PROY SAT$'!M38</f>
        <v>13806.379300000001</v>
      </c>
      <c r="N38" s="27">
        <f>+M38/$M$20</f>
        <v>2.2724913866831254E-3</v>
      </c>
      <c r="O38" s="27">
        <f>IF(K38=0,"",(M38-K38)/ABS(K38)+1)</f>
        <v>3.0817810937500001</v>
      </c>
      <c r="P38" s="26">
        <f>+'COLOMB$ '!P38+'PROY SAT$'!P38</f>
        <v>191214.79319999999</v>
      </c>
      <c r="Q38" s="27">
        <f>+P38/$P$20</f>
        <v>3.5504055706652278E-2</v>
      </c>
      <c r="R38" s="28">
        <f>IF(P38=0,"",(M38-P38)/ABS(P38))</f>
        <v>-0.92779648964942107</v>
      </c>
      <c r="S38" s="21"/>
    </row>
    <row r="39" spans="2:20" x14ac:dyDescent="0.2">
      <c r="B39" s="16" t="s">
        <v>42</v>
      </c>
      <c r="C39" s="26">
        <f>+'COLOMB$ '!C39+'PROY SAT$'!C39</f>
        <v>14555</v>
      </c>
      <c r="D39" s="27">
        <f>+C39/$C$20</f>
        <v>1.619280507667524E-2</v>
      </c>
      <c r="E39" s="26">
        <f>+'COLOMB$ '!E39+'PROY SAT$'!E39</f>
        <v>20582.752640000002</v>
      </c>
      <c r="F39" s="27">
        <f>+E39/$E$20</f>
        <v>2.2349813925274565E-2</v>
      </c>
      <c r="G39" s="27">
        <f>IF(C39=0,"",(E39-C39)/ABS(C39)+1)</f>
        <v>1.4141362171075234</v>
      </c>
      <c r="H39" s="26">
        <f>+'COLOMB$ '!H39+'PROY SAT$'!H39</f>
        <v>30590.777670000003</v>
      </c>
      <c r="I39" s="27">
        <f>+H39/$H$20</f>
        <v>3.4994408850121152E-2</v>
      </c>
      <c r="J39" s="28">
        <f>IF(H39=0,"",(E39-H39)/ABS(H39))</f>
        <v>-0.32715824154463213</v>
      </c>
      <c r="K39" s="26">
        <f>+'COLOMB$ '!K39+'PROY SAT$'!K39</f>
        <v>106441</v>
      </c>
      <c r="L39" s="27">
        <f>+K39/$K$20</f>
        <v>1.723573417967485E-2</v>
      </c>
      <c r="M39" s="26">
        <f>+'COLOMB$ '!M39+'PROY SAT$'!M39</f>
        <v>128466.4243</v>
      </c>
      <c r="N39" s="27">
        <f>+M39/$M$20</f>
        <v>2.1145213843265176E-2</v>
      </c>
      <c r="O39" s="27">
        <f>IF(K39=0,"",(M39-K39)/ABS(K39)+1)</f>
        <v>1.2069261309082027</v>
      </c>
      <c r="P39" s="26">
        <f>+'COLOMB$ '!P39+'PROY SAT$'!P39</f>
        <v>194922.16868999999</v>
      </c>
      <c r="Q39" s="27">
        <f>+P39/$P$20</f>
        <v>3.61924274781018E-2</v>
      </c>
      <c r="R39" s="28">
        <f>IF(P39=0,"",(M39-P39)/ABS(P39))</f>
        <v>-0.34093476815194773</v>
      </c>
      <c r="S39" s="21"/>
    </row>
    <row r="40" spans="2:20" x14ac:dyDescent="0.2">
      <c r="J40" s="28"/>
      <c r="R40" s="28"/>
    </row>
    <row r="41" spans="2:20" x14ac:dyDescent="0.2">
      <c r="B41" s="16" t="s">
        <v>43</v>
      </c>
      <c r="C41" s="26">
        <f>C36+C38-C39</f>
        <v>88998</v>
      </c>
      <c r="D41" s="27">
        <f>+C41/$C$20</f>
        <v>9.9012522584262658E-2</v>
      </c>
      <c r="E41" s="26">
        <f>E36+E38-E39</f>
        <v>133173.67140000017</v>
      </c>
      <c r="F41" s="27">
        <f>+E41/$E$20</f>
        <v>0.14460683794797149</v>
      </c>
      <c r="G41" s="27">
        <f>IF(C41=0,"",(E41-C41)/ABS(C41)+1)</f>
        <v>1.4963670127418611</v>
      </c>
      <c r="H41" s="26">
        <f>H36+H38-H39</f>
        <v>149828.86195999995</v>
      </c>
      <c r="I41" s="27">
        <f>+H41/$H$20</f>
        <v>0.17139716124701584</v>
      </c>
      <c r="J41" s="28">
        <f>IF(H41=0,"",(E41-H41)/ABS(H41))</f>
        <v>-0.11116143006176105</v>
      </c>
      <c r="K41" s="26">
        <f>K36+K38-K39</f>
        <v>635467</v>
      </c>
      <c r="L41" s="27">
        <f>+K41/$K$20</f>
        <v>0.1028996372822074</v>
      </c>
      <c r="M41" s="26">
        <f>M36+M38-M39</f>
        <v>632223.05979000032</v>
      </c>
      <c r="N41" s="27">
        <f>+M41/$M$20</f>
        <v>0.10406214595561825</v>
      </c>
      <c r="O41" s="27">
        <f>IF(K41=0,"",(M41-K41)/ABS(K41)+1)</f>
        <v>0.99489518698846724</v>
      </c>
      <c r="P41" s="26">
        <f>P36+P38-P39</f>
        <v>628541.18273999961</v>
      </c>
      <c r="Q41" s="27">
        <f>+P41/$P$20</f>
        <v>0.11670520252366154</v>
      </c>
      <c r="R41" s="28">
        <f>IF(P41=0,"",(M41-P41)/ABS(P41))</f>
        <v>5.8578135388842809E-3</v>
      </c>
    </row>
    <row r="42" spans="2:20" x14ac:dyDescent="0.2">
      <c r="B42" s="16" t="s">
        <v>29</v>
      </c>
      <c r="C42" s="26">
        <f>+'COLOMB$ '!C42+'PROY SAT$'!C42</f>
        <v>32039</v>
      </c>
      <c r="D42" s="27">
        <f>+C42/$C$20</f>
        <v>3.5644196623263347E-2</v>
      </c>
      <c r="E42" s="26">
        <f>+'COLOMB$ '!E42+'PROY SAT$'!E42</f>
        <v>48177.533000000003</v>
      </c>
      <c r="F42" s="27">
        <f>+E42/$E$20</f>
        <v>5.2313649042073647E-2</v>
      </c>
      <c r="G42" s="27">
        <f>IF(C42=0,"",(E42-C42)/ABS(C42)+1)</f>
        <v>1.5037152532850588</v>
      </c>
      <c r="H42" s="26">
        <f>+'COLOMB$ '!H42+'PROY SAT$'!H42</f>
        <v>74084.373000000007</v>
      </c>
      <c r="I42" s="27">
        <f>+H42/$H$20</f>
        <v>8.4749033389541692E-2</v>
      </c>
      <c r="J42" s="28">
        <f>IF(H42=0,"",(E42-H42)/ABS(H42))</f>
        <v>-0.34969372015877087</v>
      </c>
      <c r="K42" s="26">
        <f>+'COLOMB$ '!K42+'PROY SAT$'!K42</f>
        <v>228769</v>
      </c>
      <c r="L42" s="27">
        <f>+K42/$K$20</f>
        <v>3.704401191787033E-2</v>
      </c>
      <c r="M42" s="26">
        <f>+'COLOMB$ '!M42+'PROY SAT$'!M42</f>
        <v>233784.747</v>
      </c>
      <c r="N42" s="27">
        <f>+M42/$M$20</f>
        <v>3.8480314958129078E-2</v>
      </c>
      <c r="O42" s="27">
        <f>IF(K42=0,"",(M42-K42)/ABS(K42)+1)</f>
        <v>1.0219249417534719</v>
      </c>
      <c r="P42" s="26">
        <f>+'COLOMB$ '!P42+'PROY SAT$'!P42</f>
        <v>230804.00200000001</v>
      </c>
      <c r="Q42" s="27">
        <f>+P42/$P$20</f>
        <v>4.2854833599382233E-2</v>
      </c>
      <c r="R42" s="28">
        <f>IF(P42=0,"",(M42-P42)/ABS(P42))</f>
        <v>1.2914615752633246E-2</v>
      </c>
    </row>
    <row r="43" spans="2:20" x14ac:dyDescent="0.2">
      <c r="B43" s="33" t="s">
        <v>44</v>
      </c>
      <c r="C43" s="34">
        <f>C41-C42</f>
        <v>56959</v>
      </c>
      <c r="D43" s="35">
        <f>+C43/$C$20</f>
        <v>6.3368325960999311E-2</v>
      </c>
      <c r="E43" s="34">
        <f>E41-E42</f>
        <v>84996.138400000171</v>
      </c>
      <c r="F43" s="35">
        <f>+E43/$E$20</f>
        <v>9.2293188905897855E-2</v>
      </c>
      <c r="G43" s="35">
        <f>IF(C43=0,"",(E43-C43)/ABS(C43)+1)</f>
        <v>1.49223368387788</v>
      </c>
      <c r="H43" s="34">
        <f>H41-H42</f>
        <v>75744.488959999944</v>
      </c>
      <c r="I43" s="35">
        <f>+H43/$H$20</f>
        <v>8.6648127857474166E-2</v>
      </c>
      <c r="J43" s="36">
        <f>IF(H43=0,"",(E43-H43)/ABS(H43))</f>
        <v>0.12214287226739293</v>
      </c>
      <c r="K43" s="34">
        <f>+K41-K42</f>
        <v>406698</v>
      </c>
      <c r="L43" s="35">
        <f>+K43/$K$20</f>
        <v>6.5855625364337075E-2</v>
      </c>
      <c r="M43" s="34">
        <f>+M41-M42</f>
        <v>398438.31279000035</v>
      </c>
      <c r="N43" s="35">
        <f>+M43/$M$20</f>
        <v>6.5581830997489168E-2</v>
      </c>
      <c r="O43" s="35">
        <f>IF(K43=0,"",(M43-K43)/ABS(K43)+1)</f>
        <v>0.97969085854860449</v>
      </c>
      <c r="P43" s="34">
        <f>+P41-P42</f>
        <v>397737.18073999963</v>
      </c>
      <c r="Q43" s="35">
        <f>+P43/$P$20</f>
        <v>7.3850368924279305E-2</v>
      </c>
      <c r="R43" s="36">
        <f>IF(P43=0,"",(M43-P43)/ABS(P43))</f>
        <v>1.7628023829611304E-3</v>
      </c>
      <c r="T43" s="31"/>
    </row>
    <row r="44" spans="2:20" x14ac:dyDescent="0.2">
      <c r="J44" s="28"/>
      <c r="R44" s="28"/>
    </row>
    <row r="45" spans="2:20" x14ac:dyDescent="0.2">
      <c r="B45" s="16" t="s">
        <v>45</v>
      </c>
      <c r="C45" s="26">
        <f>+'COLOMB$ '!C45+'PROY SAT$'!C45</f>
        <v>141302</v>
      </c>
      <c r="D45" s="27">
        <f>+C45/$C$20</f>
        <v>0.15720204348638714</v>
      </c>
      <c r="E45" s="26">
        <f>+'COLOMB$ '!E45+'PROY SAT$'!E45</f>
        <v>191974.78785000026</v>
      </c>
      <c r="F45" s="27">
        <f>+E45/$E$20</f>
        <v>0.20845612158080939</v>
      </c>
      <c r="G45" s="27">
        <f>IF(C45=0,"",(E45-C45)/ABS(C45)+1)</f>
        <v>1.3586133802069345</v>
      </c>
      <c r="H45" s="26">
        <f>+'COLOMB$ '!H45+'PROY SAT$'!H45</f>
        <v>107543.75063999991</v>
      </c>
      <c r="I45" s="27">
        <f>+H45/$H$20</f>
        <v>0.12302498549627865</v>
      </c>
      <c r="J45" s="28">
        <f>IF(H45=0,"",(E45-H45)/ABS(H45))</f>
        <v>0.78508548109532827</v>
      </c>
      <c r="K45" s="26">
        <f>+'COLOMB$ '!K45+'PROY SAT$'!K45</f>
        <v>1029233</v>
      </c>
      <c r="L45" s="27">
        <f>+K45/$K$20</f>
        <v>0.16666121510460521</v>
      </c>
      <c r="M45" s="26">
        <f>+'COLOMB$ '!M45+'PROY SAT$'!M45</f>
        <v>1047983.4533700005</v>
      </c>
      <c r="N45" s="27">
        <f>+M45/$M$20</f>
        <v>0.17249514296407625</v>
      </c>
      <c r="O45" s="27">
        <f>IF(K45=0,"",(M45-K45)/ABS(K45)+1)</f>
        <v>1.0182178897975487</v>
      </c>
      <c r="P45" s="26">
        <f>+'COLOMB$ '!P45+'PROY SAT$'!P45</f>
        <v>882796.96415999939</v>
      </c>
      <c r="Q45" s="27">
        <f>+P45/$P$20</f>
        <v>0.16391447580322532</v>
      </c>
      <c r="R45" s="28">
        <f>IF(P45=0,"",(M45-P45)/ABS(P45))</f>
        <v>0.18711719219286127</v>
      </c>
    </row>
    <row r="46" spans="2:20" x14ac:dyDescent="0.2">
      <c r="B46" s="16" t="s">
        <v>20</v>
      </c>
      <c r="C46" s="26">
        <f>+'COLOMB$ '!C46+'PROY SAT$'!C46</f>
        <v>381190</v>
      </c>
      <c r="D46" s="27">
        <f>+C46/$C$20</f>
        <v>0.42408350169548847</v>
      </c>
      <c r="E46" s="26">
        <f>+'COLOMB$ '!E46+'PROY SAT$'!E46</f>
        <v>357533.26299999998</v>
      </c>
      <c r="F46" s="27">
        <f>+E46/$E$20</f>
        <v>0.38822804898394053</v>
      </c>
      <c r="G46" s="27">
        <f>IF(C46=0,"",(E46-C46)/ABS(C46)+1)</f>
        <v>0.93793977544006923</v>
      </c>
      <c r="H46" s="26">
        <f>+'COLOMB$ '!H46+'PROY SAT$'!H46</f>
        <v>328423.88199999998</v>
      </c>
      <c r="I46" s="27">
        <f>+H46/$H$20</f>
        <v>0.37570145247150699</v>
      </c>
      <c r="J46" s="28">
        <f>IF(H46=0,"",(E46-H46)/ABS(H46))</f>
        <v>8.8633569589193259E-2</v>
      </c>
      <c r="K46" s="26">
        <f>+'COLOMB$ '!K46+'PROY SAT$'!K46</f>
        <v>2519103</v>
      </c>
      <c r="L46" s="27">
        <f>+K46/$K$20</f>
        <v>0.40791226763391414</v>
      </c>
      <c r="M46" s="26">
        <f>+'COLOMB$ '!M46+'PROY SAT$'!M46</f>
        <v>2417897.9909999999</v>
      </c>
      <c r="N46" s="27">
        <f>+M46/$M$20</f>
        <v>0.39797924126464734</v>
      </c>
      <c r="O46" s="27">
        <f>IF(K46=0,"",(M46-K46)/ABS(K46)+1)</f>
        <v>0.95982498174945607</v>
      </c>
      <c r="P46" s="26">
        <f>+'COLOMB$ '!P46+'PROY SAT$'!P46</f>
        <v>2234835.4440000001</v>
      </c>
      <c r="Q46" s="27">
        <f>+P46/$P$20</f>
        <v>0.41495598102593345</v>
      </c>
      <c r="R46" s="28">
        <f>IF(P46=0,"",(M46-P46)/ABS(P46))</f>
        <v>8.1913210877104639E-2</v>
      </c>
    </row>
    <row r="47" spans="2:20" x14ac:dyDescent="0.2">
      <c r="C47" s="26"/>
      <c r="D47" s="26"/>
      <c r="E47" s="26" t="s">
        <v>46</v>
      </c>
      <c r="F47" s="26"/>
      <c r="G47" s="26"/>
      <c r="H47" s="26" t="s">
        <v>46</v>
      </c>
      <c r="I47" s="26"/>
      <c r="J47" s="26"/>
      <c r="K47" s="26"/>
      <c r="L47" s="26"/>
      <c r="M47" s="26" t="s">
        <v>46</v>
      </c>
      <c r="N47" s="26"/>
      <c r="O47" s="26"/>
      <c r="P47" s="26"/>
      <c r="Q47" s="26"/>
      <c r="R47" s="26"/>
    </row>
  </sheetData>
  <conditionalFormatting sqref="R10:R46">
    <cfRule type="cellIs" dxfId="68" priority="3" operator="lessThan">
      <formula>0</formula>
    </cfRule>
  </conditionalFormatting>
  <conditionalFormatting sqref="J10:J46">
    <cfRule type="cellIs" dxfId="67" priority="2" operator="lessThan">
      <formula>0</formula>
    </cfRule>
  </conditionalFormatting>
  <conditionalFormatting sqref="AC19:AC28 AC30 AC10:AC11 AC13:AC17">
    <cfRule type="cellIs" dxfId="66" priority="1" operator="lessThan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024E7-2EB1-4669-8B45-EAB4FB35507C}">
  <sheetPr>
    <tabColor theme="2" tint="-0.499984740745262"/>
  </sheetPr>
  <dimension ref="A1:AI56"/>
  <sheetViews>
    <sheetView showGridLines="0" topLeftCell="F6" zoomScale="95" zoomScaleNormal="95" workbookViewId="0">
      <selection activeCell="T40" sqref="T40"/>
    </sheetView>
  </sheetViews>
  <sheetFormatPr baseColWidth="10" defaultRowHeight="12.75" x14ac:dyDescent="0.2"/>
  <cols>
    <col min="1" max="1" width="3.140625" style="44" customWidth="1"/>
    <col min="2" max="2" width="24.42578125" style="2" customWidth="1"/>
    <col min="3" max="3" width="16.42578125" style="2" customWidth="1"/>
    <col min="4" max="4" width="7" style="2" customWidth="1"/>
    <col min="5" max="5" width="11.140625" style="2" customWidth="1"/>
    <col min="6" max="6" width="6" style="2" customWidth="1"/>
    <col min="7" max="7" width="8.42578125" style="2" customWidth="1"/>
    <col min="8" max="8" width="10.5703125" style="2" customWidth="1"/>
    <col min="9" max="9" width="7" style="2" customWidth="1"/>
    <col min="10" max="10" width="9.85546875" style="2" customWidth="1"/>
    <col min="11" max="11" width="14.7109375" style="2" customWidth="1"/>
    <col min="12" max="12" width="7" style="2" customWidth="1"/>
    <col min="13" max="13" width="9.42578125" style="2" bestFit="1" customWidth="1"/>
    <col min="14" max="15" width="7" style="2" customWidth="1"/>
    <col min="16" max="16" width="12.5703125" style="2" customWidth="1"/>
    <col min="17" max="17" width="7" style="2" customWidth="1"/>
    <col min="18" max="18" width="8" style="2" customWidth="1"/>
    <col min="19" max="19" width="9.42578125" style="45" customWidth="1"/>
    <col min="20" max="20" width="20.42578125" style="2" customWidth="1"/>
    <col min="21" max="21" width="9.85546875" style="2" bestFit="1" customWidth="1"/>
    <col min="22" max="23" width="9.7109375" style="2" bestFit="1" customWidth="1"/>
    <col min="24" max="27" width="11.7109375" style="2" customWidth="1"/>
    <col min="28" max="28" width="12.5703125" style="2" customWidth="1"/>
    <col min="29" max="29" width="7.5703125" style="2" customWidth="1"/>
    <col min="30" max="33" width="13.140625" style="2" customWidth="1"/>
    <col min="34" max="34" width="16.7109375" style="2" customWidth="1"/>
    <col min="35" max="16384" width="11.42578125" style="2"/>
  </cols>
  <sheetData>
    <row r="1" spans="1:35" s="42" customFormat="1" x14ac:dyDescent="0.2">
      <c r="A1" s="40"/>
      <c r="B1" s="41"/>
      <c r="S1" s="43"/>
    </row>
    <row r="2" spans="1:35" x14ac:dyDescent="0.2">
      <c r="X2" s="46"/>
      <c r="Y2" s="46"/>
      <c r="Z2" s="46"/>
      <c r="AA2" s="46"/>
      <c r="AB2" s="46"/>
    </row>
    <row r="3" spans="1:35" ht="18" x14ac:dyDescent="0.25">
      <c r="B3" s="13" t="s">
        <v>47</v>
      </c>
      <c r="T3" s="15" t="str">
        <f>+B3</f>
        <v>MUSICAR COLOMBIA</v>
      </c>
      <c r="Y3" s="47">
        <f>40027-V10</f>
        <v>3755</v>
      </c>
    </row>
    <row r="4" spans="1:35" x14ac:dyDescent="0.2">
      <c r="B4" s="2" t="s">
        <v>5</v>
      </c>
      <c r="T4" s="3" t="s">
        <v>6</v>
      </c>
      <c r="U4" s="46"/>
      <c r="V4" s="46"/>
      <c r="W4" s="46"/>
      <c r="X4" s="46"/>
      <c r="Y4" s="46"/>
      <c r="Z4" s="46"/>
      <c r="AA4" s="46"/>
      <c r="AB4" s="46"/>
      <c r="AC4" s="46"/>
    </row>
    <row r="5" spans="1:35" x14ac:dyDescent="0.2">
      <c r="B5" s="3" t="s">
        <v>7</v>
      </c>
      <c r="T5" s="3" t="s">
        <v>7</v>
      </c>
      <c r="U5" s="46"/>
      <c r="V5" s="46"/>
      <c r="W5" s="46"/>
      <c r="X5" s="46"/>
      <c r="Y5" s="46"/>
      <c r="Z5" s="46"/>
      <c r="AA5" s="46"/>
      <c r="AB5" s="46"/>
      <c r="AC5" s="46"/>
    </row>
    <row r="6" spans="1:35" ht="13.5" thickBot="1" x14ac:dyDescent="0.25">
      <c r="B6" s="3" t="s">
        <v>48</v>
      </c>
      <c r="C6" s="48"/>
      <c r="D6" s="48"/>
      <c r="E6" s="48"/>
      <c r="F6" s="48"/>
      <c r="G6" s="48"/>
      <c r="H6" s="48"/>
      <c r="I6" s="48"/>
      <c r="J6" s="49"/>
      <c r="K6" s="18" t="s">
        <v>8</v>
      </c>
      <c r="L6" s="18"/>
      <c r="M6" s="18"/>
      <c r="N6" s="18"/>
      <c r="O6" s="18"/>
      <c r="P6" s="18"/>
      <c r="Q6" s="18"/>
      <c r="R6" s="18"/>
      <c r="S6" s="50"/>
      <c r="T6" s="3" t="str">
        <f>+B6</f>
        <v>JULIO de 2022</v>
      </c>
      <c r="U6" s="51"/>
      <c r="V6" s="51"/>
      <c r="W6" s="51"/>
      <c r="X6" s="18" t="s">
        <v>8</v>
      </c>
      <c r="Y6" s="18"/>
      <c r="Z6" s="18"/>
      <c r="AA6" s="18"/>
      <c r="AB6" s="18"/>
      <c r="AC6" s="18"/>
    </row>
    <row r="7" spans="1:35" s="53" customFormat="1" ht="15.75" customHeight="1" x14ac:dyDescent="0.2">
      <c r="A7" s="52"/>
      <c r="D7" s="53" t="s">
        <v>49</v>
      </c>
      <c r="F7" s="53" t="s">
        <v>50</v>
      </c>
      <c r="G7" s="54" t="s">
        <v>9</v>
      </c>
      <c r="I7" s="53" t="s">
        <v>51</v>
      </c>
      <c r="J7" s="54" t="s">
        <v>10</v>
      </c>
      <c r="K7" s="54"/>
      <c r="L7" s="53" t="str">
        <f>+D7</f>
        <v>Ppto 2022</v>
      </c>
      <c r="M7" s="54"/>
      <c r="N7" s="53" t="str">
        <f>+F7</f>
        <v>Real 2022</v>
      </c>
      <c r="O7" s="54" t="s">
        <v>9</v>
      </c>
      <c r="P7" s="54" t="str">
        <f>+I7</f>
        <v>Real 2021</v>
      </c>
      <c r="Q7" s="54"/>
      <c r="R7" s="54" t="s">
        <v>10</v>
      </c>
      <c r="S7" s="55"/>
      <c r="U7" s="53" t="str">
        <f>+D7</f>
        <v>Ppto 2022</v>
      </c>
      <c r="V7" s="53" t="str">
        <f>+N7</f>
        <v>Real 2022</v>
      </c>
      <c r="W7" s="53" t="str">
        <f>+I7</f>
        <v>Real 2021</v>
      </c>
      <c r="X7" s="53" t="str">
        <f>+U7</f>
        <v>Ppto 2022</v>
      </c>
      <c r="Y7" s="53" t="str">
        <f>+V7</f>
        <v>Real 2022</v>
      </c>
      <c r="Z7" s="53" t="s">
        <v>11</v>
      </c>
      <c r="AA7" s="53" t="s">
        <v>9</v>
      </c>
      <c r="AB7" s="53" t="str">
        <f>+W7</f>
        <v>Real 2021</v>
      </c>
      <c r="AC7" s="53" t="s">
        <v>10</v>
      </c>
    </row>
    <row r="8" spans="1:35" ht="13.5" thickBot="1" x14ac:dyDescent="0.25">
      <c r="A8" s="56" t="s">
        <v>52</v>
      </c>
      <c r="B8" s="57" t="s">
        <v>12</v>
      </c>
      <c r="C8" s="58" t="s">
        <v>13</v>
      </c>
      <c r="D8" s="58" t="s">
        <v>14</v>
      </c>
      <c r="E8" s="58" t="s">
        <v>13</v>
      </c>
      <c r="F8" s="58" t="s">
        <v>14</v>
      </c>
      <c r="G8" s="58" t="s">
        <v>15</v>
      </c>
      <c r="H8" s="58" t="s">
        <v>13</v>
      </c>
      <c r="I8" s="58" t="s">
        <v>14</v>
      </c>
      <c r="J8" s="58" t="s">
        <v>15</v>
      </c>
      <c r="K8" s="58" t="s">
        <v>13</v>
      </c>
      <c r="L8" s="58" t="s">
        <v>14</v>
      </c>
      <c r="M8" s="58" t="s">
        <v>13</v>
      </c>
      <c r="N8" s="58" t="s">
        <v>14</v>
      </c>
      <c r="O8" s="58" t="s">
        <v>15</v>
      </c>
      <c r="P8" s="58" t="s">
        <v>13</v>
      </c>
      <c r="Q8" s="58" t="s">
        <v>14</v>
      </c>
      <c r="R8" s="58" t="s">
        <v>15</v>
      </c>
      <c r="S8" s="50"/>
      <c r="T8" s="24"/>
      <c r="U8" s="25"/>
      <c r="V8" s="25"/>
      <c r="W8" s="25"/>
      <c r="X8" s="25"/>
      <c r="Y8" s="25"/>
      <c r="Z8" s="25"/>
      <c r="AA8" s="25" t="s">
        <v>15</v>
      </c>
      <c r="AB8" s="25"/>
      <c r="AC8" s="25" t="s">
        <v>15</v>
      </c>
      <c r="AD8" s="46"/>
      <c r="AE8" s="46"/>
      <c r="AF8" s="46"/>
    </row>
    <row r="9" spans="1:35" x14ac:dyDescent="0.2">
      <c r="A9" s="56"/>
      <c r="B9" s="3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50"/>
      <c r="T9" s="3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</row>
    <row r="10" spans="1:35" x14ac:dyDescent="0.2">
      <c r="A10" s="44" t="s">
        <v>53</v>
      </c>
      <c r="B10" s="3" t="s">
        <v>54</v>
      </c>
      <c r="C10" s="59">
        <v>384101</v>
      </c>
      <c r="D10" s="28">
        <f t="shared" ref="D10:D15" si="0">+C10/$C$20</f>
        <v>0.42818858085006528</v>
      </c>
      <c r="E10" s="59">
        <v>390609.04399999999</v>
      </c>
      <c r="F10" s="28">
        <f t="shared" ref="F10:F20" si="1">+E10/$E$20</f>
        <v>0.42414343715930619</v>
      </c>
      <c r="G10" s="28">
        <f t="shared" ref="G10:G20" si="2">IF(C10=0,"",(E10-C10)/ABS(C10)+1)</f>
        <v>1.0169435747368532</v>
      </c>
      <c r="H10" s="59">
        <v>359331.40600000002</v>
      </c>
      <c r="I10" s="28">
        <f t="shared" ref="I10:I18" si="3">+H10/$H$20</f>
        <v>0.41105820420461625</v>
      </c>
      <c r="J10" s="28">
        <f t="shared" ref="J10:J20" si="4">IF(H10=0,"",(E10-H10)/ABS(H10))</f>
        <v>8.7043986352809855E-2</v>
      </c>
      <c r="K10" s="59">
        <v>2547867</v>
      </c>
      <c r="L10" s="28">
        <f t="shared" ref="L10:L46" si="5">+K10/$K$20</f>
        <v>0.4132517686168854</v>
      </c>
      <c r="M10" s="59">
        <v>2544103.1150000002</v>
      </c>
      <c r="N10" s="28">
        <f t="shared" ref="N10:N20" si="6">+M10/$M$20</f>
        <v>0.41875225140824646</v>
      </c>
      <c r="O10" s="28">
        <f t="shared" ref="O10:O18" si="7">IF(K10=0,"",(M10-K10)/ABS(K10)+1)</f>
        <v>0.99852273097457611</v>
      </c>
      <c r="P10" s="59">
        <v>2373972.4580000001</v>
      </c>
      <c r="Q10" s="28">
        <f t="shared" ref="Q10:Q46" si="8">+P10/$P$20</f>
        <v>0.44091756335435944</v>
      </c>
      <c r="R10" s="28">
        <f t="shared" ref="R10:R18" si="9">IF(P10=0,"",(M10-P10)/ABS(P10))</f>
        <v>7.1664966637115093E-2</v>
      </c>
      <c r="S10" s="60"/>
      <c r="T10" s="3" t="s">
        <v>16</v>
      </c>
      <c r="U10" s="59">
        <v>9557.3442523382837</v>
      </c>
      <c r="V10" s="59">
        <v>36272</v>
      </c>
      <c r="W10" s="59">
        <v>1018976.9502899999</v>
      </c>
      <c r="X10" s="59">
        <v>484392</v>
      </c>
      <c r="Y10" s="59">
        <v>484392</v>
      </c>
      <c r="Z10" s="55">
        <f>+Y10-X10</f>
        <v>0</v>
      </c>
      <c r="AA10" s="61">
        <f>IF(X10=0,"",(Y10-X10)/ABS(X10)+1)</f>
        <v>1</v>
      </c>
      <c r="AB10" s="59">
        <v>590525</v>
      </c>
      <c r="AC10" s="28">
        <f>IF(W10=0,"",(Y10-AB10)/ABS(AB10))</f>
        <v>-0.17972651454214469</v>
      </c>
      <c r="AD10" s="45"/>
      <c r="AE10" s="45"/>
      <c r="AF10" s="45"/>
      <c r="AH10" s="45"/>
    </row>
    <row r="11" spans="1:35" x14ac:dyDescent="0.2">
      <c r="A11" s="62" t="s">
        <v>55</v>
      </c>
      <c r="B11" s="3" t="s">
        <v>56</v>
      </c>
      <c r="C11" s="59">
        <v>54476</v>
      </c>
      <c r="D11" s="28">
        <f t="shared" si="0"/>
        <v>6.0728821665104113E-2</v>
      </c>
      <c r="E11" s="59">
        <v>23552.15</v>
      </c>
      <c r="F11" s="28">
        <f t="shared" si="1"/>
        <v>2.5574138660986952E-2</v>
      </c>
      <c r="G11" s="28">
        <f t="shared" si="2"/>
        <v>0.43233992951024303</v>
      </c>
      <c r="H11" s="59">
        <v>35329.351000000002</v>
      </c>
      <c r="I11" s="28">
        <f t="shared" si="3"/>
        <v>4.0415113556131976E-2</v>
      </c>
      <c r="J11" s="28">
        <f t="shared" si="4"/>
        <v>-0.33335458101112586</v>
      </c>
      <c r="K11" s="59">
        <v>294171</v>
      </c>
      <c r="L11" s="28">
        <f t="shared" si="5"/>
        <v>4.7713120828441119E-2</v>
      </c>
      <c r="M11" s="59">
        <v>223417.21299999999</v>
      </c>
      <c r="N11" s="28">
        <f t="shared" si="6"/>
        <v>3.6773847881989535E-2</v>
      </c>
      <c r="O11" s="28">
        <f t="shared" si="7"/>
        <v>0.75948075439115337</v>
      </c>
      <c r="P11" s="59">
        <v>203638.93799999999</v>
      </c>
      <c r="Q11" s="28">
        <f t="shared" si="8"/>
        <v>3.7821830680661361E-2</v>
      </c>
      <c r="R11" s="28">
        <f t="shared" si="9"/>
        <v>9.7124229748241933E-2</v>
      </c>
      <c r="S11" s="60"/>
      <c r="T11" s="3" t="s">
        <v>17</v>
      </c>
      <c r="U11" s="59">
        <v>1065320</v>
      </c>
      <c r="V11" s="59">
        <v>1052994.29342</v>
      </c>
      <c r="W11" s="59">
        <v>923101.63909000007</v>
      </c>
      <c r="X11" s="59">
        <v>6998047</v>
      </c>
      <c r="Y11" s="59">
        <v>6964945.5385299996</v>
      </c>
      <c r="Z11" s="55">
        <f>+Y11-X11</f>
        <v>-33101.461470000446</v>
      </c>
      <c r="AA11" s="61">
        <f>IF(X11=0,"",(Y11-X11)/ABS(X11)+1)</f>
        <v>0.99526990009212568</v>
      </c>
      <c r="AB11" s="59">
        <v>6555252.3001600001</v>
      </c>
      <c r="AC11" s="28">
        <f>IF(AB11=0,"",(Y11-AB11)/ABS(AB11))</f>
        <v>6.249846986972564E-2</v>
      </c>
      <c r="AD11" s="45"/>
      <c r="AE11" s="45"/>
      <c r="AF11" s="45"/>
      <c r="AG11" s="45"/>
      <c r="AH11" s="45"/>
      <c r="AI11" s="47"/>
    </row>
    <row r="12" spans="1:35" x14ac:dyDescent="0.2">
      <c r="A12" s="62" t="s">
        <v>57</v>
      </c>
      <c r="B12" s="3" t="s">
        <v>58</v>
      </c>
      <c r="C12" s="59">
        <v>62953</v>
      </c>
      <c r="D12" s="28">
        <f t="shared" si="0"/>
        <v>7.0178822055277548E-2</v>
      </c>
      <c r="E12" s="59">
        <v>78277.460000000006</v>
      </c>
      <c r="F12" s="28">
        <f t="shared" si="1"/>
        <v>8.4997701529153813E-2</v>
      </c>
      <c r="G12" s="28">
        <f t="shared" si="2"/>
        <v>1.243427001096056</v>
      </c>
      <c r="H12" s="59">
        <v>87846.191000000006</v>
      </c>
      <c r="I12" s="28">
        <f t="shared" si="3"/>
        <v>0.10049190500948232</v>
      </c>
      <c r="J12" s="28">
        <f t="shared" si="4"/>
        <v>-0.10892596356283676</v>
      </c>
      <c r="K12" s="59">
        <v>583173</v>
      </c>
      <c r="L12" s="28">
        <f t="shared" si="5"/>
        <v>9.4587854726959811E-2</v>
      </c>
      <c r="M12" s="59">
        <v>626038.58979999996</v>
      </c>
      <c r="N12" s="28">
        <f t="shared" si="6"/>
        <v>0.10304419950651003</v>
      </c>
      <c r="O12" s="28">
        <f t="shared" si="7"/>
        <v>1.0735040713476103</v>
      </c>
      <c r="P12" s="59">
        <v>698546.10620000004</v>
      </c>
      <c r="Q12" s="28">
        <f t="shared" si="8"/>
        <v>0.12974086788515707</v>
      </c>
      <c r="R12" s="28">
        <f t="shared" si="9"/>
        <v>-0.10379775329996689</v>
      </c>
      <c r="S12" s="60"/>
      <c r="AD12" s="45"/>
      <c r="AE12" s="45"/>
      <c r="AF12" s="45"/>
      <c r="AG12" s="45"/>
      <c r="AH12" s="45"/>
      <c r="AI12" s="47"/>
    </row>
    <row r="13" spans="1:35" x14ac:dyDescent="0.2">
      <c r="A13" s="62" t="s">
        <v>59</v>
      </c>
      <c r="B13" s="3" t="s">
        <v>60</v>
      </c>
      <c r="C13" s="59">
        <v>99792</v>
      </c>
      <c r="D13" s="28">
        <f t="shared" si="0"/>
        <v>0.11124624736772284</v>
      </c>
      <c r="E13" s="59">
        <v>113870.552</v>
      </c>
      <c r="F13" s="28">
        <f t="shared" si="1"/>
        <v>0.12364651576400137</v>
      </c>
      <c r="G13" s="28">
        <f t="shared" si="2"/>
        <v>1.1410789642456309</v>
      </c>
      <c r="H13" s="59">
        <v>52561.262999999999</v>
      </c>
      <c r="I13" s="28">
        <f t="shared" si="3"/>
        <v>6.0127609273057922E-2</v>
      </c>
      <c r="J13" s="28">
        <f t="shared" si="4"/>
        <v>1.1664348514608562</v>
      </c>
      <c r="K13" s="59">
        <v>615440</v>
      </c>
      <c r="L13" s="28">
        <f t="shared" si="5"/>
        <v>9.9821406877822094E-2</v>
      </c>
      <c r="M13" s="59">
        <v>541342.55099999998</v>
      </c>
      <c r="N13" s="28">
        <f t="shared" si="6"/>
        <v>8.9103468596764573E-2</v>
      </c>
      <c r="O13" s="28">
        <f t="shared" si="7"/>
        <v>0.87960248115169626</v>
      </c>
      <c r="P13" s="59">
        <v>327066.337</v>
      </c>
      <c r="Q13" s="28">
        <f t="shared" si="8"/>
        <v>6.0745983753647988E-2</v>
      </c>
      <c r="R13" s="28">
        <f t="shared" si="9"/>
        <v>0.65514603540504379</v>
      </c>
      <c r="S13" s="60"/>
      <c r="T13" s="3" t="s">
        <v>18</v>
      </c>
      <c r="U13" s="59">
        <v>92762</v>
      </c>
      <c r="V13" s="59">
        <v>93180.424969999993</v>
      </c>
      <c r="W13" s="59">
        <v>180873.66230000003</v>
      </c>
      <c r="X13" s="59">
        <v>1023489</v>
      </c>
      <c r="Y13" s="59">
        <v>872805.85543</v>
      </c>
      <c r="Z13" s="55">
        <f>+X13-Y13</f>
        <v>150683.14457</v>
      </c>
      <c r="AA13" s="61">
        <f>IF(X13=0,"",(Y13-X13)/ABS(X13)+1)</f>
        <v>0.85277502291670937</v>
      </c>
      <c r="AB13" s="59">
        <v>1283732.1154700001</v>
      </c>
      <c r="AC13" s="28">
        <f>IF(AB13=0,"",(Y13-AB13)/ABS(AB13))</f>
        <v>-0.32010281201818475</v>
      </c>
      <c r="AD13" s="45"/>
      <c r="AE13" s="45"/>
      <c r="AF13" s="45"/>
      <c r="AG13" s="45"/>
      <c r="AH13" s="45"/>
      <c r="AI13" s="47"/>
    </row>
    <row r="14" spans="1:35" x14ac:dyDescent="0.2">
      <c r="A14" s="62">
        <v>4170250500</v>
      </c>
      <c r="B14" s="3" t="s">
        <v>61</v>
      </c>
      <c r="C14" s="59">
        <v>0</v>
      </c>
      <c r="D14" s="28">
        <f t="shared" si="0"/>
        <v>0</v>
      </c>
      <c r="E14" s="59">
        <v>0</v>
      </c>
      <c r="F14" s="28">
        <f t="shared" si="1"/>
        <v>0</v>
      </c>
      <c r="G14" s="28" t="str">
        <f t="shared" si="2"/>
        <v/>
      </c>
      <c r="H14" s="59">
        <v>0</v>
      </c>
      <c r="I14" s="28">
        <f t="shared" si="3"/>
        <v>0</v>
      </c>
      <c r="J14" s="28" t="e">
        <f t="shared" si="4"/>
        <v>#DIV/0!</v>
      </c>
      <c r="K14" s="59">
        <v>0</v>
      </c>
      <c r="L14" s="28">
        <f t="shared" si="5"/>
        <v>0</v>
      </c>
      <c r="M14" s="59">
        <v>0</v>
      </c>
      <c r="N14" s="28">
        <f t="shared" si="6"/>
        <v>0</v>
      </c>
      <c r="O14" s="28" t="str">
        <f t="shared" si="7"/>
        <v/>
      </c>
      <c r="P14" s="59">
        <v>0</v>
      </c>
      <c r="Q14" s="28">
        <f t="shared" si="8"/>
        <v>0</v>
      </c>
      <c r="R14" s="28" t="str">
        <f t="shared" si="9"/>
        <v/>
      </c>
      <c r="S14" s="60"/>
      <c r="T14" s="3" t="s">
        <v>19</v>
      </c>
      <c r="U14" s="59">
        <v>8353</v>
      </c>
      <c r="V14" s="59">
        <v>10310.54392</v>
      </c>
      <c r="W14" s="59">
        <v>7291.0429999999997</v>
      </c>
      <c r="X14" s="59">
        <v>58471</v>
      </c>
      <c r="Y14" s="59">
        <v>68323.871680000011</v>
      </c>
      <c r="Z14" s="55">
        <f>+X14-Y14</f>
        <v>-9852.8716800000111</v>
      </c>
      <c r="AA14" s="61">
        <f>IF(X14=0,"",(Y14-X14)/ABS(X14)+1)</f>
        <v>1.1685086911460383</v>
      </c>
      <c r="AB14" s="59">
        <v>49297.796000000002</v>
      </c>
      <c r="AC14" s="28">
        <f>IF(AB14=0,"",(Y14-AB14)/ABS(AB14))</f>
        <v>0.38594170984844856</v>
      </c>
      <c r="AD14" s="45"/>
      <c r="AE14" s="45"/>
      <c r="AF14" s="45"/>
      <c r="AG14" s="45"/>
      <c r="AH14" s="45"/>
      <c r="AI14" s="47"/>
    </row>
    <row r="15" spans="1:35" x14ac:dyDescent="0.2">
      <c r="A15" s="62" t="s">
        <v>62</v>
      </c>
      <c r="B15" s="3" t="s">
        <v>63</v>
      </c>
      <c r="C15" s="59">
        <v>125847</v>
      </c>
      <c r="D15" s="28">
        <f t="shared" si="0"/>
        <v>0.14029187201865698</v>
      </c>
      <c r="E15" s="59">
        <v>134191.334</v>
      </c>
      <c r="F15" s="28">
        <f t="shared" si="1"/>
        <v>0.1457118684629137</v>
      </c>
      <c r="G15" s="28">
        <f t="shared" si="2"/>
        <v>1.0663053866997227</v>
      </c>
      <c r="H15" s="59">
        <v>123560.003</v>
      </c>
      <c r="I15" s="28">
        <f t="shared" si="3"/>
        <v>0.1413468238417685</v>
      </c>
      <c r="J15" s="28">
        <f t="shared" si="4"/>
        <v>8.6041848024234882E-2</v>
      </c>
      <c r="K15" s="59">
        <v>864267</v>
      </c>
      <c r="L15" s="28">
        <f t="shared" si="5"/>
        <v>0.14017994907395467</v>
      </c>
      <c r="M15" s="59">
        <v>859527.77500000002</v>
      </c>
      <c r="N15" s="28">
        <f t="shared" si="6"/>
        <v>0.1414758658196803</v>
      </c>
      <c r="O15" s="28">
        <f t="shared" si="7"/>
        <v>0.99451648043949381</v>
      </c>
      <c r="P15" s="59">
        <v>816300.87699999998</v>
      </c>
      <c r="Q15" s="28">
        <f t="shared" si="8"/>
        <v>0.15161144453802533</v>
      </c>
      <c r="R15" s="28">
        <f t="shared" si="9"/>
        <v>5.2954614184495166E-2</v>
      </c>
      <c r="S15" s="60"/>
      <c r="T15" s="3" t="s">
        <v>20</v>
      </c>
      <c r="U15" s="59">
        <v>373248</v>
      </c>
      <c r="V15" s="59">
        <v>338235.842</v>
      </c>
      <c r="W15" s="59">
        <v>328290.33799999999</v>
      </c>
      <c r="X15" s="59">
        <v>2797267</v>
      </c>
      <c r="Y15" s="59">
        <v>2742923.0572800003</v>
      </c>
      <c r="Z15" s="55">
        <f>+X15-Y15</f>
        <v>54343.942719999701</v>
      </c>
      <c r="AA15" s="61">
        <f>IF(X15=0,"",(Y15-X15)/ABS(X15)+1)</f>
        <v>0.9805724863876063</v>
      </c>
      <c r="AB15" s="59">
        <v>2333549.8420000002</v>
      </c>
      <c r="AC15" s="28">
        <f>IF(AB15=0,"",(Y15-AB15)/ABS(AB15))</f>
        <v>0.17542938569897495</v>
      </c>
      <c r="AD15" s="45"/>
      <c r="AE15" s="45"/>
      <c r="AF15" s="45"/>
      <c r="AG15" s="45"/>
      <c r="AH15" s="45"/>
      <c r="AI15" s="47"/>
    </row>
    <row r="16" spans="1:35" x14ac:dyDescent="0.2">
      <c r="A16" s="62">
        <v>4155951000</v>
      </c>
      <c r="B16" s="3" t="s">
        <v>64</v>
      </c>
      <c r="C16" s="59">
        <v>0</v>
      </c>
      <c r="D16" s="28"/>
      <c r="E16" s="59">
        <v>0</v>
      </c>
      <c r="F16" s="28">
        <f t="shared" si="1"/>
        <v>0</v>
      </c>
      <c r="G16" s="28" t="str">
        <f t="shared" si="2"/>
        <v/>
      </c>
      <c r="H16" s="59">
        <v>0</v>
      </c>
      <c r="I16" s="28">
        <f t="shared" si="3"/>
        <v>0</v>
      </c>
      <c r="J16" s="28" t="e">
        <f t="shared" si="4"/>
        <v>#DIV/0!</v>
      </c>
      <c r="K16" s="59">
        <v>0</v>
      </c>
      <c r="L16" s="28">
        <f t="shared" si="5"/>
        <v>0</v>
      </c>
      <c r="M16" s="59">
        <v>0</v>
      </c>
      <c r="N16" s="28">
        <f t="shared" si="6"/>
        <v>0</v>
      </c>
      <c r="O16" s="28" t="str">
        <f t="shared" si="7"/>
        <v/>
      </c>
      <c r="P16" s="59">
        <v>0</v>
      </c>
      <c r="Q16" s="28">
        <f t="shared" si="8"/>
        <v>0</v>
      </c>
      <c r="R16" s="28" t="str">
        <f t="shared" si="9"/>
        <v/>
      </c>
      <c r="S16" s="60"/>
      <c r="T16" s="3" t="s">
        <v>21</v>
      </c>
      <c r="U16" s="59">
        <v>234794</v>
      </c>
      <c r="V16" s="59">
        <v>205669.17216999998</v>
      </c>
      <c r="W16" s="59">
        <v>178113.01166999998</v>
      </c>
      <c r="X16" s="59">
        <v>1758303</v>
      </c>
      <c r="Y16" s="59">
        <v>1728031.9394499999</v>
      </c>
      <c r="Z16" s="55">
        <f>+X16-Y16</f>
        <v>30271.060550000053</v>
      </c>
      <c r="AA16" s="61">
        <f>IF(X16=0,"",(Y16-X16)/ABS(X16)+1)</f>
        <v>0.98278393396928743</v>
      </c>
      <c r="AB16" s="59">
        <v>1159508.1095399999</v>
      </c>
      <c r="AC16" s="28">
        <f>IF(AB16=0,"",(Y16-AB16)/ABS(AB16))</f>
        <v>0.49031466466892148</v>
      </c>
      <c r="AD16" s="45"/>
      <c r="AE16" s="45"/>
      <c r="AF16" s="45"/>
      <c r="AG16" s="45"/>
      <c r="AH16" s="45"/>
      <c r="AI16" s="47"/>
    </row>
    <row r="17" spans="1:35" x14ac:dyDescent="0.2">
      <c r="A17" s="62">
        <v>4155951500</v>
      </c>
      <c r="B17" s="3" t="s">
        <v>65</v>
      </c>
      <c r="C17" s="59">
        <v>17859</v>
      </c>
      <c r="D17" s="28">
        <f>+C17/$C$20</f>
        <v>1.990887778319066E-2</v>
      </c>
      <c r="E17" s="59">
        <v>15560.143</v>
      </c>
      <c r="F17" s="28">
        <f t="shared" si="1"/>
        <v>1.6896005446075432E-2</v>
      </c>
      <c r="G17" s="28">
        <f t="shared" si="2"/>
        <v>0.8712773951509043</v>
      </c>
      <c r="H17" s="59">
        <v>108118.986</v>
      </c>
      <c r="I17" s="28">
        <f t="shared" si="3"/>
        <v>0.12368302765493325</v>
      </c>
      <c r="J17" s="28">
        <f t="shared" si="4"/>
        <v>-0.85608315823457692</v>
      </c>
      <c r="K17" s="59">
        <v>208281</v>
      </c>
      <c r="L17" s="28">
        <f t="shared" si="5"/>
        <v>3.3782176078772361E-2</v>
      </c>
      <c r="M17" s="59">
        <v>207157.29699999999</v>
      </c>
      <c r="N17" s="28">
        <f t="shared" si="6"/>
        <v>3.4097511222298378E-2</v>
      </c>
      <c r="O17" s="28">
        <f t="shared" si="7"/>
        <v>0.99460487034343026</v>
      </c>
      <c r="P17" s="59">
        <v>195417.68100000001</v>
      </c>
      <c r="Q17" s="28">
        <f t="shared" si="8"/>
        <v>3.6294897799896676E-2</v>
      </c>
      <c r="R17" s="28">
        <f t="shared" si="9"/>
        <v>6.007448220614172E-2</v>
      </c>
      <c r="S17" s="60"/>
      <c r="T17" s="3" t="s">
        <v>22</v>
      </c>
      <c r="U17" s="59">
        <f t="shared" ref="U17:AB17" si="10">SUM(U13:U16)</f>
        <v>709157</v>
      </c>
      <c r="V17" s="59">
        <f>SUM(V13:V16)</f>
        <v>647395.98306</v>
      </c>
      <c r="W17" s="59">
        <f t="shared" si="10"/>
        <v>694568.05496999994</v>
      </c>
      <c r="X17" s="59">
        <f t="shared" si="10"/>
        <v>5637530</v>
      </c>
      <c r="Y17" s="59">
        <f>SUM(Y13:Y16)</f>
        <v>5412084.7238400001</v>
      </c>
      <c r="Z17" s="55">
        <f>+Y17-X17</f>
        <v>-225445.27615999989</v>
      </c>
      <c r="AA17" s="61">
        <f>IF(X17=0,"",(Y17-X17)/ABS(X17)+1)</f>
        <v>0.96000991991882967</v>
      </c>
      <c r="AB17" s="59">
        <f t="shared" si="10"/>
        <v>4826087.8630100004</v>
      </c>
      <c r="AC17" s="28">
        <f>IF(AB17=0,"",(Y17-AB17)/ABS(AB17))</f>
        <v>0.12142275015783015</v>
      </c>
      <c r="AD17" s="45"/>
      <c r="AE17" s="45"/>
      <c r="AF17" s="45"/>
      <c r="AG17" s="45"/>
      <c r="AH17" s="45"/>
      <c r="AI17" s="47"/>
    </row>
    <row r="18" spans="1:35" x14ac:dyDescent="0.2">
      <c r="A18" s="62" t="s">
        <v>66</v>
      </c>
      <c r="B18" s="3" t="s">
        <v>67</v>
      </c>
      <c r="C18" s="59">
        <v>108537</v>
      </c>
      <c r="D18" s="32">
        <f t="shared" ref="D18:D46" si="11">+C18/$C$20</f>
        <v>0.12099500912448427</v>
      </c>
      <c r="E18" s="59">
        <v>112021.371</v>
      </c>
      <c r="F18" s="28">
        <f t="shared" si="1"/>
        <v>0.12163857970282384</v>
      </c>
      <c r="G18" s="32">
        <f t="shared" si="2"/>
        <v>1.0321030708422012</v>
      </c>
      <c r="H18" s="59">
        <v>73505.430999999997</v>
      </c>
      <c r="I18" s="28">
        <f t="shared" si="3"/>
        <v>8.4086751009307348E-2</v>
      </c>
      <c r="J18" s="32">
        <f t="shared" si="4"/>
        <v>0.52398767650243427</v>
      </c>
      <c r="K18" s="59">
        <v>750454</v>
      </c>
      <c r="L18" s="28">
        <f t="shared" si="5"/>
        <v>0.12172002807274325</v>
      </c>
      <c r="M18" s="59">
        <v>707006.81900000002</v>
      </c>
      <c r="N18" s="28">
        <f t="shared" si="6"/>
        <v>0.11637134339078571</v>
      </c>
      <c r="O18" s="28">
        <f t="shared" si="7"/>
        <v>0.94210547082166263</v>
      </c>
      <c r="P18" s="59">
        <v>532445.10800000001</v>
      </c>
      <c r="Q18" s="28">
        <f t="shared" si="8"/>
        <v>9.8890953367289966E-2</v>
      </c>
      <c r="R18" s="32">
        <f t="shared" si="9"/>
        <v>0.32784921558524305</v>
      </c>
      <c r="S18" s="60"/>
      <c r="AD18" s="45"/>
      <c r="AE18" s="45"/>
      <c r="AF18" s="45"/>
      <c r="AG18" s="45"/>
      <c r="AH18" s="45"/>
      <c r="AI18" s="47"/>
    </row>
    <row r="19" spans="1:35" x14ac:dyDescent="0.2">
      <c r="A19" s="44" t="s">
        <v>68</v>
      </c>
      <c r="B19" s="3" t="s">
        <v>69</v>
      </c>
      <c r="C19" s="59">
        <v>43472</v>
      </c>
      <c r="D19" s="28">
        <f t="shared" si="11"/>
        <v>4.8461769135498316E-2</v>
      </c>
      <c r="E19" s="59">
        <v>52854.142999999996</v>
      </c>
      <c r="F19" s="28">
        <f t="shared" si="1"/>
        <v>5.739175327473852E-2</v>
      </c>
      <c r="G19" s="28">
        <f t="shared" si="2"/>
        <v>1.2158203671328671</v>
      </c>
      <c r="H19" s="59">
        <v>33909.233</v>
      </c>
      <c r="I19" s="28"/>
      <c r="J19" s="28">
        <f t="shared" si="4"/>
        <v>0.55869473662232338</v>
      </c>
      <c r="K19" s="59">
        <v>301758</v>
      </c>
      <c r="L19" s="28">
        <f t="shared" si="5"/>
        <v>4.8943695724421289E-2</v>
      </c>
      <c r="M19" s="59">
        <v>366844.10100000002</v>
      </c>
      <c r="N19" s="28">
        <f t="shared" si="6"/>
        <v>6.0381512173724984E-2</v>
      </c>
      <c r="O19" s="28"/>
      <c r="P19" s="59">
        <v>236776.46400000001</v>
      </c>
      <c r="Q19" s="28">
        <f t="shared" si="8"/>
        <v>4.3976458620962319E-2</v>
      </c>
      <c r="R19" s="28"/>
      <c r="S19" s="60"/>
      <c r="T19" s="3" t="s">
        <v>23</v>
      </c>
      <c r="U19" s="59">
        <f>U11-U17</f>
        <v>356163</v>
      </c>
      <c r="V19" s="59">
        <f>V11-V17</f>
        <v>405598.31036</v>
      </c>
      <c r="W19" s="59">
        <f>W11-W17</f>
        <v>228533.58412000013</v>
      </c>
      <c r="X19" s="59">
        <f>X11-X17</f>
        <v>1360517</v>
      </c>
      <c r="Y19" s="59">
        <f>Y11-Y17</f>
        <v>1552860.8146899994</v>
      </c>
      <c r="Z19" s="59">
        <f>+Y19-X19</f>
        <v>192343.81468999945</v>
      </c>
      <c r="AA19" s="61">
        <f>IF(X19=0,"",(Y19-X19)/ABS(X19)+1)</f>
        <v>1.1413755320146675</v>
      </c>
      <c r="AB19" s="59">
        <f>AB11-AB17</f>
        <v>1729164.4371499997</v>
      </c>
      <c r="AC19" s="28">
        <f>IF(AB19=0,"",(Y19-AB19)/ABS(AB19))</f>
        <v>-0.10195885288421903</v>
      </c>
      <c r="AD19" s="45"/>
      <c r="AE19" s="45"/>
      <c r="AF19" s="45"/>
      <c r="AG19" s="45"/>
      <c r="AH19" s="45"/>
    </row>
    <row r="20" spans="1:35" x14ac:dyDescent="0.2">
      <c r="B20" s="17" t="s">
        <v>24</v>
      </c>
      <c r="C20" s="63">
        <f>SUM(C10:C19)</f>
        <v>897037</v>
      </c>
      <c r="D20" s="36">
        <f t="shared" si="11"/>
        <v>1</v>
      </c>
      <c r="E20" s="63">
        <f>SUM(E10:E19)</f>
        <v>920936.19700000016</v>
      </c>
      <c r="F20" s="36">
        <f t="shared" si="1"/>
        <v>1</v>
      </c>
      <c r="G20" s="36">
        <f t="shared" si="2"/>
        <v>1.026642375955507</v>
      </c>
      <c r="H20" s="63">
        <f>SUM(H10:H19)</f>
        <v>874161.86400000006</v>
      </c>
      <c r="I20" s="36">
        <f>+H22/$H$22</f>
        <v>1</v>
      </c>
      <c r="J20" s="36">
        <f t="shared" si="4"/>
        <v>5.350763391343745E-2</v>
      </c>
      <c r="K20" s="63">
        <f>SUM(K10:K19)</f>
        <v>6165411</v>
      </c>
      <c r="L20" s="36">
        <f t="shared" si="5"/>
        <v>1</v>
      </c>
      <c r="M20" s="63">
        <f>SUM(M10:M19)</f>
        <v>6075437.4608000005</v>
      </c>
      <c r="N20" s="36">
        <f t="shared" si="6"/>
        <v>1</v>
      </c>
      <c r="O20" s="36">
        <f>IF(K20=0,"",(M20-K20)/ABS(K20)+1)</f>
        <v>0.98540672483959313</v>
      </c>
      <c r="P20" s="63">
        <f>SUM(P10:P19)</f>
        <v>5384163.9691999992</v>
      </c>
      <c r="Q20" s="36">
        <f t="shared" si="8"/>
        <v>1</v>
      </c>
      <c r="R20" s="36">
        <f>IF(P20=0,"",(M20-P20)/ABS(P20))</f>
        <v>0.12839012622097271</v>
      </c>
      <c r="S20" s="60"/>
      <c r="T20" s="3"/>
      <c r="U20" s="59"/>
      <c r="V20" s="59"/>
      <c r="W20" s="59"/>
      <c r="X20" s="59"/>
      <c r="Y20" s="59"/>
      <c r="Z20" s="55"/>
      <c r="AA20" s="61"/>
      <c r="AB20" s="59"/>
      <c r="AC20" s="28" t="str">
        <f>IF(AB20=0,"",(Y20-AB20)/ABS(AB20))</f>
        <v/>
      </c>
      <c r="AD20" s="45"/>
      <c r="AE20" s="45"/>
      <c r="AF20" s="45"/>
      <c r="AG20" s="45"/>
      <c r="AH20" s="45"/>
      <c r="AI20" s="47"/>
    </row>
    <row r="21" spans="1:35" x14ac:dyDescent="0.2">
      <c r="B21" s="3"/>
      <c r="C21" s="59"/>
      <c r="D21" s="28"/>
      <c r="E21" s="59"/>
      <c r="F21" s="28"/>
      <c r="G21" s="28"/>
      <c r="H21" s="59"/>
      <c r="I21" s="28"/>
      <c r="J21" s="28"/>
      <c r="K21" s="59"/>
      <c r="L21" s="28"/>
      <c r="M21" s="59"/>
      <c r="N21" s="28"/>
      <c r="O21" s="28"/>
      <c r="P21" s="59"/>
      <c r="Q21" s="28"/>
      <c r="R21" s="28"/>
      <c r="S21" s="60"/>
      <c r="T21" s="3" t="s">
        <v>25</v>
      </c>
      <c r="U21" s="59">
        <f>+U10+U19</f>
        <v>365720.34425233828</v>
      </c>
      <c r="V21" s="59">
        <f>+V10+V19</f>
        <v>441870.31036</v>
      </c>
      <c r="W21" s="59">
        <f>+W10+W19</f>
        <v>1247510.5344100001</v>
      </c>
      <c r="X21" s="59">
        <f>+X10+X19</f>
        <v>1844909</v>
      </c>
      <c r="Y21" s="59">
        <f>+Y10+Y19</f>
        <v>2037252.8146899994</v>
      </c>
      <c r="Z21" s="55">
        <f>+Y21-X21</f>
        <v>192343.81468999945</v>
      </c>
      <c r="AA21" s="61">
        <f>IF(X21=0,"",(Y21-X21)/ABS(X21)+1)</f>
        <v>1.1042565322679869</v>
      </c>
      <c r="AB21" s="59">
        <f>+AB10+AB19</f>
        <v>2319689.4371499997</v>
      </c>
      <c r="AC21" s="28">
        <f>IF(AB21=0,"",(Y21-AB21)/ABS(AB21))</f>
        <v>-0.1217562221635175</v>
      </c>
      <c r="AD21" s="45"/>
      <c r="AE21" s="45"/>
      <c r="AF21" s="45"/>
      <c r="AG21" s="45"/>
      <c r="AH21" s="45"/>
      <c r="AI21" s="47"/>
    </row>
    <row r="22" spans="1:35" x14ac:dyDescent="0.2">
      <c r="A22" s="64"/>
      <c r="B22" s="3" t="s">
        <v>26</v>
      </c>
      <c r="C22" s="59">
        <v>79613</v>
      </c>
      <c r="D22" s="28">
        <f t="shared" si="11"/>
        <v>8.875107715735249E-2</v>
      </c>
      <c r="E22" s="59">
        <v>94434.959540000011</v>
      </c>
      <c r="F22" s="28">
        <f>+E22/$E$20</f>
        <v>0.10254234750206044</v>
      </c>
      <c r="G22" s="28">
        <f>IF(C22=0,"",(E22-C22)/ABS(C22)+1)</f>
        <v>1.1861751163754666</v>
      </c>
      <c r="H22" s="59">
        <v>39745.727899999998</v>
      </c>
      <c r="I22" s="28">
        <f t="shared" ref="I22:I46" si="12">+H22/$H$20</f>
        <v>4.5467240721450641E-2</v>
      </c>
      <c r="J22" s="28">
        <f>IF(H22=0,"",(E22-H22)/ABS(H22))</f>
        <v>1.3759776089042268</v>
      </c>
      <c r="K22" s="59">
        <v>485140</v>
      </c>
      <c r="L22" s="28">
        <f t="shared" si="5"/>
        <v>7.8687373802006064E-2</v>
      </c>
      <c r="M22" s="59">
        <v>501715.43479999999</v>
      </c>
      <c r="N22" s="28">
        <f>+M22/$M$20</f>
        <v>8.2580956192401522E-2</v>
      </c>
      <c r="O22" s="28">
        <f>IF(K22=0,"",(M22-K22)/ABS(K22)+1)</f>
        <v>1.03416629179206</v>
      </c>
      <c r="P22" s="59">
        <v>265810.77169000002</v>
      </c>
      <c r="Q22" s="28">
        <f t="shared" si="8"/>
        <v>4.9368996414404384E-2</v>
      </c>
      <c r="R22" s="28">
        <f>IF(P22=0,"",(M22-P22)/ABS(P22))</f>
        <v>0.88749098319131381</v>
      </c>
      <c r="S22" s="60"/>
      <c r="T22" s="3"/>
      <c r="U22" s="59"/>
      <c r="V22" s="59"/>
      <c r="W22" s="59"/>
      <c r="X22" s="59"/>
      <c r="Y22" s="59"/>
      <c r="Z22" s="55"/>
      <c r="AA22" s="61"/>
      <c r="AB22" s="59"/>
      <c r="AC22" s="28"/>
      <c r="AD22" s="45"/>
      <c r="AE22" s="45"/>
      <c r="AF22" s="45"/>
      <c r="AG22" s="45"/>
      <c r="AH22" s="45"/>
      <c r="AI22" s="47"/>
    </row>
    <row r="23" spans="1:35" x14ac:dyDescent="0.2">
      <c r="A23" s="64"/>
      <c r="B23" s="3"/>
      <c r="C23" s="59"/>
      <c r="D23" s="28"/>
      <c r="E23" s="59"/>
      <c r="F23" s="28"/>
      <c r="G23" s="28"/>
      <c r="H23" s="59"/>
      <c r="I23" s="28"/>
      <c r="J23" s="28"/>
      <c r="K23" s="59"/>
      <c r="L23" s="28"/>
      <c r="M23" s="59"/>
      <c r="N23" s="28"/>
      <c r="O23" s="28"/>
      <c r="P23" s="59"/>
      <c r="Q23" s="28"/>
      <c r="R23" s="28"/>
      <c r="S23" s="60"/>
      <c r="T23" s="3" t="s">
        <v>27</v>
      </c>
      <c r="U23" s="59">
        <v>5205</v>
      </c>
      <c r="V23" s="59">
        <v>615.82500000000005</v>
      </c>
      <c r="W23" s="59">
        <v>40245.120000000003</v>
      </c>
      <c r="X23" s="59">
        <v>424785</v>
      </c>
      <c r="Y23" s="59">
        <v>567222.03300000005</v>
      </c>
      <c r="Z23" s="55">
        <f>+Y23-X23</f>
        <v>142437.03300000005</v>
      </c>
      <c r="AA23" s="61">
        <f>IF(X23=0,"",(Y23-X23)/ABS(X23)+1)</f>
        <v>1.3353155902397684</v>
      </c>
      <c r="AB23" s="59">
        <v>344404.40399999998</v>
      </c>
      <c r="AC23" s="28">
        <f>IF(AB23=0,"",(Y23-AB23)/ABS(AB23))</f>
        <v>0.64696509804212632</v>
      </c>
      <c r="AD23" s="45"/>
      <c r="AE23" s="45"/>
      <c r="AF23" s="45"/>
      <c r="AG23" s="45"/>
      <c r="AH23" s="45"/>
      <c r="AI23" s="47"/>
    </row>
    <row r="24" spans="1:35" x14ac:dyDescent="0.2">
      <c r="B24" s="3" t="s">
        <v>28</v>
      </c>
      <c r="C24" s="59">
        <f>+C20-C22</f>
        <v>817424</v>
      </c>
      <c r="D24" s="28">
        <f t="shared" si="11"/>
        <v>0.91124892284264747</v>
      </c>
      <c r="E24" s="59">
        <f>+E20-E22</f>
        <v>826501.23746000021</v>
      </c>
      <c r="F24" s="28">
        <f>+E24/$E$20</f>
        <v>0.89745765249793963</v>
      </c>
      <c r="G24" s="28">
        <f>IF(C24=0,"",(E24-C24)/ABS(C24)+1)</f>
        <v>1.0111046867476368</v>
      </c>
      <c r="H24" s="59">
        <f>+H20-H22</f>
        <v>834416.1361</v>
      </c>
      <c r="I24" s="28">
        <f t="shared" si="12"/>
        <v>0.9545327592785493</v>
      </c>
      <c r="J24" s="28">
        <f>IF(H24=0,"",(E24-H24)/ABS(H24))</f>
        <v>-9.4855531881172066E-3</v>
      </c>
      <c r="K24" s="59">
        <f>+K20-K22</f>
        <v>5680271</v>
      </c>
      <c r="L24" s="28">
        <f t="shared" si="5"/>
        <v>0.92131262619799392</v>
      </c>
      <c r="M24" s="59">
        <f>+M20-M22</f>
        <v>5573722.0260000005</v>
      </c>
      <c r="N24" s="28">
        <f>+M24/$M$20</f>
        <v>0.91741904380759853</v>
      </c>
      <c r="O24" s="28">
        <f>IF(K24=0,"",(M24-K24)/ABS(K24)+1)</f>
        <v>0.98124227277184495</v>
      </c>
      <c r="P24" s="59">
        <f>+P20-P22</f>
        <v>5118353.1975099994</v>
      </c>
      <c r="Q24" s="28">
        <f t="shared" si="8"/>
        <v>0.9506310035855956</v>
      </c>
      <c r="R24" s="28">
        <f>IF(P24=0,"",(M24-P24)/ABS(P24))</f>
        <v>8.8967840029392883E-2</v>
      </c>
      <c r="S24" s="60"/>
      <c r="T24" s="3"/>
      <c r="U24" s="59"/>
      <c r="V24" s="59"/>
      <c r="W24" s="59"/>
      <c r="X24" s="59"/>
      <c r="Y24" s="59"/>
      <c r="Z24" s="55"/>
      <c r="AA24" s="61"/>
      <c r="AB24" s="59"/>
      <c r="AC24" s="28"/>
      <c r="AD24" s="45"/>
      <c r="AE24" s="45"/>
      <c r="AF24" s="45"/>
      <c r="AG24" s="45"/>
      <c r="AH24" s="45"/>
      <c r="AI24" s="47"/>
    </row>
    <row r="25" spans="1:35" x14ac:dyDescent="0.2">
      <c r="B25" s="3"/>
      <c r="C25" s="59"/>
      <c r="D25" s="28"/>
      <c r="E25" s="59"/>
      <c r="F25" s="28"/>
      <c r="G25" s="28"/>
      <c r="H25" s="59"/>
      <c r="I25" s="28"/>
      <c r="J25" s="28"/>
      <c r="K25" s="59"/>
      <c r="L25" s="28"/>
      <c r="M25" s="59"/>
      <c r="N25" s="28"/>
      <c r="O25" s="28"/>
      <c r="P25" s="59"/>
      <c r="Q25" s="28"/>
      <c r="R25" s="28"/>
      <c r="S25" s="60"/>
      <c r="T25" s="3" t="s">
        <v>29</v>
      </c>
      <c r="U25" s="59">
        <v>321817</v>
      </c>
      <c r="V25" s="59">
        <v>296674.11817999999</v>
      </c>
      <c r="W25" s="59">
        <v>216256.52374999999</v>
      </c>
      <c r="X25" s="59">
        <v>1295654</v>
      </c>
      <c r="Y25" s="59">
        <v>1291139.1565399999</v>
      </c>
      <c r="Z25" s="55">
        <f>+Y25-X25</f>
        <v>-4514.8434600001201</v>
      </c>
      <c r="AA25" s="61">
        <f>IF(X25=0,"",(Y25-X25)/ABS(X25)+1)</f>
        <v>0.99651539418702828</v>
      </c>
      <c r="AB25" s="59">
        <v>1108402.92374</v>
      </c>
      <c r="AC25" s="28">
        <f>IF(AB25=0,"",(Y25-AB25)/ABS(AB25))</f>
        <v>0.16486444494697547</v>
      </c>
      <c r="AD25" s="45"/>
      <c r="AE25" s="45"/>
      <c r="AF25" s="45"/>
      <c r="AG25" s="45"/>
      <c r="AH25" s="45"/>
      <c r="AI25" s="47"/>
    </row>
    <row r="26" spans="1:35" x14ac:dyDescent="0.2">
      <c r="B26" s="3" t="s">
        <v>30</v>
      </c>
      <c r="C26" s="59">
        <v>200405</v>
      </c>
      <c r="D26" s="28">
        <f t="shared" si="11"/>
        <v>0.2234077301159261</v>
      </c>
      <c r="E26" s="59">
        <v>174034.89291</v>
      </c>
      <c r="F26" s="28">
        <f>+E26/$E$20</f>
        <v>0.18897605879422283</v>
      </c>
      <c r="G26" s="28">
        <f>IF(C26=0,"",(E26-C26)/ABS(C26)+1)</f>
        <v>0.86841592230732767</v>
      </c>
      <c r="H26" s="59">
        <v>166440.20693000001</v>
      </c>
      <c r="I26" s="28">
        <f t="shared" si="12"/>
        <v>0.19039975750989752</v>
      </c>
      <c r="J26" s="28">
        <f>IF(H26=0,"",(E26-H26)/ABS(H26))</f>
        <v>4.5630116184571239E-2</v>
      </c>
      <c r="K26" s="59">
        <v>1352299</v>
      </c>
      <c r="L26" s="28">
        <f t="shared" si="5"/>
        <v>0.21933639136141939</v>
      </c>
      <c r="M26" s="59">
        <v>1301627.14796</v>
      </c>
      <c r="N26" s="28">
        <f>+M26/$M$20</f>
        <v>0.21424418510738888</v>
      </c>
      <c r="O26" s="28">
        <f>IF(K26=0,"",(M26-K26)/ABS(K26)+1)</f>
        <v>0.96252910632929545</v>
      </c>
      <c r="P26" s="59">
        <v>1056725.2448200001</v>
      </c>
      <c r="Q26" s="28">
        <f t="shared" si="8"/>
        <v>0.19626542781107251</v>
      </c>
      <c r="R26" s="28">
        <f>IF(P26=0,"",(M26-P26)/ABS(P26))</f>
        <v>0.23175551482326495</v>
      </c>
      <c r="S26" s="60"/>
      <c r="T26" s="3"/>
      <c r="U26" s="59"/>
      <c r="V26" s="59"/>
      <c r="W26" s="59"/>
      <c r="X26" s="59"/>
      <c r="Y26" s="59"/>
      <c r="Z26" s="55"/>
      <c r="AA26" s="61"/>
      <c r="AB26" s="59"/>
      <c r="AC26" s="28"/>
      <c r="AD26" s="45"/>
      <c r="AE26" s="45"/>
      <c r="AF26" s="45"/>
      <c r="AG26" s="45"/>
      <c r="AH26" s="45"/>
      <c r="AI26" s="47"/>
    </row>
    <row r="27" spans="1:35" x14ac:dyDescent="0.2">
      <c r="B27" s="3" t="s">
        <v>31</v>
      </c>
      <c r="C27" s="59">
        <v>283527</v>
      </c>
      <c r="D27" s="28">
        <f t="shared" si="11"/>
        <v>0.31607057456938786</v>
      </c>
      <c r="E27" s="59">
        <v>288206.53912000003</v>
      </c>
      <c r="F27" s="28">
        <f>+E27/$E$20</f>
        <v>0.31294951817384148</v>
      </c>
      <c r="G27" s="28">
        <f>IF(C27=0,"",(E27-C27)/ABS(C27)+1)</f>
        <v>1.0165047389490243</v>
      </c>
      <c r="H27" s="59">
        <v>292290.51912999997</v>
      </c>
      <c r="I27" s="28">
        <f t="shared" si="12"/>
        <v>0.33436658720449508</v>
      </c>
      <c r="J27" s="28">
        <f>IF(H27=0,"",(E27-H27)/ABS(H27))</f>
        <v>-1.3972331439814982E-2</v>
      </c>
      <c r="K27" s="59">
        <v>1977998</v>
      </c>
      <c r="L27" s="28">
        <f t="shared" si="5"/>
        <v>0.32082175867918616</v>
      </c>
      <c r="M27" s="59">
        <v>1971744.5767999999</v>
      </c>
      <c r="N27" s="28">
        <f>+M27/$M$20</f>
        <v>0.32454363813669557</v>
      </c>
      <c r="O27" s="28">
        <f>IF(K27=0,"",(M27-K27)/ABS(K27)+1)</f>
        <v>0.99683850883570146</v>
      </c>
      <c r="P27" s="59">
        <v>2048753.0141099999</v>
      </c>
      <c r="Q27" s="28">
        <f t="shared" si="8"/>
        <v>0.38051460279253196</v>
      </c>
      <c r="R27" s="28">
        <f>IF(P27=0,"",(M27-P27)/ABS(P27))</f>
        <v>-3.7587955590368337E-2</v>
      </c>
      <c r="S27" s="60"/>
      <c r="T27" s="3" t="s">
        <v>32</v>
      </c>
      <c r="U27" s="59">
        <v>-47425</v>
      </c>
      <c r="V27" s="59">
        <v>8111.3116</v>
      </c>
      <c r="W27" s="59">
        <v>32361.787</v>
      </c>
      <c r="X27" s="59">
        <v>-194153</v>
      </c>
      <c r="Y27" s="59">
        <v>-161204.40708</v>
      </c>
      <c r="Z27" s="55">
        <f>+Y27-X27</f>
        <v>32948.592919999996</v>
      </c>
      <c r="AA27" s="61">
        <f>IF(X27=0,"",(Y27-X27)/ABS(X27)+1)</f>
        <v>1.1697042689013304</v>
      </c>
      <c r="AB27" s="59">
        <v>-91765.44872</v>
      </c>
      <c r="AC27" s="28">
        <f>IF(AB27=0,"",(Y27-AB27)/ABS(AB27))</f>
        <v>-0.75670047200309709</v>
      </c>
      <c r="AD27" s="45"/>
      <c r="AE27" s="45"/>
      <c r="AF27" s="45"/>
      <c r="AG27" s="45"/>
      <c r="AH27" s="45"/>
      <c r="AI27" s="47"/>
    </row>
    <row r="28" spans="1:35" x14ac:dyDescent="0.2">
      <c r="B28" s="3" t="s">
        <v>33</v>
      </c>
      <c r="C28" s="59">
        <f>SUM(C26:C27)</f>
        <v>483932</v>
      </c>
      <c r="D28" s="28">
        <f t="shared" si="11"/>
        <v>0.53947830468531399</v>
      </c>
      <c r="E28" s="59">
        <f>SUM(E26:E27)</f>
        <v>462241.43203000003</v>
      </c>
      <c r="F28" s="28">
        <f>+E28/$E$20</f>
        <v>0.50192557696806428</v>
      </c>
      <c r="G28" s="28">
        <f>IF(C28=0,"",(E28-C28)/ABS(C28)+1)</f>
        <v>0.95517847968309599</v>
      </c>
      <c r="H28" s="59">
        <f>SUM(H26:H27)</f>
        <v>458730.72606000002</v>
      </c>
      <c r="I28" s="28">
        <f t="shared" si="12"/>
        <v>0.52476634471439265</v>
      </c>
      <c r="J28" s="28">
        <f>IF(H28=0,"",(E28-H28)/ABS(H28))</f>
        <v>7.6530865942928458E-3</v>
      </c>
      <c r="K28" s="59">
        <f>SUM(K26:K27)</f>
        <v>3330297</v>
      </c>
      <c r="L28" s="28">
        <f t="shared" si="5"/>
        <v>0.54015815004060552</v>
      </c>
      <c r="M28" s="59">
        <f>SUM(M26:M27)</f>
        <v>3273371.7247599997</v>
      </c>
      <c r="N28" s="28">
        <f>+M28/$M$20</f>
        <v>0.53878782324408436</v>
      </c>
      <c r="O28" s="28">
        <f>IF(K28=0,"",(M28-K28)/ABS(K28)+1)</f>
        <v>0.98290684727518285</v>
      </c>
      <c r="P28" s="59">
        <f>SUM(P26:P27)</f>
        <v>3105478.25893</v>
      </c>
      <c r="Q28" s="28">
        <f t="shared" si="8"/>
        <v>0.5767800306036045</v>
      </c>
      <c r="R28" s="28">
        <f>IF(P28=0,"",(M28-P28)/ABS(P28))</f>
        <v>5.4063642322148393E-2</v>
      </c>
      <c r="S28" s="60"/>
      <c r="T28" s="3" t="s">
        <v>34</v>
      </c>
      <c r="U28" s="59">
        <v>77500</v>
      </c>
      <c r="V28" s="59">
        <v>79783.751000000004</v>
      </c>
      <c r="W28" s="59">
        <v>0</v>
      </c>
      <c r="X28" s="59">
        <v>310000</v>
      </c>
      <c r="Y28" s="59">
        <v>283410.13500000001</v>
      </c>
      <c r="Z28" s="55">
        <f>+Y28-X28</f>
        <v>-26589.864999999991</v>
      </c>
      <c r="AA28" s="61">
        <f>IF(X28=0,"",(Y28-X28)/ABS(X28)+1)</f>
        <v>0.91422624193548385</v>
      </c>
      <c r="AB28" s="59">
        <v>0</v>
      </c>
      <c r="AC28" s="28" t="str">
        <f>IF(AB28=0,"",(Y28-AB28)/ABS(AB28))</f>
        <v/>
      </c>
      <c r="AD28" s="45"/>
      <c r="AE28" s="45"/>
      <c r="AF28" s="45"/>
      <c r="AG28" s="45"/>
      <c r="AH28" s="45"/>
      <c r="AI28" s="47"/>
    </row>
    <row r="29" spans="1:35" x14ac:dyDescent="0.2">
      <c r="B29" s="3"/>
      <c r="C29" s="59"/>
      <c r="D29" s="28"/>
      <c r="E29" s="59"/>
      <c r="F29" s="28"/>
      <c r="G29" s="28"/>
      <c r="H29" s="59"/>
      <c r="I29" s="28"/>
      <c r="J29" s="28"/>
      <c r="K29" s="59"/>
      <c r="L29" s="28"/>
      <c r="M29" s="59"/>
      <c r="N29" s="28"/>
      <c r="O29" s="28"/>
      <c r="P29" s="59"/>
      <c r="Q29" s="28"/>
      <c r="R29" s="28"/>
      <c r="S29" s="60"/>
      <c r="AD29" s="45"/>
      <c r="AE29" s="45"/>
      <c r="AF29" s="45"/>
      <c r="AG29" s="45"/>
      <c r="AH29" s="45"/>
      <c r="AI29" s="47"/>
    </row>
    <row r="30" spans="1:35" x14ac:dyDescent="0.2">
      <c r="B30" s="3" t="s">
        <v>35</v>
      </c>
      <c r="C30" s="59">
        <v>59281</v>
      </c>
      <c r="D30" s="28">
        <f t="shared" si="11"/>
        <v>6.60853454205345E-2</v>
      </c>
      <c r="E30" s="59">
        <v>47773.89013</v>
      </c>
      <c r="F30" s="28">
        <f>+E30/$E$20</f>
        <v>5.1875352804706829E-2</v>
      </c>
      <c r="G30" s="28">
        <f>IF(C30=0,"",(E30-C30)/ABS(C30)+1)</f>
        <v>0.80588873551390838</v>
      </c>
      <c r="H30" s="59">
        <v>38525.484659999995</v>
      </c>
      <c r="I30" s="28">
        <f t="shared" si="12"/>
        <v>4.4071339927498822E-2</v>
      </c>
      <c r="J30" s="28">
        <f>IF(H30=0,"",(E30-H30)/ABS(H30))</f>
        <v>0.24005941915125037</v>
      </c>
      <c r="K30" s="59">
        <v>362856</v>
      </c>
      <c r="L30" s="28">
        <f t="shared" si="5"/>
        <v>5.8853497358083671E-2</v>
      </c>
      <c r="M30" s="59">
        <v>340026.88929000002</v>
      </c>
      <c r="N30" s="28">
        <f>+M30/$M$20</f>
        <v>5.5967474191599365E-2</v>
      </c>
      <c r="O30" s="28">
        <f>IF(K30=0,"",(M30-K30)/ABS(K30)+1)</f>
        <v>0.93708492980686553</v>
      </c>
      <c r="P30" s="59">
        <v>275691.46818000003</v>
      </c>
      <c r="Q30" s="28">
        <f t="shared" si="8"/>
        <v>5.1204136753094348E-2</v>
      </c>
      <c r="R30" s="28">
        <f>IF(P30=0,"",(M30-P30)/ABS(P30))</f>
        <v>0.23336021798104811</v>
      </c>
      <c r="S30" s="60"/>
      <c r="T30" s="17" t="s">
        <v>36</v>
      </c>
      <c r="U30" s="63">
        <f>U21-U23-U25-U27-U28</f>
        <v>8623.3442523382837</v>
      </c>
      <c r="V30" s="63">
        <f>V21-V23-V25-V27-V28</f>
        <v>56685.304580000011</v>
      </c>
      <c r="W30" s="63">
        <f>W21-W23-W25-W27-W28</f>
        <v>958647.10366000002</v>
      </c>
      <c r="X30" s="63">
        <f>X21-X23-X25-X27-X28</f>
        <v>8623</v>
      </c>
      <c r="Y30" s="63">
        <f>Y21-Y23-Y25-Y27-Y28</f>
        <v>56685.897229999537</v>
      </c>
      <c r="Z30" s="65">
        <f>+Y30-X30</f>
        <v>48062.897229999537</v>
      </c>
      <c r="AA30" s="66">
        <f>IF(U30=0,"",(V30-U30)/ABS(U30)+1)</f>
        <v>6.5734711408082047</v>
      </c>
      <c r="AB30" s="63">
        <f>AB21-AB23-AB25-AB27-AB28</f>
        <v>958647.55812999955</v>
      </c>
      <c r="AC30" s="28">
        <f>IF(AB30=0,"",(Y30-AB30)/ABS(AB30))</f>
        <v>-0.94086888685078929</v>
      </c>
      <c r="AD30" s="46"/>
      <c r="AE30" s="46"/>
    </row>
    <row r="31" spans="1:35" x14ac:dyDescent="0.2">
      <c r="B31" s="3" t="s">
        <v>37</v>
      </c>
      <c r="C31" s="59">
        <v>170227</v>
      </c>
      <c r="D31" s="28">
        <f t="shared" si="11"/>
        <v>0.18976586250065494</v>
      </c>
      <c r="E31" s="59">
        <v>164934.58606999999</v>
      </c>
      <c r="F31" s="28">
        <f>+E31/$E$20</f>
        <v>0.17909447647652832</v>
      </c>
      <c r="G31" s="28">
        <f>IF(C31=0,"",(E31-C31)/ABS(C31)+1)</f>
        <v>0.96890966809025592</v>
      </c>
      <c r="H31" s="59">
        <v>159719.96419</v>
      </c>
      <c r="I31" s="28">
        <f t="shared" si="12"/>
        <v>0.18271211633409803</v>
      </c>
      <c r="J31" s="28">
        <f>IF(H31=0,"",(E31-H31)/ABS(H31))</f>
        <v>3.2648528982868859E-2</v>
      </c>
      <c r="K31" s="59">
        <v>1243693</v>
      </c>
      <c r="L31" s="28">
        <f t="shared" si="5"/>
        <v>0.20172102070729753</v>
      </c>
      <c r="M31" s="59">
        <v>1184477.2007899999</v>
      </c>
      <c r="N31" s="28">
        <f>+M31/$M$20</f>
        <v>0.19496163172322911</v>
      </c>
      <c r="O31" s="28">
        <f>IF(K31=0,"",(M31-K31)/ABS(K31)+1)</f>
        <v>0.9523871251104572</v>
      </c>
      <c r="P31" s="59">
        <v>1078581.07023</v>
      </c>
      <c r="Q31" s="28">
        <f t="shared" si="8"/>
        <v>0.20032470712259157</v>
      </c>
      <c r="R31" s="28">
        <f>IF(P31=0,"",(M31-P31)/ABS(P31))</f>
        <v>9.8180965235574125E-2</v>
      </c>
      <c r="S31" s="60"/>
      <c r="T31" s="46"/>
      <c r="U31" s="50"/>
      <c r="V31" s="50" t="s">
        <v>46</v>
      </c>
      <c r="W31" s="46" t="s">
        <v>46</v>
      </c>
      <c r="X31" s="50" t="s">
        <v>46</v>
      </c>
      <c r="Y31" s="50" t="s">
        <v>46</v>
      </c>
      <c r="Z31" s="50"/>
      <c r="AA31" s="50"/>
      <c r="AB31" s="67" t="s">
        <v>46</v>
      </c>
      <c r="AC31" s="46"/>
      <c r="AD31" s="46"/>
      <c r="AE31" s="46"/>
    </row>
    <row r="32" spans="1:35" x14ac:dyDescent="0.2">
      <c r="B32" s="3" t="s">
        <v>38</v>
      </c>
      <c r="C32" s="59">
        <f>SUM(C30:C31)</f>
        <v>229508</v>
      </c>
      <c r="D32" s="28">
        <f t="shared" si="11"/>
        <v>0.25585120792118943</v>
      </c>
      <c r="E32" s="59">
        <f>SUM(E30:E31)</f>
        <v>212708.47619999998</v>
      </c>
      <c r="F32" s="28">
        <f>+E32/$E$20</f>
        <v>0.23096982928123513</v>
      </c>
      <c r="G32" s="28">
        <f>IF(C32=0,"",(E32-C32)/ABS(C32)+1)</f>
        <v>0.926802012130296</v>
      </c>
      <c r="H32" s="59">
        <f>SUM(H30:H31)</f>
        <v>198245.44884999999</v>
      </c>
      <c r="I32" s="28">
        <f t="shared" si="12"/>
        <v>0.22678345626159685</v>
      </c>
      <c r="J32" s="28">
        <f>IF(H32=0,"",(E32-H32)/ABS(H32))</f>
        <v>7.2955154501141983E-2</v>
      </c>
      <c r="K32" s="59">
        <f>SUM(K30:K31)</f>
        <v>1606549</v>
      </c>
      <c r="L32" s="28">
        <f t="shared" si="5"/>
        <v>0.26057451806538118</v>
      </c>
      <c r="M32" s="59">
        <f>SUM(M30:M31)</f>
        <v>1524504.09008</v>
      </c>
      <c r="N32" s="28">
        <f>+M32/$M$20</f>
        <v>0.25092910591482848</v>
      </c>
      <c r="O32" s="28">
        <f>IF(K32=0,"",(M32-K32)/ABS(K32)+1)</f>
        <v>0.94893096325104309</v>
      </c>
      <c r="P32" s="59">
        <f>SUM(P30:P31)</f>
        <v>1354272.53841</v>
      </c>
      <c r="Q32" s="28">
        <f t="shared" si="8"/>
        <v>0.25152884387568591</v>
      </c>
      <c r="R32" s="28">
        <f>IF(P32=0,"",(M32-P32)/ABS(P32))</f>
        <v>0.125699626066303</v>
      </c>
      <c r="S32" s="60"/>
      <c r="T32" s="46" t="s">
        <v>70</v>
      </c>
      <c r="U32" s="67"/>
      <c r="V32" s="67"/>
      <c r="W32" s="67"/>
      <c r="X32" s="67"/>
      <c r="Y32" s="67"/>
      <c r="Z32" s="67"/>
      <c r="AA32" s="67"/>
      <c r="AB32" s="67"/>
      <c r="AC32" s="46"/>
    </row>
    <row r="33" spans="1:29" x14ac:dyDescent="0.2">
      <c r="B33" s="3"/>
      <c r="C33" s="59"/>
      <c r="D33" s="28"/>
      <c r="E33" s="59"/>
      <c r="F33" s="28"/>
      <c r="G33" s="28"/>
      <c r="H33" s="59"/>
      <c r="I33" s="28"/>
      <c r="J33" s="28"/>
      <c r="K33" s="59"/>
      <c r="L33" s="28"/>
      <c r="M33" s="59"/>
      <c r="N33" s="28"/>
      <c r="O33" s="28"/>
      <c r="P33" s="59"/>
      <c r="Q33" s="28"/>
      <c r="R33" s="28"/>
      <c r="S33" s="60"/>
      <c r="T33" s="46"/>
      <c r="U33" s="67"/>
      <c r="V33" s="67"/>
      <c r="W33" s="67"/>
      <c r="X33" s="67"/>
      <c r="Y33" s="67"/>
      <c r="Z33" s="67"/>
      <c r="AA33" s="67"/>
      <c r="AB33" s="67"/>
      <c r="AC33" s="46"/>
    </row>
    <row r="34" spans="1:29" x14ac:dyDescent="0.2">
      <c r="B34" s="3" t="s">
        <v>39</v>
      </c>
      <c r="C34" s="59">
        <f>C28+C32</f>
        <v>713440</v>
      </c>
      <c r="D34" s="28">
        <f t="shared" si="11"/>
        <v>0.79532951260650342</v>
      </c>
      <c r="E34" s="59">
        <f>E28+E32</f>
        <v>674949.90822999994</v>
      </c>
      <c r="F34" s="28">
        <f>+E34/$E$20</f>
        <v>0.73289540624929939</v>
      </c>
      <c r="G34" s="28">
        <f>IF(C34=0,"",(E34-C34)/ABS(C34)+1)</f>
        <v>0.94604999471574336</v>
      </c>
      <c r="H34" s="59">
        <f>H28+H32</f>
        <v>656976.17491000006</v>
      </c>
      <c r="I34" s="28">
        <f t="shared" si="12"/>
        <v>0.75154980097598956</v>
      </c>
      <c r="J34" s="28">
        <f>IF(H34=0,"",(E34-H34)/ABS(H34))</f>
        <v>2.7358272653436978E-2</v>
      </c>
      <c r="K34" s="59">
        <f>K28+K32</f>
        <v>4936846</v>
      </c>
      <c r="L34" s="28">
        <f t="shared" si="5"/>
        <v>0.80073266810598676</v>
      </c>
      <c r="M34" s="59">
        <f>M28+M32</f>
        <v>4797875.8148400001</v>
      </c>
      <c r="N34" s="28">
        <f>+M34/$M$20</f>
        <v>0.78971692915891301</v>
      </c>
      <c r="O34" s="28">
        <f>IF(K34=0,"",(M34-K34)/ABS(K34)+1)</f>
        <v>0.97185041114104032</v>
      </c>
      <c r="P34" s="59">
        <f>P28+P32</f>
        <v>4459750.79734</v>
      </c>
      <c r="Q34" s="28">
        <f t="shared" si="8"/>
        <v>0.82830887447929036</v>
      </c>
      <c r="R34" s="28">
        <f>IF(P34=0,"",(M34-P34)/ABS(P34))</f>
        <v>7.581702047156387E-2</v>
      </c>
      <c r="S34" s="60"/>
      <c r="T34" s="45"/>
      <c r="U34" s="47"/>
      <c r="V34" s="47"/>
      <c r="W34" s="47"/>
      <c r="X34" s="67"/>
      <c r="Y34" s="67"/>
      <c r="Z34" s="67"/>
      <c r="AA34" s="67"/>
    </row>
    <row r="35" spans="1:29" x14ac:dyDescent="0.2">
      <c r="B35" s="3"/>
      <c r="C35" s="59"/>
      <c r="D35" s="28"/>
      <c r="E35" s="59"/>
      <c r="F35" s="28"/>
      <c r="G35" s="28"/>
      <c r="H35" s="59"/>
      <c r="I35" s="28"/>
      <c r="J35" s="28"/>
      <c r="K35" s="59"/>
      <c r="L35" s="28"/>
      <c r="M35" s="59"/>
      <c r="N35" s="28"/>
      <c r="O35" s="28"/>
      <c r="P35" s="59"/>
      <c r="Q35" s="28"/>
      <c r="R35" s="28"/>
      <c r="S35" s="60"/>
      <c r="T35" s="45"/>
      <c r="U35" s="47"/>
      <c r="V35" s="47"/>
      <c r="W35" s="47"/>
      <c r="X35" s="67"/>
      <c r="Y35" s="67"/>
      <c r="Z35" s="67"/>
      <c r="AA35" s="67"/>
    </row>
    <row r="36" spans="1:29" x14ac:dyDescent="0.2">
      <c r="B36" s="17" t="s">
        <v>40</v>
      </c>
      <c r="C36" s="63">
        <f>C24-C34</f>
        <v>103984</v>
      </c>
      <c r="D36" s="36">
        <f t="shared" si="11"/>
        <v>0.1159194102361441</v>
      </c>
      <c r="E36" s="63">
        <f>E24-E34</f>
        <v>151551.32923000026</v>
      </c>
      <c r="F36" s="36">
        <f>+E36/$E$20</f>
        <v>0.16456224624864021</v>
      </c>
      <c r="G36" s="36">
        <f>IF(C36=0,"",(E36-C36)/ABS(C36)+1)</f>
        <v>1.4574485423719059</v>
      </c>
      <c r="H36" s="63">
        <f>H24-H34</f>
        <v>177439.96118999994</v>
      </c>
      <c r="I36" s="36">
        <f t="shared" si="12"/>
        <v>0.20298295830255977</v>
      </c>
      <c r="J36" s="36">
        <f>IF(H36=0,"",(E36-H36)/ABS(H36))</f>
        <v>-0.14590079814252516</v>
      </c>
      <c r="K36" s="63">
        <f>K24-K34</f>
        <v>743425</v>
      </c>
      <c r="L36" s="36">
        <f t="shared" si="5"/>
        <v>0.12057995809200717</v>
      </c>
      <c r="M36" s="63">
        <f>+M24-M34</f>
        <v>775846.21116000041</v>
      </c>
      <c r="N36" s="36">
        <f>+M36/$M$20</f>
        <v>0.1277021146486855</v>
      </c>
      <c r="O36" s="36">
        <f>IF(K36=0,"",(M36-K36)/ABS(K36)+1)</f>
        <v>1.043610601150083</v>
      </c>
      <c r="P36" s="63">
        <f>P24-P34</f>
        <v>658602.40016999934</v>
      </c>
      <c r="Q36" s="36">
        <f t="shared" si="8"/>
        <v>0.12232212910630527</v>
      </c>
      <c r="R36" s="36">
        <f>IF(P36=0,"",(M36-P36)/ABS(P36))</f>
        <v>0.17801910676265065</v>
      </c>
      <c r="S36" s="60"/>
      <c r="T36" s="45"/>
      <c r="W36" s="47"/>
      <c r="X36" s="67"/>
      <c r="Y36" s="67"/>
      <c r="Z36" s="67"/>
      <c r="AA36" s="67"/>
    </row>
    <row r="37" spans="1:29" x14ac:dyDescent="0.2">
      <c r="B37" s="3"/>
      <c r="C37" s="59"/>
      <c r="D37" s="28"/>
      <c r="E37" s="59"/>
      <c r="F37" s="28"/>
      <c r="G37" s="28"/>
      <c r="H37" s="59"/>
      <c r="I37" s="28"/>
      <c r="J37" s="28"/>
      <c r="K37" s="59"/>
      <c r="L37" s="28"/>
      <c r="M37" s="59"/>
      <c r="N37" s="28"/>
      <c r="O37" s="28"/>
      <c r="P37" s="59"/>
      <c r="Q37" s="28"/>
      <c r="R37" s="28"/>
      <c r="S37" s="60"/>
      <c r="W37" s="47"/>
      <c r="X37" s="67"/>
      <c r="Y37" s="67"/>
      <c r="Z37" s="67"/>
      <c r="AA37" s="67"/>
    </row>
    <row r="38" spans="1:29" x14ac:dyDescent="0.2">
      <c r="B38" s="3" t="s">
        <v>41</v>
      </c>
      <c r="C38" s="59">
        <v>640</v>
      </c>
      <c r="D38" s="28">
        <f t="shared" si="11"/>
        <v>7.1345997991164244E-4</v>
      </c>
      <c r="E38" s="59">
        <v>3115.80879</v>
      </c>
      <c r="F38" s="28">
        <f>+E38/$E$20</f>
        <v>3.3833058143983448E-3</v>
      </c>
      <c r="G38" s="28">
        <f>IF(C38=0,"",(E38-C38)/ABS(C38)+1)</f>
        <v>4.8684512343749997</v>
      </c>
      <c r="H38" s="59">
        <v>6945.0340199999991</v>
      </c>
      <c r="I38" s="28">
        <f t="shared" si="12"/>
        <v>7.9447918126064557E-3</v>
      </c>
      <c r="J38" s="28">
        <f>IF(H38=0,"",(E38-H38)/ABS(H38))</f>
        <v>-0.55136162313572068</v>
      </c>
      <c r="K38" s="59">
        <v>4480</v>
      </c>
      <c r="L38" s="28">
        <f t="shared" si="5"/>
        <v>7.266344449704975E-4</v>
      </c>
      <c r="M38" s="59">
        <v>13806.379300000001</v>
      </c>
      <c r="N38" s="28">
        <f>+M38/$M$20</f>
        <v>2.2724913866831254E-3</v>
      </c>
      <c r="O38" s="28">
        <f>IF(K38=0,"",(M38-K38)/ABS(K38)+1)</f>
        <v>3.0817810937500001</v>
      </c>
      <c r="P38" s="59">
        <v>191214.79319999999</v>
      </c>
      <c r="Q38" s="28">
        <f t="shared" si="8"/>
        <v>3.5514296052988045E-2</v>
      </c>
      <c r="R38" s="28">
        <f>IF(P38=0,"",(M38-P38)/ABS(P38))</f>
        <v>-0.92779648964942107</v>
      </c>
      <c r="S38" s="60"/>
      <c r="T38" s="45"/>
      <c r="X38" s="67"/>
      <c r="Y38" s="67"/>
      <c r="Z38" s="67"/>
      <c r="AA38" s="67"/>
    </row>
    <row r="39" spans="1:29" x14ac:dyDescent="0.2">
      <c r="B39" s="3" t="s">
        <v>42</v>
      </c>
      <c r="C39" s="59">
        <v>14555</v>
      </c>
      <c r="D39" s="28">
        <f t="shared" si="11"/>
        <v>1.6225640636896806E-2</v>
      </c>
      <c r="E39" s="59">
        <v>18093.590640000002</v>
      </c>
      <c r="F39" s="28">
        <f>+E39/$E$20</f>
        <v>1.9646953501166377E-2</v>
      </c>
      <c r="G39" s="28">
        <f>IF(C39=0,"",(E39-C39)/ABS(C39)+1)</f>
        <v>1.2431185599450363</v>
      </c>
      <c r="H39" s="59">
        <v>30590.777670000003</v>
      </c>
      <c r="I39" s="28">
        <f t="shared" si="12"/>
        <v>3.4994408850121152E-2</v>
      </c>
      <c r="J39" s="28">
        <f>IF(H39=0,"",(E39-H39)/ABS(H39))</f>
        <v>-0.408527928410785</v>
      </c>
      <c r="K39" s="59">
        <v>106441</v>
      </c>
      <c r="L39" s="28">
        <f t="shared" si="5"/>
        <v>1.7264218070782305E-2</v>
      </c>
      <c r="M39" s="59">
        <v>115791.71829999999</v>
      </c>
      <c r="N39" s="28">
        <f>+M39/$M$20</f>
        <v>1.905899271404117E-2</v>
      </c>
      <c r="O39" s="28">
        <f>IF(K39=0,"",(M39-K39)/ABS(K39)+1)</f>
        <v>1.0878488392630659</v>
      </c>
      <c r="P39" s="59">
        <v>194922.16868999999</v>
      </c>
      <c r="Q39" s="28">
        <f t="shared" si="8"/>
        <v>3.6202866369792655E-2</v>
      </c>
      <c r="R39" s="28">
        <f>IF(P39=0,"",(M39-P39)/ABS(P39))</f>
        <v>-0.40595921398682649</v>
      </c>
      <c r="S39" s="60"/>
      <c r="T39" s="45"/>
      <c r="X39" s="67"/>
      <c r="Y39" s="67"/>
      <c r="Z39" s="67"/>
      <c r="AA39" s="67"/>
    </row>
    <row r="40" spans="1:29" x14ac:dyDescent="0.2">
      <c r="B40" s="3"/>
      <c r="C40" s="59"/>
      <c r="D40" s="28"/>
      <c r="E40" s="59"/>
      <c r="F40" s="28"/>
      <c r="G40" s="28"/>
      <c r="H40" s="59"/>
      <c r="I40" s="28"/>
      <c r="J40" s="28"/>
      <c r="K40" s="59"/>
      <c r="L40" s="28"/>
      <c r="M40" s="59"/>
      <c r="N40" s="28"/>
      <c r="O40" s="28"/>
      <c r="P40" s="59"/>
      <c r="Q40" s="28"/>
      <c r="R40" s="28"/>
      <c r="S40" s="60"/>
      <c r="T40" s="45"/>
      <c r="X40" s="67"/>
      <c r="Y40" s="67"/>
      <c r="Z40" s="67"/>
      <c r="AA40" s="67"/>
    </row>
    <row r="41" spans="1:29" x14ac:dyDescent="0.2">
      <c r="B41" s="3" t="s">
        <v>43</v>
      </c>
      <c r="C41" s="59">
        <f>C36+C38-C39</f>
        <v>90069</v>
      </c>
      <c r="D41" s="28">
        <f t="shared" si="11"/>
        <v>0.10040722957915894</v>
      </c>
      <c r="E41" s="59">
        <f>E36+E38-E39</f>
        <v>136573.54738000027</v>
      </c>
      <c r="F41" s="28">
        <f>+E41/$E$20</f>
        <v>0.14829859856187219</v>
      </c>
      <c r="G41" s="28">
        <f>IF(C41=0,"",(E41-C41)/ABS(C41)+1)</f>
        <v>1.5163213467452761</v>
      </c>
      <c r="H41" s="59">
        <f>H36+H38-H39</f>
        <v>153794.21753999993</v>
      </c>
      <c r="I41" s="28">
        <f t="shared" si="12"/>
        <v>0.17593334126504506</v>
      </c>
      <c r="J41" s="28">
        <f>IF(H41=0,"",(E41-H41)/ABS(H41))</f>
        <v>-0.1119721562712251</v>
      </c>
      <c r="K41" s="59">
        <f>K36+K38-K39</f>
        <v>641464</v>
      </c>
      <c r="L41" s="28">
        <f t="shared" si="5"/>
        <v>0.10404237446619535</v>
      </c>
      <c r="M41" s="59">
        <f>M36+M38-M39</f>
        <v>673860.87216000049</v>
      </c>
      <c r="N41" s="28">
        <f>+M41/$M$20</f>
        <v>0.11091561332132747</v>
      </c>
      <c r="O41" s="28">
        <f>IF(K41=0,"",(M41-K41)/ABS(K41)+1)</f>
        <v>1.0505045835152098</v>
      </c>
      <c r="P41" s="59">
        <f>P36+P38-P39</f>
        <v>654895.02467999933</v>
      </c>
      <c r="Q41" s="28">
        <f t="shared" si="8"/>
        <v>0.12163355878950066</v>
      </c>
      <c r="R41" s="28">
        <f>IF(P41=0,"",(M41-P41)/ABS(P41))</f>
        <v>2.896013370886185E-2</v>
      </c>
      <c r="S41" s="60"/>
      <c r="T41" s="45"/>
      <c r="X41" s="67"/>
      <c r="Y41" s="67"/>
      <c r="Z41" s="67"/>
      <c r="AA41" s="67"/>
    </row>
    <row r="42" spans="1:29" x14ac:dyDescent="0.2">
      <c r="B42" s="3" t="s">
        <v>29</v>
      </c>
      <c r="C42" s="59">
        <v>32427</v>
      </c>
      <c r="D42" s="28">
        <f t="shared" si="11"/>
        <v>3.6149010575929418E-2</v>
      </c>
      <c r="E42" s="59">
        <v>48177.533000000003</v>
      </c>
      <c r="F42" s="28">
        <f>+E42/$E$20</f>
        <v>5.2313649042073647E-2</v>
      </c>
      <c r="G42" s="28">
        <f>IF(C42=0,"",(E42-C42)/ABS(C42)+1)</f>
        <v>1.4857227927344498</v>
      </c>
      <c r="H42" s="59">
        <v>74084.373000000007</v>
      </c>
      <c r="I42" s="28">
        <f t="shared" si="12"/>
        <v>8.4749033389541692E-2</v>
      </c>
      <c r="J42" s="28">
        <f>IF(H42=0,"",(E42-H42)/ABS(H42))</f>
        <v>-0.34969372015877087</v>
      </c>
      <c r="K42" s="59">
        <v>230943</v>
      </c>
      <c r="L42" s="28">
        <f t="shared" si="5"/>
        <v>3.7457843443040539E-2</v>
      </c>
      <c r="M42" s="59">
        <v>233784.747</v>
      </c>
      <c r="N42" s="28">
        <f>+M42/$M$20</f>
        <v>3.8480314958129078E-2</v>
      </c>
      <c r="O42" s="28">
        <f>IF(K42=0,"",(M42-K42)/ABS(K42)+1)</f>
        <v>1.0123049713565686</v>
      </c>
      <c r="P42" s="59">
        <v>230804.00200000001</v>
      </c>
      <c r="Q42" s="28">
        <f t="shared" si="8"/>
        <v>4.2867194112272515E-2</v>
      </c>
      <c r="R42" s="28">
        <f>IF(P42=0,"",(M42-P42)/ABS(P42))</f>
        <v>1.2914615752633246E-2</v>
      </c>
      <c r="S42" s="60"/>
      <c r="X42" s="67"/>
      <c r="Y42" s="67"/>
      <c r="Z42" s="67"/>
      <c r="AA42" s="67"/>
    </row>
    <row r="43" spans="1:29" x14ac:dyDescent="0.2">
      <c r="B43" s="17" t="s">
        <v>44</v>
      </c>
      <c r="C43" s="63">
        <f>+C41-C42</f>
        <v>57642</v>
      </c>
      <c r="D43" s="36">
        <f t="shared" si="11"/>
        <v>6.4258219003229519E-2</v>
      </c>
      <c r="E43" s="63">
        <f>E41-E42</f>
        <v>88396.01438000027</v>
      </c>
      <c r="F43" s="36">
        <f>+E43/$E$20</f>
        <v>9.5984949519798551E-2</v>
      </c>
      <c r="G43" s="36">
        <f>IF(C43=0,"",(E43-C43)/ABS(C43)+1)</f>
        <v>1.5335348249540313</v>
      </c>
      <c r="H43" s="63">
        <f>+H41-H42</f>
        <v>79709.844539999918</v>
      </c>
      <c r="I43" s="36">
        <f t="shared" si="12"/>
        <v>9.1184307875503384E-2</v>
      </c>
      <c r="J43" s="36">
        <f>IF(H43=0,"",(E43-H43)/ABS(H43))</f>
        <v>0.10897235956396159</v>
      </c>
      <c r="K43" s="63">
        <f>+K41-K42</f>
        <v>410521</v>
      </c>
      <c r="L43" s="36">
        <f t="shared" si="5"/>
        <v>6.6584531023154828E-2</v>
      </c>
      <c r="M43" s="63">
        <f>+M41-M42</f>
        <v>440076.12516000052</v>
      </c>
      <c r="N43" s="36">
        <f>+M43/$M$20</f>
        <v>7.2435298363198397E-2</v>
      </c>
      <c r="O43" s="36">
        <f>IF(K43=0,"",(M43-K43)/ABS(K43)+1)</f>
        <v>1.0719941858272792</v>
      </c>
      <c r="P43" s="63">
        <f>P41-P42</f>
        <v>424091.02267999935</v>
      </c>
      <c r="Q43" s="36">
        <f t="shared" si="8"/>
        <v>7.8766364677228154E-2</v>
      </c>
      <c r="R43" s="36">
        <f>IF(P43=0,"",(M43-P43)/ABS(P43))</f>
        <v>3.7692621689997027E-2</v>
      </c>
      <c r="S43" s="60"/>
      <c r="T43" s="68"/>
      <c r="W43" s="47"/>
      <c r="X43" s="67"/>
      <c r="Y43" s="67"/>
      <c r="Z43" s="67"/>
      <c r="AA43" s="67"/>
    </row>
    <row r="44" spans="1:29" x14ac:dyDescent="0.2">
      <c r="B44" s="3"/>
      <c r="C44" s="59"/>
      <c r="D44" s="28"/>
      <c r="E44" s="59"/>
      <c r="F44" s="28"/>
      <c r="G44" s="28"/>
      <c r="H44" s="59"/>
      <c r="I44" s="28"/>
      <c r="J44" s="28"/>
      <c r="K44" s="59"/>
      <c r="L44" s="28"/>
      <c r="M44" s="59"/>
      <c r="N44" s="28"/>
      <c r="O44" s="28"/>
      <c r="P44" s="59"/>
      <c r="Q44" s="28"/>
      <c r="R44" s="28"/>
      <c r="S44" s="60"/>
      <c r="W44" s="47"/>
      <c r="X44" s="67"/>
      <c r="Y44" s="67"/>
      <c r="Z44" s="67"/>
      <c r="AA44" s="67"/>
    </row>
    <row r="45" spans="1:29" x14ac:dyDescent="0.2">
      <c r="A45" s="62" t="s">
        <v>71</v>
      </c>
      <c r="B45" s="3" t="s">
        <v>72</v>
      </c>
      <c r="C45" s="59">
        <v>142373</v>
      </c>
      <c r="D45" s="28">
        <f t="shared" si="11"/>
        <v>0.15871474643743791</v>
      </c>
      <c r="E45" s="59">
        <v>191974.78785000026</v>
      </c>
      <c r="F45" s="28">
        <f>+E45/$E$20</f>
        <v>0.20845612158080939</v>
      </c>
      <c r="G45" s="28">
        <f>IF(C45=0,"",(E45-C45)/ABS(C45)+1)</f>
        <v>1.3483932195711283</v>
      </c>
      <c r="H45" s="59">
        <v>108007.96663999991</v>
      </c>
      <c r="I45" s="28">
        <f t="shared" si="12"/>
        <v>0.12355602673602781</v>
      </c>
      <c r="J45" s="28">
        <f>IF(H45=0,"",(E45-H45)/ABS(H45))</f>
        <v>0.7774132207290706</v>
      </c>
      <c r="K45" s="59">
        <v>1035230</v>
      </c>
      <c r="L45" s="28">
        <f t="shared" si="5"/>
        <v>0.16790932510419823</v>
      </c>
      <c r="M45" s="59">
        <v>1056837.6359400004</v>
      </c>
      <c r="N45" s="28">
        <f>+M45/$M$20</f>
        <v>0.17395251663093217</v>
      </c>
      <c r="O45" s="28">
        <f>IF(K45=0,"",(M45-K45)/ABS(K45)+1)</f>
        <v>1.020872304647277</v>
      </c>
      <c r="P45" s="59">
        <v>884788.60317999939</v>
      </c>
      <c r="Q45" s="28">
        <f t="shared" si="8"/>
        <v>0.16433166007599595</v>
      </c>
      <c r="R45" s="28">
        <f>IF(P45=0,"",(M45-P45)/ABS(P45))</f>
        <v>0.1944521348281876</v>
      </c>
      <c r="S45" s="60"/>
      <c r="X45" s="67"/>
      <c r="Y45" s="67"/>
      <c r="Z45" s="67"/>
      <c r="AA45" s="67"/>
    </row>
    <row r="46" spans="1:29" x14ac:dyDescent="0.2">
      <c r="A46" s="69"/>
      <c r="B46" s="3" t="s">
        <v>20</v>
      </c>
      <c r="C46" s="59">
        <v>381190</v>
      </c>
      <c r="D46" s="28">
        <f t="shared" si="11"/>
        <v>0.42494345272268591</v>
      </c>
      <c r="E46" s="59">
        <v>357533.26299999998</v>
      </c>
      <c r="F46" s="28">
        <f>+E46/$E$20</f>
        <v>0.38822804898394053</v>
      </c>
      <c r="G46" s="28">
        <f>IF(C46=0,"",(E46-C46)/ABS(C46)+1)</f>
        <v>0.93793977544006923</v>
      </c>
      <c r="H46" s="59">
        <v>328423.88199999998</v>
      </c>
      <c r="I46" s="28">
        <f t="shared" si="12"/>
        <v>0.37570145247150699</v>
      </c>
      <c r="J46" s="28">
        <f>IF(H46=0,"",(E46-H46)/ABS(H46))</f>
        <v>8.8633569589193259E-2</v>
      </c>
      <c r="K46" s="59">
        <v>2519103</v>
      </c>
      <c r="L46" s="28">
        <f t="shared" si="5"/>
        <v>0.40858638621172216</v>
      </c>
      <c r="M46" s="59">
        <v>2417897.9909999999</v>
      </c>
      <c r="N46" s="28">
        <f>+M46/$M$20</f>
        <v>0.39797924126464734</v>
      </c>
      <c r="O46" s="28">
        <f>IF(K46=0,"",(M46-K46)/ABS(K46)+1)</f>
        <v>0.95982498174945607</v>
      </c>
      <c r="P46" s="59">
        <v>2234835.4440000001</v>
      </c>
      <c r="Q46" s="28">
        <f t="shared" si="8"/>
        <v>0.41507566574575572</v>
      </c>
      <c r="R46" s="28">
        <f>IF(P46=0,"",(M46-P46)/ABS(P46))</f>
        <v>8.1913210877104639E-2</v>
      </c>
      <c r="S46" s="60"/>
      <c r="X46" s="67"/>
      <c r="Y46" s="67"/>
      <c r="Z46" s="67"/>
      <c r="AA46" s="67"/>
    </row>
    <row r="47" spans="1:29" x14ac:dyDescent="0.2">
      <c r="B47" s="3" t="s">
        <v>70</v>
      </c>
      <c r="C47" s="59"/>
      <c r="J47" s="59"/>
      <c r="K47" s="59"/>
      <c r="L47" s="59"/>
      <c r="M47" s="59"/>
      <c r="N47" s="59"/>
      <c r="O47" s="59"/>
      <c r="P47" s="59"/>
      <c r="Q47" s="59"/>
      <c r="S47" s="60"/>
      <c r="X47" s="67"/>
      <c r="Y47" s="67"/>
      <c r="Z47" s="67"/>
      <c r="AA47" s="67"/>
    </row>
    <row r="48" spans="1:29" x14ac:dyDescent="0.2"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S48" s="60"/>
      <c r="X48" s="67"/>
      <c r="Y48" s="67"/>
      <c r="Z48" s="67"/>
      <c r="AA48" s="67"/>
    </row>
    <row r="49" spans="1:27" x14ac:dyDescent="0.2"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X49" s="67"/>
      <c r="Y49" s="67"/>
      <c r="Z49" s="67"/>
      <c r="AA49" s="67"/>
    </row>
    <row r="50" spans="1:27" x14ac:dyDescent="0.2"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</row>
    <row r="51" spans="1:27" x14ac:dyDescent="0.2"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</row>
    <row r="52" spans="1:27" x14ac:dyDescent="0.2"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</row>
    <row r="53" spans="1:27" x14ac:dyDescent="0.2"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</row>
    <row r="54" spans="1:27" x14ac:dyDescent="0.2">
      <c r="J54" s="59"/>
      <c r="K54" s="59"/>
      <c r="L54" s="59"/>
      <c r="M54" s="59"/>
      <c r="N54" s="59"/>
      <c r="O54" s="59"/>
      <c r="P54" s="59"/>
      <c r="Q54" s="59"/>
      <c r="R54" s="59"/>
      <c r="S54" s="59"/>
    </row>
    <row r="55" spans="1:27" x14ac:dyDescent="0.2">
      <c r="A55" s="44" t="s">
        <v>73</v>
      </c>
    </row>
    <row r="56" spans="1:27" x14ac:dyDescent="0.2">
      <c r="C56" s="45"/>
    </row>
  </sheetData>
  <conditionalFormatting sqref="D9:D46 AC19:AC28 AC30 AC10:AC11 AC13:AC17 J10:J46 G10:G46">
    <cfRule type="cellIs" dxfId="65" priority="2" operator="lessThan">
      <formula>0</formula>
    </cfRule>
  </conditionalFormatting>
  <conditionalFormatting sqref="R10:R46">
    <cfRule type="cellIs" dxfId="64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535F7-1E9A-4F63-8B7B-DA67BAE8A51F}">
  <sheetPr>
    <tabColor theme="2" tint="-0.249977111117893"/>
  </sheetPr>
  <dimension ref="A1:V48"/>
  <sheetViews>
    <sheetView showGridLines="0" zoomScale="93" zoomScaleNormal="93" workbookViewId="0">
      <selection activeCell="L20" sqref="L20"/>
    </sheetView>
  </sheetViews>
  <sheetFormatPr baseColWidth="10" defaultRowHeight="12.75" x14ac:dyDescent="0.2"/>
  <cols>
    <col min="1" max="1" width="4.140625" style="71" customWidth="1"/>
    <col min="2" max="2" width="33" style="2" customWidth="1"/>
    <col min="3" max="6" width="10" style="2" customWidth="1"/>
    <col min="7" max="7" width="8.140625" style="2" bestFit="1" customWidth="1"/>
    <col min="8" max="8" width="10" style="2" customWidth="1"/>
    <col min="9" max="9" width="7.85546875" style="2" hidden="1" customWidth="1"/>
    <col min="10" max="10" width="7.5703125" style="2" bestFit="1" customWidth="1"/>
    <col min="11" max="11" width="10.42578125" style="2" bestFit="1" customWidth="1"/>
    <col min="12" max="12" width="6.5703125" style="2" customWidth="1"/>
    <col min="13" max="13" width="9.85546875" style="2" bestFit="1" customWidth="1"/>
    <col min="14" max="14" width="7.85546875" style="2" bestFit="1" customWidth="1"/>
    <col min="15" max="15" width="8.140625" style="2" bestFit="1" customWidth="1"/>
    <col min="16" max="16" width="8.140625" style="2" customWidth="1"/>
    <col min="17" max="19" width="10.42578125" style="2" customWidth="1"/>
    <col min="20" max="20" width="11.42578125" style="2" customWidth="1"/>
    <col min="21" max="21" width="11.7109375" style="2" customWidth="1"/>
    <col min="22" max="16384" width="11.42578125" style="2"/>
  </cols>
  <sheetData>
    <row r="1" spans="1:22" s="42" customFormat="1" ht="18.75" customHeight="1" x14ac:dyDescent="0.2">
      <c r="A1" s="70"/>
      <c r="B1" s="41"/>
      <c r="S1" s="2"/>
      <c r="T1" s="2"/>
      <c r="U1" s="2"/>
      <c r="V1" s="2"/>
    </row>
    <row r="2" spans="1:22" ht="15.75" customHeight="1" x14ac:dyDescent="0.2"/>
    <row r="3" spans="1:22" ht="18" x14ac:dyDescent="0.25">
      <c r="B3" s="13" t="s">
        <v>74</v>
      </c>
      <c r="T3" s="15"/>
    </row>
    <row r="4" spans="1:22" x14ac:dyDescent="0.2">
      <c r="B4" s="3" t="s">
        <v>75</v>
      </c>
    </row>
    <row r="5" spans="1:22" x14ac:dyDescent="0.2">
      <c r="A5" s="71">
        <f>+Paramet!A3</f>
        <v>202101</v>
      </c>
      <c r="B5" s="3" t="s">
        <v>7</v>
      </c>
    </row>
    <row r="6" spans="1:22" ht="13.5" thickBot="1" x14ac:dyDescent="0.25">
      <c r="A6" s="71">
        <f>+Paramet!A4</f>
        <v>202107</v>
      </c>
      <c r="B6" s="72" t="str">
        <f>+'COLOMB$ '!B6</f>
        <v>JULIO de 2022</v>
      </c>
      <c r="K6" s="18" t="s">
        <v>8</v>
      </c>
      <c r="L6" s="18"/>
      <c r="M6" s="18"/>
      <c r="N6" s="18"/>
      <c r="O6" s="18"/>
      <c r="P6" s="18"/>
      <c r="Q6" s="18"/>
      <c r="R6" s="18"/>
    </row>
    <row r="7" spans="1:22" x14ac:dyDescent="0.2">
      <c r="A7" s="71">
        <f>+Paramet!B3</f>
        <v>202201</v>
      </c>
      <c r="B7" s="3"/>
      <c r="C7" s="46" t="str">
        <f>+'COLOMB$ '!D7:D7</f>
        <v>Ppto 2022</v>
      </c>
      <c r="D7" s="46"/>
      <c r="E7" s="46" t="str">
        <f>+'COLOMB$ '!F7:F7</f>
        <v>Real 2022</v>
      </c>
      <c r="F7" s="46"/>
      <c r="G7" s="42" t="s">
        <v>9</v>
      </c>
      <c r="H7" s="46" t="str">
        <f>+'COLOMB$ '!I7:I7</f>
        <v>Real 2021</v>
      </c>
      <c r="I7" s="46"/>
      <c r="J7" s="42" t="s">
        <v>10</v>
      </c>
      <c r="K7" s="46" t="str">
        <f>+C7</f>
        <v>Ppto 2022</v>
      </c>
      <c r="L7" s="46"/>
      <c r="M7" s="46" t="str">
        <f>+E7</f>
        <v>Real 2022</v>
      </c>
      <c r="N7" s="46"/>
      <c r="O7" s="42" t="s">
        <v>9</v>
      </c>
      <c r="P7" s="2" t="str">
        <f>+H7</f>
        <v>Real 2021</v>
      </c>
      <c r="R7" s="42" t="s">
        <v>10</v>
      </c>
    </row>
    <row r="8" spans="1:22" ht="13.5" thickBot="1" x14ac:dyDescent="0.25">
      <c r="A8" s="71">
        <f>+Paramet!B4</f>
        <v>202207</v>
      </c>
      <c r="B8" s="24" t="s">
        <v>12</v>
      </c>
      <c r="C8" s="25" t="s">
        <v>13</v>
      </c>
      <c r="D8" s="25" t="s">
        <v>14</v>
      </c>
      <c r="E8" s="25" t="s">
        <v>13</v>
      </c>
      <c r="F8" s="25" t="s">
        <v>14</v>
      </c>
      <c r="G8" s="25" t="s">
        <v>15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14</v>
      </c>
      <c r="M8" s="25" t="s">
        <v>13</v>
      </c>
      <c r="N8" s="25" t="s">
        <v>14</v>
      </c>
      <c r="O8" s="25" t="s">
        <v>15</v>
      </c>
      <c r="P8" s="25" t="s">
        <v>13</v>
      </c>
      <c r="Q8" s="25" t="s">
        <v>14</v>
      </c>
      <c r="R8" s="25" t="s">
        <v>15</v>
      </c>
    </row>
    <row r="9" spans="1:22" ht="15.75" customHeight="1" x14ac:dyDescent="0.2">
      <c r="A9" s="73" t="s">
        <v>76</v>
      </c>
    </row>
    <row r="10" spans="1:22" x14ac:dyDescent="0.2">
      <c r="B10" s="3" t="str">
        <f>+'COLOMB$ '!B10</f>
        <v>Musical Experience  (Ambiental)</v>
      </c>
      <c r="C10" s="59">
        <v>0</v>
      </c>
      <c r="D10" s="61">
        <f t="shared" ref="D10:D18" si="0">+C10/$C$20</f>
        <v>0</v>
      </c>
      <c r="E10" s="59"/>
      <c r="F10" s="61">
        <f t="shared" ref="F10:F20" si="1">IF($E$20=0,0,E10/$E$20)</f>
        <v>0</v>
      </c>
      <c r="G10" s="61" t="str">
        <f t="shared" ref="G10:G17" si="2">IF(C10=0,"",(E10-C10)/ABS(C10)+1)</f>
        <v/>
      </c>
      <c r="H10" s="59"/>
      <c r="I10" s="61" t="e">
        <f t="shared" ref="I10:I16" si="3">+H10/$H$20</f>
        <v>#DIV/0!</v>
      </c>
      <c r="J10" s="61" t="str">
        <f t="shared" ref="J10:J46" si="4">IF(H10&lt;=0,"",(E10-H10)/ABS(H10))</f>
        <v/>
      </c>
      <c r="K10" s="59"/>
      <c r="L10" s="61">
        <f t="shared" ref="L10:L20" si="5">+K10/$K$20</f>
        <v>0</v>
      </c>
      <c r="M10" s="59">
        <v>0</v>
      </c>
      <c r="N10" s="61">
        <f t="shared" ref="N10:N20" si="6">IF($M$20=0,0,M10/$M$20)</f>
        <v>0</v>
      </c>
      <c r="O10" s="61" t="str">
        <f t="shared" ref="O10:O17" si="7">IF(K10=0,"",(M10-K10)/ABS(K10)+1)</f>
        <v/>
      </c>
      <c r="P10" s="59"/>
      <c r="Q10" s="61">
        <f t="shared" ref="Q10:Q17" si="8">+P10/$P$20</f>
        <v>0</v>
      </c>
      <c r="R10" s="28" t="str">
        <f t="shared" ref="R10:R45" si="9">IF(P10&lt;=0,"",(M10-P10)/ABS(P10))</f>
        <v/>
      </c>
    </row>
    <row r="11" spans="1:22" ht="15.75" customHeight="1" x14ac:dyDescent="0.2">
      <c r="B11" s="3" t="str">
        <f>+'COLOMB$ '!B11</f>
        <v>Instalaciones</v>
      </c>
      <c r="C11" s="59">
        <v>0</v>
      </c>
      <c r="D11" s="61">
        <f t="shared" si="0"/>
        <v>0</v>
      </c>
      <c r="E11" s="59"/>
      <c r="F11" s="61">
        <f t="shared" si="1"/>
        <v>0</v>
      </c>
      <c r="G11" s="61" t="str">
        <f t="shared" si="2"/>
        <v/>
      </c>
      <c r="H11" s="59"/>
      <c r="I11" s="61" t="e">
        <f t="shared" si="3"/>
        <v>#DIV/0!</v>
      </c>
      <c r="J11" s="61" t="str">
        <f t="shared" si="4"/>
        <v/>
      </c>
      <c r="K11" s="59"/>
      <c r="L11" s="61">
        <f t="shared" si="5"/>
        <v>0</v>
      </c>
      <c r="M11" s="59">
        <v>0</v>
      </c>
      <c r="N11" s="61">
        <f t="shared" si="6"/>
        <v>0</v>
      </c>
      <c r="O11" s="61" t="str">
        <f t="shared" si="7"/>
        <v/>
      </c>
      <c r="P11" s="59"/>
      <c r="Q11" s="61">
        <f t="shared" si="8"/>
        <v>0</v>
      </c>
      <c r="R11" s="28" t="str">
        <f t="shared" si="9"/>
        <v/>
      </c>
    </row>
    <row r="12" spans="1:22" ht="15" customHeight="1" x14ac:dyDescent="0.2">
      <c r="B12" s="3" t="str">
        <f>+'COLOMB$ '!B12</f>
        <v>Voice Experience (Publihold)</v>
      </c>
      <c r="C12" s="59">
        <v>0</v>
      </c>
      <c r="D12" s="61">
        <f t="shared" si="0"/>
        <v>0</v>
      </c>
      <c r="E12" s="59"/>
      <c r="F12" s="61">
        <f t="shared" si="1"/>
        <v>0</v>
      </c>
      <c r="G12" s="61" t="str">
        <f t="shared" si="2"/>
        <v/>
      </c>
      <c r="H12" s="59"/>
      <c r="I12" s="61" t="e">
        <f t="shared" si="3"/>
        <v>#DIV/0!</v>
      </c>
      <c r="J12" s="61" t="str">
        <f t="shared" si="4"/>
        <v/>
      </c>
      <c r="K12" s="59"/>
      <c r="L12" s="61">
        <f t="shared" si="5"/>
        <v>0</v>
      </c>
      <c r="M12" s="59">
        <v>0</v>
      </c>
      <c r="N12" s="61">
        <f t="shared" si="6"/>
        <v>0</v>
      </c>
      <c r="O12" s="61" t="str">
        <f t="shared" si="7"/>
        <v/>
      </c>
      <c r="P12" s="59">
        <f>+H12+T13</f>
        <v>0</v>
      </c>
      <c r="Q12" s="61">
        <f t="shared" si="8"/>
        <v>0</v>
      </c>
      <c r="R12" s="28" t="str">
        <f t="shared" si="9"/>
        <v/>
      </c>
    </row>
    <row r="13" spans="1:22" x14ac:dyDescent="0.2">
      <c r="B13" s="3" t="str">
        <f>+'COLOMB$ '!B13</f>
        <v>Service &amp; Equipment Experience</v>
      </c>
      <c r="C13" s="59">
        <v>1819</v>
      </c>
      <c r="D13" s="61">
        <f t="shared" si="0"/>
        <v>1</v>
      </c>
      <c r="E13" s="59">
        <v>0</v>
      </c>
      <c r="F13" s="61">
        <f t="shared" si="1"/>
        <v>0</v>
      </c>
      <c r="G13" s="61">
        <f t="shared" si="2"/>
        <v>0</v>
      </c>
      <c r="H13" s="59">
        <v>0</v>
      </c>
      <c r="I13" s="61" t="e">
        <f t="shared" si="3"/>
        <v>#DIV/0!</v>
      </c>
      <c r="J13" s="61" t="str">
        <f t="shared" si="4"/>
        <v/>
      </c>
      <c r="K13" s="59">
        <v>10189</v>
      </c>
      <c r="L13" s="61">
        <f t="shared" si="5"/>
        <v>1</v>
      </c>
      <c r="M13" s="59">
        <v>0</v>
      </c>
      <c r="N13" s="61">
        <f t="shared" si="6"/>
        <v>0</v>
      </c>
      <c r="O13" s="61">
        <f t="shared" si="7"/>
        <v>0</v>
      </c>
      <c r="P13" s="59">
        <v>1552.941</v>
      </c>
      <c r="Q13" s="61">
        <f t="shared" si="8"/>
        <v>1</v>
      </c>
      <c r="R13" s="28">
        <f t="shared" si="9"/>
        <v>-1</v>
      </c>
    </row>
    <row r="14" spans="1:22" x14ac:dyDescent="0.2">
      <c r="B14" s="3" t="str">
        <f>+'COLOMB$ '!B14</f>
        <v>POP Satelital</v>
      </c>
      <c r="C14" s="59">
        <v>0</v>
      </c>
      <c r="D14" s="61">
        <f t="shared" si="0"/>
        <v>0</v>
      </c>
      <c r="E14" s="59"/>
      <c r="F14" s="61">
        <f t="shared" si="1"/>
        <v>0</v>
      </c>
      <c r="G14" s="61" t="str">
        <f t="shared" si="2"/>
        <v/>
      </c>
      <c r="H14" s="59"/>
      <c r="I14" s="61" t="e">
        <f t="shared" si="3"/>
        <v>#DIV/0!</v>
      </c>
      <c r="J14" s="61" t="str">
        <f t="shared" si="4"/>
        <v/>
      </c>
      <c r="K14" s="59"/>
      <c r="L14" s="61">
        <f t="shared" si="5"/>
        <v>0</v>
      </c>
      <c r="M14" s="59">
        <v>0</v>
      </c>
      <c r="N14" s="61">
        <f t="shared" si="6"/>
        <v>0</v>
      </c>
      <c r="O14" s="61" t="str">
        <f t="shared" si="7"/>
        <v/>
      </c>
      <c r="P14" s="59">
        <f>+H14+T15</f>
        <v>0</v>
      </c>
      <c r="Q14" s="61">
        <f t="shared" si="8"/>
        <v>0</v>
      </c>
      <c r="R14" s="28" t="str">
        <f t="shared" si="9"/>
        <v/>
      </c>
    </row>
    <row r="15" spans="1:22" ht="15" customHeight="1" x14ac:dyDescent="0.2">
      <c r="B15" s="3" t="str">
        <f>+'COLOMB$ '!B15</f>
        <v>Voice Experience (Audicóm)</v>
      </c>
      <c r="C15" s="59">
        <v>0</v>
      </c>
      <c r="D15" s="61">
        <f t="shared" si="0"/>
        <v>0</v>
      </c>
      <c r="E15" s="59"/>
      <c r="F15" s="61">
        <f t="shared" si="1"/>
        <v>0</v>
      </c>
      <c r="G15" s="61" t="str">
        <f t="shared" si="2"/>
        <v/>
      </c>
      <c r="H15" s="59"/>
      <c r="I15" s="61" t="e">
        <f t="shared" si="3"/>
        <v>#DIV/0!</v>
      </c>
      <c r="J15" s="61" t="str">
        <f t="shared" si="4"/>
        <v/>
      </c>
      <c r="K15" s="59"/>
      <c r="L15" s="61">
        <f t="shared" si="5"/>
        <v>0</v>
      </c>
      <c r="M15" s="59">
        <v>0</v>
      </c>
      <c r="N15" s="61">
        <f t="shared" si="6"/>
        <v>0</v>
      </c>
      <c r="O15" s="61" t="str">
        <f t="shared" si="7"/>
        <v/>
      </c>
      <c r="P15" s="59"/>
      <c r="Q15" s="61">
        <f t="shared" si="8"/>
        <v>0</v>
      </c>
      <c r="R15" s="28" t="str">
        <f t="shared" si="9"/>
        <v/>
      </c>
    </row>
    <row r="16" spans="1:22" ht="15" customHeight="1" x14ac:dyDescent="0.2">
      <c r="B16" s="3" t="str">
        <f>+'COLOMB$ '!B16</f>
        <v>Fact. Servicio Satelital</v>
      </c>
      <c r="C16" s="59">
        <v>0</v>
      </c>
      <c r="D16" s="61">
        <f t="shared" si="0"/>
        <v>0</v>
      </c>
      <c r="E16" s="59"/>
      <c r="F16" s="61">
        <f t="shared" si="1"/>
        <v>0</v>
      </c>
      <c r="G16" s="61" t="str">
        <f t="shared" si="2"/>
        <v/>
      </c>
      <c r="H16" s="59"/>
      <c r="I16" s="61" t="e">
        <f t="shared" si="3"/>
        <v>#DIV/0!</v>
      </c>
      <c r="J16" s="61" t="str">
        <f t="shared" si="4"/>
        <v/>
      </c>
      <c r="K16" s="59"/>
      <c r="L16" s="61">
        <f t="shared" si="5"/>
        <v>0</v>
      </c>
      <c r="M16" s="59">
        <v>0</v>
      </c>
      <c r="N16" s="61">
        <f t="shared" si="6"/>
        <v>0</v>
      </c>
      <c r="O16" s="61" t="str">
        <f t="shared" si="7"/>
        <v/>
      </c>
      <c r="P16" s="59"/>
      <c r="Q16" s="61">
        <f t="shared" si="8"/>
        <v>0</v>
      </c>
      <c r="R16" s="28" t="str">
        <f t="shared" si="9"/>
        <v/>
      </c>
    </row>
    <row r="17" spans="2:21" ht="15" customHeight="1" x14ac:dyDescent="0.2">
      <c r="B17" s="3" t="str">
        <f>+'COLOMB$ '!B17</f>
        <v>Visual Experience</v>
      </c>
      <c r="C17" s="59">
        <v>0</v>
      </c>
      <c r="D17" s="61">
        <f t="shared" si="0"/>
        <v>0</v>
      </c>
      <c r="E17" s="59"/>
      <c r="F17" s="61">
        <f t="shared" si="1"/>
        <v>0</v>
      </c>
      <c r="G17" s="61" t="str">
        <f t="shared" si="2"/>
        <v/>
      </c>
      <c r="H17" s="59">
        <v>0</v>
      </c>
      <c r="I17" s="61"/>
      <c r="J17" s="61" t="str">
        <f t="shared" si="4"/>
        <v/>
      </c>
      <c r="K17" s="59"/>
      <c r="L17" s="61">
        <f t="shared" si="5"/>
        <v>0</v>
      </c>
      <c r="M17" s="59">
        <v>0</v>
      </c>
      <c r="N17" s="61">
        <f t="shared" si="6"/>
        <v>0</v>
      </c>
      <c r="O17" s="61" t="str">
        <f t="shared" si="7"/>
        <v/>
      </c>
      <c r="P17" s="59"/>
      <c r="Q17" s="61">
        <f t="shared" si="8"/>
        <v>0</v>
      </c>
      <c r="R17" s="28" t="str">
        <f t="shared" si="9"/>
        <v/>
      </c>
    </row>
    <row r="18" spans="2:21" x14ac:dyDescent="0.2">
      <c r="B18" s="3" t="str">
        <f>+'COLOMB$ '!B18</f>
        <v>Olfa Experience</v>
      </c>
      <c r="C18" s="59">
        <v>0</v>
      </c>
      <c r="D18" s="61">
        <f t="shared" si="0"/>
        <v>0</v>
      </c>
      <c r="E18" s="59"/>
      <c r="F18" s="61">
        <f t="shared" si="1"/>
        <v>0</v>
      </c>
      <c r="G18" s="61"/>
      <c r="H18" s="59"/>
      <c r="I18" s="61"/>
      <c r="J18" s="61" t="str">
        <f t="shared" si="4"/>
        <v/>
      </c>
      <c r="K18" s="59">
        <v>0</v>
      </c>
      <c r="L18" s="61">
        <f t="shared" si="5"/>
        <v>0</v>
      </c>
      <c r="M18" s="59"/>
      <c r="N18" s="61">
        <f t="shared" si="6"/>
        <v>0</v>
      </c>
      <c r="O18" s="61"/>
      <c r="P18" s="59"/>
      <c r="Q18" s="61"/>
      <c r="R18" s="28" t="str">
        <f t="shared" si="9"/>
        <v/>
      </c>
    </row>
    <row r="19" spans="2:21" x14ac:dyDescent="0.2">
      <c r="B19" s="3" t="str">
        <f>+'COLOMB$ '!B19</f>
        <v>Locutor virtual</v>
      </c>
      <c r="C19" s="59"/>
      <c r="D19" s="61"/>
      <c r="E19" s="59"/>
      <c r="F19" s="61">
        <f t="shared" si="1"/>
        <v>0</v>
      </c>
      <c r="G19" s="61"/>
      <c r="H19" s="59"/>
      <c r="I19" s="61"/>
      <c r="J19" s="61" t="str">
        <f t="shared" si="4"/>
        <v/>
      </c>
      <c r="K19" s="59"/>
      <c r="L19" s="61">
        <f t="shared" si="5"/>
        <v>0</v>
      </c>
      <c r="M19" s="59"/>
      <c r="N19" s="61">
        <f t="shared" si="6"/>
        <v>0</v>
      </c>
      <c r="O19" s="61"/>
      <c r="P19" s="59"/>
      <c r="Q19" s="61"/>
      <c r="R19" s="28" t="str">
        <f t="shared" si="9"/>
        <v/>
      </c>
    </row>
    <row r="20" spans="2:21" x14ac:dyDescent="0.2">
      <c r="B20" s="17" t="s">
        <v>24</v>
      </c>
      <c r="C20" s="63">
        <f>SUM(C10:C19)</f>
        <v>1819</v>
      </c>
      <c r="D20" s="66">
        <f>+C20/$C$20</f>
        <v>1</v>
      </c>
      <c r="E20" s="63">
        <f>SUM(E10:E17)</f>
        <v>0</v>
      </c>
      <c r="F20" s="66">
        <f t="shared" si="1"/>
        <v>0</v>
      </c>
      <c r="G20" s="66">
        <f>IF(C20=0,"",(E20-C20)/ABS(C20)+1)</f>
        <v>0</v>
      </c>
      <c r="H20" s="63">
        <f>SUM(H10:H19)</f>
        <v>0</v>
      </c>
      <c r="I20" s="66" t="e">
        <f>+H22/$H$22</f>
        <v>#DIV/0!</v>
      </c>
      <c r="J20" s="61" t="str">
        <f t="shared" si="4"/>
        <v/>
      </c>
      <c r="K20" s="63">
        <f>SUM(K10:K19)</f>
        <v>10189</v>
      </c>
      <c r="L20" s="66">
        <f t="shared" si="5"/>
        <v>1</v>
      </c>
      <c r="M20" s="63">
        <f>SUM(M10:M17)</f>
        <v>0</v>
      </c>
      <c r="N20" s="61">
        <f t="shared" si="6"/>
        <v>0</v>
      </c>
      <c r="O20" s="66">
        <f>IF(K20=0,"",(M20-K20)/ABS(K20)+1)</f>
        <v>0</v>
      </c>
      <c r="P20" s="63">
        <f>SUM(P10:P17)</f>
        <v>1552.941</v>
      </c>
      <c r="Q20" s="66">
        <f>+P20/$P$20</f>
        <v>1</v>
      </c>
      <c r="R20" s="28">
        <f t="shared" si="9"/>
        <v>-1</v>
      </c>
    </row>
    <row r="21" spans="2:21" x14ac:dyDescent="0.2">
      <c r="J21" s="61" t="str">
        <f t="shared" si="4"/>
        <v/>
      </c>
      <c r="R21" s="28" t="str">
        <f t="shared" si="9"/>
        <v/>
      </c>
      <c r="S21" s="72"/>
      <c r="T21" s="74"/>
      <c r="U21" s="74"/>
    </row>
    <row r="22" spans="2:21" x14ac:dyDescent="0.2">
      <c r="B22" s="3" t="s">
        <v>26</v>
      </c>
      <c r="C22" s="59">
        <v>2882</v>
      </c>
      <c r="D22" s="61">
        <f>+C22/$C$20</f>
        <v>1.5843870258383728</v>
      </c>
      <c r="E22" s="59">
        <v>0</v>
      </c>
      <c r="F22" s="61">
        <f>IF($E$20=0,0,E22/$E$20)</f>
        <v>0</v>
      </c>
      <c r="G22" s="61">
        <f>IF(C22=0,"",(E22-C22)/ABS(C22)+1)</f>
        <v>0</v>
      </c>
      <c r="H22" s="59">
        <v>0</v>
      </c>
      <c r="I22" s="61" t="e">
        <f>+H22/$H$20</f>
        <v>#DIV/0!</v>
      </c>
      <c r="J22" s="61" t="str">
        <f t="shared" si="4"/>
        <v/>
      </c>
      <c r="K22" s="59">
        <v>16140</v>
      </c>
      <c r="L22" s="61">
        <f>+K22/$K$20</f>
        <v>1.5840612425164393</v>
      </c>
      <c r="M22" s="59">
        <v>0</v>
      </c>
      <c r="N22" s="61">
        <f>IF($M$20=0,0,M22/$M$20)</f>
        <v>0</v>
      </c>
      <c r="O22" s="61">
        <f>IF(K22=0,"",(M22-K22)/ABS(K22)+1)</f>
        <v>0</v>
      </c>
      <c r="P22" s="55">
        <v>879.49199999999996</v>
      </c>
      <c r="Q22" s="61"/>
      <c r="R22" s="28">
        <f t="shared" si="9"/>
        <v>-1</v>
      </c>
    </row>
    <row r="23" spans="2:21" x14ac:dyDescent="0.2">
      <c r="J23" s="61" t="str">
        <f t="shared" si="4"/>
        <v/>
      </c>
      <c r="R23" s="28" t="str">
        <f t="shared" si="9"/>
        <v/>
      </c>
      <c r="T23" s="45"/>
      <c r="U23" s="45"/>
    </row>
    <row r="24" spans="2:21" x14ac:dyDescent="0.2">
      <c r="B24" s="3" t="s">
        <v>28</v>
      </c>
      <c r="C24" s="59">
        <f>+C20-C22</f>
        <v>-1063</v>
      </c>
      <c r="D24" s="61">
        <f>+C24/$C$20</f>
        <v>-0.58438702583837276</v>
      </c>
      <c r="E24" s="59">
        <f>+E20-E22</f>
        <v>0</v>
      </c>
      <c r="F24" s="61">
        <f>IF($E$20=0,0,E24/$E$20)</f>
        <v>0</v>
      </c>
      <c r="G24" s="61">
        <f>IF(C24=0,"",(E24-C24)/ABS(C24)+1)</f>
        <v>2</v>
      </c>
      <c r="H24" s="59">
        <f>+H20-H22</f>
        <v>0</v>
      </c>
      <c r="I24" s="61" t="e">
        <f>+H24/$H$20</f>
        <v>#DIV/0!</v>
      </c>
      <c r="J24" s="61" t="str">
        <f t="shared" si="4"/>
        <v/>
      </c>
      <c r="K24" s="59">
        <f>+K20-K22</f>
        <v>-5951</v>
      </c>
      <c r="L24" s="61">
        <f>+K24/$K$20</f>
        <v>-0.58406124251643932</v>
      </c>
      <c r="M24" s="59">
        <f>+M20-M22</f>
        <v>0</v>
      </c>
      <c r="N24" s="61">
        <f>IF($M$20=0,0,M24/$M$20)</f>
        <v>0</v>
      </c>
      <c r="O24" s="61">
        <f>IF(K24=0,"",(M24-K24)/ABS(K24)+1)</f>
        <v>2</v>
      </c>
      <c r="P24" s="59">
        <f>+P20-P22</f>
        <v>673.44900000000007</v>
      </c>
      <c r="Q24" s="61">
        <f>+P24/$P$20</f>
        <v>0.43366039018868074</v>
      </c>
      <c r="R24" s="28">
        <f t="shared" si="9"/>
        <v>-1</v>
      </c>
    </row>
    <row r="25" spans="2:21" x14ac:dyDescent="0.2">
      <c r="J25" s="61" t="str">
        <f t="shared" si="4"/>
        <v/>
      </c>
      <c r="R25" s="28" t="str">
        <f t="shared" si="9"/>
        <v/>
      </c>
      <c r="T25" s="45"/>
      <c r="U25" s="45"/>
    </row>
    <row r="26" spans="2:21" x14ac:dyDescent="0.2">
      <c r="B26" s="3" t="s">
        <v>30</v>
      </c>
      <c r="C26" s="59">
        <v>8</v>
      </c>
      <c r="D26" s="61">
        <f>+C26/$C$20</f>
        <v>4.3980208905992305E-3</v>
      </c>
      <c r="E26" s="59">
        <v>323.78953000000001</v>
      </c>
      <c r="F26" s="61">
        <f>IF($E$20=0,0,E26/$E$20)</f>
        <v>0</v>
      </c>
      <c r="G26" s="61">
        <f>IF(C26=0,"",(E26-C26)/ABS(C26)+1)</f>
        <v>40.473691250000002</v>
      </c>
      <c r="H26" s="59">
        <v>2850.29016</v>
      </c>
      <c r="I26" s="61" t="e">
        <f>+H26/$H$20</f>
        <v>#DIV/0!</v>
      </c>
      <c r="J26" s="61">
        <f t="shared" si="4"/>
        <v>-0.8864012041496856</v>
      </c>
      <c r="K26" s="59">
        <v>46</v>
      </c>
      <c r="L26" s="61">
        <f>+K26/$K$20</f>
        <v>4.5146726862302479E-3</v>
      </c>
      <c r="M26" s="59">
        <v>19997.420690000003</v>
      </c>
      <c r="N26" s="61">
        <f>IF($M$20=0,0,M26/$M$20)</f>
        <v>0</v>
      </c>
      <c r="O26" s="61">
        <f>IF(K26=0,"",(M26-K26)/ABS(K26)+1)</f>
        <v>434.72653673913049</v>
      </c>
      <c r="P26" s="59">
        <v>18762.635770000001</v>
      </c>
      <c r="Q26" s="61">
        <f>+P26/$P$20</f>
        <v>12.08200167939413</v>
      </c>
      <c r="R26" s="28">
        <f t="shared" si="9"/>
        <v>6.5810845295751416E-2</v>
      </c>
    </row>
    <row r="27" spans="2:21" x14ac:dyDescent="0.2">
      <c r="B27" s="3" t="s">
        <v>31</v>
      </c>
      <c r="C27" s="59">
        <v>0</v>
      </c>
      <c r="D27" s="61">
        <f>+C27/$C$20</f>
        <v>0</v>
      </c>
      <c r="E27" s="59">
        <v>0</v>
      </c>
      <c r="F27" s="61">
        <f>IF($E$20=0,0,E27/$E$20)</f>
        <v>0</v>
      </c>
      <c r="G27" s="61" t="str">
        <f>IF(C27=0,"",(E27-C27)/ABS(C27)+1)</f>
        <v/>
      </c>
      <c r="H27" s="59">
        <v>0</v>
      </c>
      <c r="I27" s="61" t="e">
        <f>+H27/$H$20</f>
        <v>#DIV/0!</v>
      </c>
      <c r="J27" s="61" t="str">
        <f t="shared" si="4"/>
        <v/>
      </c>
      <c r="K27" s="59">
        <v>0</v>
      </c>
      <c r="L27" s="61">
        <f>+K27/$K$20</f>
        <v>0</v>
      </c>
      <c r="M27" s="59">
        <v>1427.9319699999999</v>
      </c>
      <c r="N27" s="61">
        <f>IF($M$20=0,0,M27/$M$20)</f>
        <v>0</v>
      </c>
      <c r="O27" s="61" t="str">
        <f>IF(K27=0,"",(M27-K27)/ABS(K27)+1)</f>
        <v/>
      </c>
      <c r="P27" s="59">
        <v>0</v>
      </c>
      <c r="Q27" s="61">
        <f>+P27/$P$20</f>
        <v>0</v>
      </c>
      <c r="R27" s="28" t="str">
        <f t="shared" si="9"/>
        <v/>
      </c>
      <c r="S27" s="45"/>
      <c r="T27" s="45"/>
      <c r="U27" s="45"/>
    </row>
    <row r="28" spans="2:21" x14ac:dyDescent="0.2">
      <c r="B28" s="3" t="s">
        <v>33</v>
      </c>
      <c r="C28" s="59">
        <f>SUM(C26:C27)</f>
        <v>8</v>
      </c>
      <c r="D28" s="61">
        <f>+C28/$C$20</f>
        <v>4.3980208905992305E-3</v>
      </c>
      <c r="E28" s="59">
        <f>SUM(E26:E27)</f>
        <v>323.78953000000001</v>
      </c>
      <c r="F28" s="61">
        <f>IF($E$20=0,0,E28/$E$20)</f>
        <v>0</v>
      </c>
      <c r="G28" s="61">
        <f>IF(C28=0,"",(E28-C28)/ABS(C28)+1)</f>
        <v>40.473691250000002</v>
      </c>
      <c r="H28" s="59">
        <f>SUM(H26:H27)</f>
        <v>2850.29016</v>
      </c>
      <c r="I28" s="61" t="e">
        <f>+H28/$H$20</f>
        <v>#DIV/0!</v>
      </c>
      <c r="J28" s="61">
        <f t="shared" si="4"/>
        <v>-0.8864012041496856</v>
      </c>
      <c r="K28" s="59">
        <f>SUM(K26:K27)</f>
        <v>46</v>
      </c>
      <c r="L28" s="61">
        <f>+K28/$K$20</f>
        <v>4.5146726862302479E-3</v>
      </c>
      <c r="M28" s="59">
        <f>SUM(M26:M27)</f>
        <v>21425.352660000004</v>
      </c>
      <c r="N28" s="61">
        <f>IF($M$20=0,0,M28/$M$20)</f>
        <v>0</v>
      </c>
      <c r="O28" s="61">
        <f>IF(K28=0,"",(M28-K28)/ABS(K28)+1)</f>
        <v>465.7685360869566</v>
      </c>
      <c r="P28" s="59">
        <f>SUM(P26:P27)</f>
        <v>18762.635770000001</v>
      </c>
      <c r="Q28" s="61">
        <f>+P28/$P$20</f>
        <v>12.08200167939413</v>
      </c>
      <c r="R28" s="28">
        <f t="shared" si="9"/>
        <v>0.14191592922447926</v>
      </c>
      <c r="S28" s="45"/>
      <c r="T28" s="45"/>
      <c r="U28" s="45"/>
    </row>
    <row r="29" spans="2:21" x14ac:dyDescent="0.2">
      <c r="J29" s="61" t="str">
        <f t="shared" si="4"/>
        <v/>
      </c>
      <c r="R29" s="28" t="str">
        <f t="shared" si="9"/>
        <v/>
      </c>
      <c r="S29" s="45"/>
      <c r="T29" s="45"/>
      <c r="U29" s="45"/>
    </row>
    <row r="30" spans="2:21" x14ac:dyDescent="0.2">
      <c r="B30" s="3" t="s">
        <v>35</v>
      </c>
      <c r="C30" s="59">
        <v>0</v>
      </c>
      <c r="D30" s="61">
        <f>+C30/$C$20</f>
        <v>0</v>
      </c>
      <c r="E30" s="59">
        <v>586.92444999999998</v>
      </c>
      <c r="F30" s="61">
        <f>IF($E$20=0,0,E30/$E$20)</f>
        <v>0</v>
      </c>
      <c r="G30" s="61" t="str">
        <f>IF(C30=0,"",(E30-C30)/ABS(C30)+1)</f>
        <v/>
      </c>
      <c r="H30" s="59">
        <v>1115.0654199999999</v>
      </c>
      <c r="I30" s="61"/>
      <c r="J30" s="61">
        <f t="shared" si="4"/>
        <v>-0.47364124160535798</v>
      </c>
      <c r="K30" s="59">
        <v>0</v>
      </c>
      <c r="L30" s="61">
        <f>+K30/$K$20</f>
        <v>0</v>
      </c>
      <c r="M30" s="59">
        <v>5468.6887100000004</v>
      </c>
      <c r="N30" s="61">
        <f>IF($M$20=0,0,M30/$M$20)</f>
        <v>0</v>
      </c>
      <c r="O30" s="61" t="str">
        <f>IF(K30=0,"",(M30-K30)/ABS(K30)+1)</f>
        <v/>
      </c>
      <c r="P30" s="59">
        <v>7805.4581500000004</v>
      </c>
      <c r="Q30" s="61">
        <f>+P30/$P$20</f>
        <v>5.0262425616942306</v>
      </c>
      <c r="R30" s="28">
        <f t="shared" si="9"/>
        <v>-0.29937633321370122</v>
      </c>
    </row>
    <row r="31" spans="2:21" x14ac:dyDescent="0.2">
      <c r="B31" s="3" t="s">
        <v>37</v>
      </c>
      <c r="C31" s="59"/>
      <c r="D31" s="61"/>
      <c r="E31" s="59">
        <v>0</v>
      </c>
      <c r="F31" s="61">
        <f>IF($E$20=0,0,E31/$E$20)</f>
        <v>0</v>
      </c>
      <c r="G31" s="61" t="str">
        <f>IF(C31=0,"",(E31-C31)/ABS(C31)+1)</f>
        <v/>
      </c>
      <c r="H31" s="59">
        <v>0</v>
      </c>
      <c r="I31" s="61"/>
      <c r="J31" s="61" t="str">
        <f>IF(H31&lt;=0,"",(E31-H31)/ABS(H31))</f>
        <v/>
      </c>
      <c r="K31" s="59">
        <v>0</v>
      </c>
      <c r="L31" s="61">
        <f>+K31/$K$20</f>
        <v>0</v>
      </c>
      <c r="M31" s="59">
        <v>2069.0650000000001</v>
      </c>
      <c r="N31" s="61">
        <f>IF($M$20=0,0,M31/$M$20)</f>
        <v>0</v>
      </c>
      <c r="O31" s="61" t="str">
        <f>IF(K31=0,"",(M31-K31)/ABS(K31)+1)</f>
        <v/>
      </c>
      <c r="P31" s="59">
        <v>459.19702000000001</v>
      </c>
      <c r="Q31" s="61">
        <f>+P39/$P$20</f>
        <v>0</v>
      </c>
      <c r="R31" s="28">
        <f>IF(P31&lt;=0,"",(M31-P31)/ABS(P31))</f>
        <v>3.5058328122425531</v>
      </c>
      <c r="S31" s="45"/>
      <c r="T31" s="45"/>
      <c r="U31" s="45"/>
    </row>
    <row r="32" spans="2:21" x14ac:dyDescent="0.2">
      <c r="B32" s="3" t="s">
        <v>38</v>
      </c>
      <c r="C32" s="59">
        <f>SUM(C30:C31)</f>
        <v>0</v>
      </c>
      <c r="D32" s="61">
        <f>+C32/$C$20</f>
        <v>0</v>
      </c>
      <c r="E32" s="59">
        <f>SUM(E30:E31)</f>
        <v>586.92444999999998</v>
      </c>
      <c r="F32" s="61">
        <f>IF($E$20=0,0,E32/$E$20)</f>
        <v>0</v>
      </c>
      <c r="G32" s="61" t="str">
        <f>IF(C32=0,"",(E32-C32)/ABS(C32)+1)</f>
        <v/>
      </c>
      <c r="H32" s="59">
        <f>SUM(H30:H31)</f>
        <v>1115.0654199999999</v>
      </c>
      <c r="I32" s="61" t="e">
        <f>+H32/$H$20</f>
        <v>#DIV/0!</v>
      </c>
      <c r="J32" s="61">
        <f>IF(H32&lt;=0,"",(E32-H32)/ABS(H32))</f>
        <v>-0.47364124160535798</v>
      </c>
      <c r="K32" s="59">
        <f>SUM(K30:K31)</f>
        <v>0</v>
      </c>
      <c r="L32" s="61">
        <f>+K32/$K$20</f>
        <v>0</v>
      </c>
      <c r="M32" s="59">
        <f>SUM(M30:M31)</f>
        <v>7537.7537100000009</v>
      </c>
      <c r="N32" s="61">
        <f>IF($M$20=0,0,M32/$M$20)</f>
        <v>0</v>
      </c>
      <c r="O32" s="61" t="str">
        <f>IF(K32=0,"",(M32-K32)/ABS(K32)+1)</f>
        <v/>
      </c>
      <c r="P32" s="59">
        <f>+P30+P31</f>
        <v>8264.65517</v>
      </c>
      <c r="Q32" s="61">
        <f>+P32/$P$20</f>
        <v>5.3219376460535202</v>
      </c>
      <c r="R32" s="28">
        <f>IF(P32&lt;=0,"",(M32-P32)/ABS(P32))</f>
        <v>-8.795302950310499E-2</v>
      </c>
    </row>
    <row r="33" spans="1:21" x14ac:dyDescent="0.2">
      <c r="S33" s="45"/>
      <c r="T33" s="45"/>
      <c r="U33" s="45"/>
    </row>
    <row r="34" spans="1:21" x14ac:dyDescent="0.2">
      <c r="B34" s="3" t="s">
        <v>39</v>
      </c>
      <c r="C34" s="59">
        <f>C28+C32</f>
        <v>8</v>
      </c>
      <c r="D34" s="61">
        <f>+C34/$C$20</f>
        <v>4.3980208905992305E-3</v>
      </c>
      <c r="E34" s="59">
        <f>E28+E32</f>
        <v>910.71397999999999</v>
      </c>
      <c r="F34" s="61">
        <f>IF($E$20=0,0,E34/$E$20)</f>
        <v>0</v>
      </c>
      <c r="G34" s="61">
        <f>IF(C34=0,"",(E34-C34)/ABS(C34)+1)</f>
        <v>113.8392475</v>
      </c>
      <c r="H34" s="59">
        <f>+H32+H28</f>
        <v>3965.3555799999999</v>
      </c>
      <c r="I34" s="61" t="e">
        <f>+H34/$H$20</f>
        <v>#DIV/0!</v>
      </c>
      <c r="J34" s="61">
        <f>IF(H34&lt;=0,"",(E34-H34)/ABS(H34))</f>
        <v>-0.77033232918799177</v>
      </c>
      <c r="K34" s="59">
        <f>K28+K32</f>
        <v>46</v>
      </c>
      <c r="L34" s="61">
        <f>+K34/$K$20</f>
        <v>4.5146726862302479E-3</v>
      </c>
      <c r="M34" s="59">
        <f>M28+M32</f>
        <v>28963.106370000005</v>
      </c>
      <c r="N34" s="61">
        <f>IF($M$20=0,0,M34/$M$20)</f>
        <v>0</v>
      </c>
      <c r="O34" s="61">
        <f>IF(K34=0,"",(M34-K34)/ABS(K34)+1)</f>
        <v>629.63274717391312</v>
      </c>
      <c r="P34" s="59">
        <f>P28+P32</f>
        <v>27027.290939999999</v>
      </c>
      <c r="Q34" s="61">
        <f>+P34/$P$20</f>
        <v>17.403939325447649</v>
      </c>
      <c r="R34" s="28">
        <f>IF(P34&lt;=0,"",(M34-P34)/ABS(P34))</f>
        <v>7.1624471512793289E-2</v>
      </c>
      <c r="S34" s="45"/>
      <c r="T34" s="45"/>
      <c r="U34" s="45"/>
    </row>
    <row r="35" spans="1:21" x14ac:dyDescent="0.2">
      <c r="J35" s="61" t="str">
        <f t="shared" si="4"/>
        <v/>
      </c>
      <c r="R35" s="28" t="str">
        <f t="shared" si="9"/>
        <v/>
      </c>
      <c r="S35" s="45"/>
      <c r="T35" s="45"/>
      <c r="U35" s="45"/>
    </row>
    <row r="36" spans="1:21" x14ac:dyDescent="0.2">
      <c r="B36" s="17" t="s">
        <v>40</v>
      </c>
      <c r="C36" s="63">
        <f>C24-C34</f>
        <v>-1071</v>
      </c>
      <c r="D36" s="66">
        <f>+C36/$C$20</f>
        <v>-0.58878504672897192</v>
      </c>
      <c r="E36" s="63">
        <f>E24-E34</f>
        <v>-910.71397999999999</v>
      </c>
      <c r="F36" s="66">
        <f>IF($E$20=0,0,E36/$E$20)</f>
        <v>0</v>
      </c>
      <c r="G36" s="66">
        <f>IF(C36=0,"",(E36-C36)/ABS(C36)+1)</f>
        <v>1.1496601493930907</v>
      </c>
      <c r="H36" s="63">
        <f>+H24-H34</f>
        <v>-3965.3555799999999</v>
      </c>
      <c r="I36" s="66" t="e">
        <f>+H36/$H$20</f>
        <v>#DIV/0!</v>
      </c>
      <c r="J36" s="66" t="str">
        <f t="shared" si="4"/>
        <v/>
      </c>
      <c r="K36" s="63">
        <f>K24-K34</f>
        <v>-5997</v>
      </c>
      <c r="L36" s="66">
        <f>+K36/$K$20</f>
        <v>-0.5885759152026695</v>
      </c>
      <c r="M36" s="63">
        <f>M24-M34</f>
        <v>-28963.106370000005</v>
      </c>
      <c r="N36" s="66">
        <f>IF($M$20=0,0,M36/$M$20)</f>
        <v>0</v>
      </c>
      <c r="O36" s="66">
        <f>IF(K36=0,"",(M36-K36)/ABS(K36)+1)</f>
        <v>-2.8295991945972996</v>
      </c>
      <c r="P36" s="63">
        <f>P24-P34</f>
        <v>-26353.841939999998</v>
      </c>
      <c r="Q36" s="66">
        <f>+P36/$P$20</f>
        <v>-16.970278935258968</v>
      </c>
      <c r="R36" s="36" t="str">
        <f t="shared" si="9"/>
        <v/>
      </c>
    </row>
    <row r="37" spans="1:21" x14ac:dyDescent="0.2">
      <c r="A37" s="73"/>
      <c r="J37" s="61" t="str">
        <f t="shared" si="4"/>
        <v/>
      </c>
      <c r="R37" s="28" t="str">
        <f t="shared" si="9"/>
        <v/>
      </c>
      <c r="S37" s="45"/>
      <c r="T37" s="45"/>
      <c r="U37" s="45"/>
    </row>
    <row r="38" spans="1:21" x14ac:dyDescent="0.2">
      <c r="B38" s="3" t="s">
        <v>41</v>
      </c>
      <c r="C38" s="59"/>
      <c r="D38" s="61">
        <f>+C38/$C$20</f>
        <v>0</v>
      </c>
      <c r="E38" s="59">
        <v>0</v>
      </c>
      <c r="F38" s="61">
        <f>IF($E$20=0,0,E38/$E$20)</f>
        <v>0</v>
      </c>
      <c r="G38" s="61" t="str">
        <f>IF(C38=0,"",(E38-C38)/ABS(C38)+1)</f>
        <v/>
      </c>
      <c r="H38" s="59">
        <v>0</v>
      </c>
      <c r="I38" s="61" t="e">
        <f>+H38/$H$20</f>
        <v>#DIV/0!</v>
      </c>
      <c r="J38" s="61" t="str">
        <f t="shared" si="4"/>
        <v/>
      </c>
      <c r="K38" s="59"/>
      <c r="L38" s="61">
        <f>+K38/$K$20</f>
        <v>0</v>
      </c>
      <c r="M38" s="59">
        <v>0</v>
      </c>
      <c r="N38" s="61">
        <f>IF($M$20=0,0,M38/$M$20)</f>
        <v>0</v>
      </c>
      <c r="O38" s="61" t="str">
        <f>IF(K38=0,"",(M38-K38)/ABS(K38)+1)</f>
        <v/>
      </c>
      <c r="P38" s="59">
        <v>0</v>
      </c>
      <c r="Q38" s="61">
        <f>+P38/$P$20</f>
        <v>0</v>
      </c>
      <c r="R38" s="28" t="str">
        <f t="shared" si="9"/>
        <v/>
      </c>
    </row>
    <row r="39" spans="1:21" x14ac:dyDescent="0.2">
      <c r="B39" s="3" t="s">
        <v>42</v>
      </c>
      <c r="C39" s="59"/>
      <c r="D39" s="61"/>
      <c r="E39" s="59">
        <v>2489.1619999999998</v>
      </c>
      <c r="F39" s="61">
        <f>IF($E$20=0,0,E39/$E$20)</f>
        <v>0</v>
      </c>
      <c r="G39" s="61" t="str">
        <f>IF(C39=0,"",(E39-C39)/ABS(C39)+1)</f>
        <v/>
      </c>
      <c r="H39" s="59">
        <v>0</v>
      </c>
      <c r="I39" s="61"/>
      <c r="J39" s="61" t="str">
        <f t="shared" si="4"/>
        <v/>
      </c>
      <c r="K39" s="59">
        <v>0</v>
      </c>
      <c r="L39" s="61">
        <f>+K39/$K$20</f>
        <v>0</v>
      </c>
      <c r="M39" s="59">
        <v>12674.706</v>
      </c>
      <c r="N39" s="61">
        <f>IF($M$20=0,0,M39/$M$20)</f>
        <v>0</v>
      </c>
      <c r="O39" s="61" t="str">
        <f>IF(K39=0,"",(M39-K39)/ABS(K39)+1)</f>
        <v/>
      </c>
      <c r="P39" s="59">
        <v>0</v>
      </c>
      <c r="Q39" s="61">
        <f>+P39/$P$20</f>
        <v>0</v>
      </c>
      <c r="R39" s="28" t="str">
        <f t="shared" si="9"/>
        <v/>
      </c>
      <c r="S39" s="45"/>
      <c r="T39" s="45"/>
      <c r="U39" s="45"/>
    </row>
    <row r="40" spans="1:21" x14ac:dyDescent="0.2">
      <c r="J40" s="61" t="str">
        <f t="shared" si="4"/>
        <v/>
      </c>
      <c r="R40" s="28" t="str">
        <f t="shared" si="9"/>
        <v/>
      </c>
      <c r="S40" s="45"/>
      <c r="T40" s="45"/>
      <c r="U40" s="45"/>
    </row>
    <row r="41" spans="1:21" x14ac:dyDescent="0.2">
      <c r="B41" s="3" t="s">
        <v>43</v>
      </c>
      <c r="C41" s="59">
        <f>+C36-C39</f>
        <v>-1071</v>
      </c>
      <c r="D41" s="61">
        <f>+C41/$C$20</f>
        <v>-0.58878504672897192</v>
      </c>
      <c r="E41" s="59">
        <f>+E36-E39</f>
        <v>-3399.8759799999998</v>
      </c>
      <c r="F41" s="61">
        <f>IF($E$20=0,0,E41/$E$20)</f>
        <v>0</v>
      </c>
      <c r="G41" s="61">
        <f>IF(C41=0,"",(E41-C41)/ABS(C41)+1)</f>
        <v>-1.1744873762838468</v>
      </c>
      <c r="H41" s="59">
        <f>+H36+H38-H39</f>
        <v>-3965.3555799999999</v>
      </c>
      <c r="I41" s="61" t="e">
        <f>+H41/$H$20</f>
        <v>#DIV/0!</v>
      </c>
      <c r="J41" s="61" t="str">
        <f t="shared" si="4"/>
        <v/>
      </c>
      <c r="K41" s="59">
        <f>K36+K38-K39</f>
        <v>-5997</v>
      </c>
      <c r="L41" s="61">
        <f>+K41/$K$20</f>
        <v>-0.5885759152026695</v>
      </c>
      <c r="M41" s="59">
        <f>M36+M38-M39</f>
        <v>-41637.812370000007</v>
      </c>
      <c r="N41" s="61">
        <f>IF($M$20=0,0,M41/$M$20)</f>
        <v>0</v>
      </c>
      <c r="O41" s="61">
        <f>IF(K41=0,"",(M41-K41)/ABS(K41)+1)</f>
        <v>-4.943106948474238</v>
      </c>
      <c r="P41" s="59">
        <f>+P36-P39</f>
        <v>-26353.841939999998</v>
      </c>
      <c r="Q41" s="61">
        <f>+P41/$P$20</f>
        <v>-16.970278935258968</v>
      </c>
      <c r="R41" s="28" t="str">
        <f t="shared" si="9"/>
        <v/>
      </c>
    </row>
    <row r="42" spans="1:21" x14ac:dyDescent="0.2">
      <c r="B42" s="3" t="s">
        <v>29</v>
      </c>
      <c r="C42" s="59">
        <v>-388</v>
      </c>
      <c r="D42" s="61">
        <f>+C42/$C$20</f>
        <v>-0.21330401319406267</v>
      </c>
      <c r="E42" s="59"/>
      <c r="F42" s="61">
        <f>IF($E$20=0,0,E42/$E$20)</f>
        <v>0</v>
      </c>
      <c r="G42" s="61">
        <f>IF(C42=0,"",(E42-C42)/ABS(C42)+1)</f>
        <v>2</v>
      </c>
      <c r="H42" s="59"/>
      <c r="I42" s="61" t="e">
        <f>+I41*33%</f>
        <v>#DIV/0!</v>
      </c>
      <c r="J42" s="61" t="str">
        <f t="shared" si="4"/>
        <v/>
      </c>
      <c r="K42" s="59">
        <v>-2174</v>
      </c>
      <c r="L42" s="61">
        <f>+K42/$K$20</f>
        <v>-0.21336735695357739</v>
      </c>
      <c r="M42" s="59">
        <f>+U43+E42</f>
        <v>0</v>
      </c>
      <c r="N42" s="61">
        <f>IF($M$20=0,0,M42/$M$20)</f>
        <v>0</v>
      </c>
      <c r="O42" s="61">
        <f>IF(K42=0,"",(M42-K42)/ABS(K42)+1)</f>
        <v>2</v>
      </c>
      <c r="P42" s="59">
        <v>0</v>
      </c>
      <c r="Q42" s="61">
        <f>+P42/$P$20</f>
        <v>0</v>
      </c>
      <c r="R42" s="28" t="str">
        <f t="shared" si="9"/>
        <v/>
      </c>
      <c r="S42" s="45"/>
      <c r="T42" s="45"/>
      <c r="U42" s="45"/>
    </row>
    <row r="43" spans="1:21" x14ac:dyDescent="0.2">
      <c r="B43" s="17" t="s">
        <v>44</v>
      </c>
      <c r="C43" s="63">
        <f>+C41</f>
        <v>-1071</v>
      </c>
      <c r="D43" s="66">
        <f>+C43/$C$20</f>
        <v>-0.58878504672897192</v>
      </c>
      <c r="E43" s="63">
        <f>E41-E42</f>
        <v>-3399.8759799999998</v>
      </c>
      <c r="F43" s="66">
        <f>IF($E$20=0,0,E43/$E$20)</f>
        <v>0</v>
      </c>
      <c r="G43" s="66">
        <f>IF(C43=0,"",(E43-C43)/ABS(C43)+1)</f>
        <v>-1.1744873762838468</v>
      </c>
      <c r="H43" s="63">
        <f>+H41-H42</f>
        <v>-3965.3555799999999</v>
      </c>
      <c r="I43" s="66" t="e">
        <f>+H43/$H$20</f>
        <v>#DIV/0!</v>
      </c>
      <c r="J43" s="61" t="str">
        <f t="shared" si="4"/>
        <v/>
      </c>
      <c r="K43" s="63">
        <f>K41-K42</f>
        <v>-3823</v>
      </c>
      <c r="L43" s="66">
        <f>+K43/$K$20</f>
        <v>-0.37520855824909216</v>
      </c>
      <c r="M43" s="63">
        <f>+M41-M42</f>
        <v>-41637.812370000007</v>
      </c>
      <c r="N43" s="66">
        <f>IF($M$20=0,0,M43/$M$20)</f>
        <v>0</v>
      </c>
      <c r="O43" s="66">
        <f>IF(K43=0,"",(M43-K43)/ABS(K43)+1)</f>
        <v>-8.8913974287209019</v>
      </c>
      <c r="P43" s="63">
        <f>P41-P42</f>
        <v>-26353.841939999998</v>
      </c>
      <c r="Q43" s="66">
        <f>+P43/$P$20</f>
        <v>-16.970278935258968</v>
      </c>
      <c r="R43" s="28" t="str">
        <f t="shared" si="9"/>
        <v/>
      </c>
      <c r="S43" s="45"/>
      <c r="T43" s="45"/>
      <c r="U43" s="45"/>
    </row>
    <row r="44" spans="1:21" x14ac:dyDescent="0.2">
      <c r="J44" s="61" t="str">
        <f t="shared" si="4"/>
        <v/>
      </c>
      <c r="R44" s="28" t="str">
        <f t="shared" si="9"/>
        <v/>
      </c>
      <c r="S44" s="45"/>
      <c r="T44" s="45"/>
      <c r="U44" s="45"/>
    </row>
    <row r="45" spans="1:21" x14ac:dyDescent="0.2">
      <c r="B45" s="3" t="s">
        <v>45</v>
      </c>
      <c r="C45" s="59">
        <v>-1071</v>
      </c>
      <c r="D45" s="61">
        <f>+C45/$C$20</f>
        <v>-0.58878504672897192</v>
      </c>
      <c r="E45" s="59">
        <v>0</v>
      </c>
      <c r="F45" s="61">
        <f>IF($E$20=0,0,E45/$E$20)</f>
        <v>0</v>
      </c>
      <c r="G45" s="61">
        <f>IF(C45=0,"",(E45-C45)/ABS(C45)+1)</f>
        <v>2</v>
      </c>
      <c r="H45" s="59">
        <v>-464.21599999999989</v>
      </c>
      <c r="I45" s="61" t="e">
        <f>+H45/$H$20</f>
        <v>#DIV/0!</v>
      </c>
      <c r="J45" s="61" t="str">
        <f t="shared" si="4"/>
        <v/>
      </c>
      <c r="K45" s="59">
        <v>-5997</v>
      </c>
      <c r="L45" s="61">
        <f>+K45/$K$20</f>
        <v>-0.5885759152026695</v>
      </c>
      <c r="M45" s="59">
        <v>-8854.1825700000045</v>
      </c>
      <c r="N45" s="61">
        <f>IF($M$20=0,0,M45/$M$20)</f>
        <v>0</v>
      </c>
      <c r="O45" s="61">
        <f>IF(K45=0,"",(M45-K45)/ABS(K45)+1)</f>
        <v>0.52356468734367101</v>
      </c>
      <c r="P45" s="59">
        <v>-1991.6390199999951</v>
      </c>
      <c r="Q45" s="61">
        <f>+P45/$P$20</f>
        <v>-1.28249496922291</v>
      </c>
      <c r="R45" s="28" t="str">
        <f t="shared" si="9"/>
        <v/>
      </c>
    </row>
    <row r="46" spans="1:21" x14ac:dyDescent="0.2">
      <c r="B46" s="3" t="s">
        <v>20</v>
      </c>
      <c r="C46" s="59">
        <v>0</v>
      </c>
      <c r="D46" s="61">
        <f>+C46/$C$20</f>
        <v>0</v>
      </c>
      <c r="E46" s="59">
        <v>0</v>
      </c>
      <c r="F46" s="61">
        <f>IF($E$20=0,0,E46/$E$20)</f>
        <v>0</v>
      </c>
      <c r="G46" s="61" t="str">
        <f>IF(C46=0,"",(E46-C46)/ABS(C46)+1)</f>
        <v/>
      </c>
      <c r="H46" s="59">
        <v>0</v>
      </c>
      <c r="I46" s="61" t="e">
        <f>+H46/$H$20</f>
        <v>#DIV/0!</v>
      </c>
      <c r="J46" s="61" t="str">
        <f t="shared" si="4"/>
        <v/>
      </c>
      <c r="K46" s="59">
        <v>0</v>
      </c>
      <c r="L46" s="61">
        <f>+K46/$K$20</f>
        <v>0</v>
      </c>
      <c r="M46" s="59">
        <v>0</v>
      </c>
      <c r="N46" s="61">
        <f>IF($M$20=0,0,M46/$M$20)</f>
        <v>0</v>
      </c>
      <c r="O46" s="61" t="str">
        <f>IF(K46=0,"",(M46-K46)/ABS(K46)+1)</f>
        <v/>
      </c>
      <c r="P46" s="59">
        <v>0</v>
      </c>
      <c r="Q46" s="59">
        <f>+P46/$P$20</f>
        <v>0</v>
      </c>
      <c r="R46" s="28" t="str">
        <f>IF(P46=0,"",(M46-P46)/ABS(P46))</f>
        <v/>
      </c>
      <c r="S46" s="45"/>
      <c r="T46" s="45"/>
      <c r="U46" s="45"/>
    </row>
    <row r="48" spans="1:21" x14ac:dyDescent="0.2">
      <c r="M48" s="47" t="s">
        <v>46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74E46-BEFE-4BF0-A116-1512E22B977E}">
  <sheetPr>
    <tabColor theme="2" tint="-9.9978637043366805E-2"/>
  </sheetPr>
  <dimension ref="A3:AJ48"/>
  <sheetViews>
    <sheetView showGridLines="0" topLeftCell="A7" zoomScale="91" zoomScaleNormal="91" workbookViewId="0">
      <selection activeCell="T3" sqref="T3"/>
    </sheetView>
  </sheetViews>
  <sheetFormatPr baseColWidth="10" defaultRowHeight="12.75" x14ac:dyDescent="0.2"/>
  <cols>
    <col min="1" max="1" width="4.5703125" style="10" customWidth="1"/>
    <col min="2" max="2" width="29.28515625" style="10" customWidth="1"/>
    <col min="3" max="3" width="14.42578125" style="10" customWidth="1"/>
    <col min="4" max="4" width="8" style="10" customWidth="1"/>
    <col min="5" max="5" width="10.28515625" style="10" bestFit="1" customWidth="1"/>
    <col min="6" max="6" width="6.28515625" style="10" bestFit="1" customWidth="1"/>
    <col min="7" max="7" width="6.5703125" style="10" bestFit="1" customWidth="1"/>
    <col min="8" max="8" width="11.28515625" style="10" customWidth="1"/>
    <col min="9" max="9" width="6.42578125" style="10" customWidth="1"/>
    <col min="10" max="10" width="8.140625" style="10" customWidth="1"/>
    <col min="11" max="11" width="13.28515625" style="10" customWidth="1"/>
    <col min="12" max="12" width="6.7109375" style="10" customWidth="1"/>
    <col min="13" max="15" width="10.140625" style="10" customWidth="1"/>
    <col min="16" max="16" width="11.5703125" style="10" customWidth="1"/>
    <col min="17" max="17" width="8.5703125" style="10" customWidth="1"/>
    <col min="18" max="18" width="9.42578125" style="10" customWidth="1"/>
    <col min="19" max="19" width="8.42578125" style="10" customWidth="1"/>
    <col min="20" max="21" width="11.42578125" style="10" hidden="1" customWidth="1"/>
    <col min="22" max="22" width="25.5703125" style="10" customWidth="1"/>
    <col min="23" max="24" width="11.42578125" style="10"/>
    <col min="25" max="25" width="12.5703125" style="10" customWidth="1"/>
    <col min="26" max="27" width="11.42578125" style="10"/>
    <col min="28" max="28" width="12.42578125" style="10" customWidth="1"/>
    <col min="29" max="29" width="8.42578125" style="10" customWidth="1"/>
    <col min="30" max="30" width="10.28515625" style="10" bestFit="1" customWidth="1"/>
    <col min="31" max="31" width="9.140625" style="10" customWidth="1"/>
    <col min="32" max="32" width="11.42578125" style="10"/>
    <col min="33" max="33" width="27" style="10" customWidth="1"/>
    <col min="34" max="34" width="11.5703125" style="10" customWidth="1"/>
    <col min="35" max="16384" width="11.42578125" style="10"/>
  </cols>
  <sheetData>
    <row r="3" spans="1:36" s="7" customFormat="1" ht="18" x14ac:dyDescent="0.25">
      <c r="B3" s="13" t="s">
        <v>77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75"/>
      <c r="V3" s="10" t="str">
        <f>+B3</f>
        <v>MUSICAR  COLOMBIA</v>
      </c>
    </row>
    <row r="4" spans="1:36" ht="17.25" customHeight="1" x14ac:dyDescent="0.2">
      <c r="A4" s="7"/>
      <c r="B4" s="16" t="s">
        <v>78</v>
      </c>
      <c r="V4" s="16" t="str">
        <f>+'COLOMB$ '!T4</f>
        <v xml:space="preserve">Flujo de Caja </v>
      </c>
      <c r="Z4" s="12"/>
      <c r="AA4" s="12"/>
    </row>
    <row r="5" spans="1:36" x14ac:dyDescent="0.2">
      <c r="B5" s="16" t="s">
        <v>79</v>
      </c>
      <c r="V5" s="16" t="s">
        <v>79</v>
      </c>
      <c r="AI5" s="76">
        <f>+Paramet!C8-Paramet!C9</f>
        <v>432.42000000000007</v>
      </c>
      <c r="AJ5" s="77">
        <f>+AI5/Paramet!C9</f>
        <v>0.11179767728057749</v>
      </c>
    </row>
    <row r="6" spans="1:36" ht="13.5" thickBot="1" x14ac:dyDescent="0.25">
      <c r="B6" s="33" t="str">
        <f>+'COLOMB$ '!B6</f>
        <v>JULIO de 2022</v>
      </c>
      <c r="C6" s="78"/>
      <c r="K6" s="79" t="s">
        <v>8</v>
      </c>
      <c r="L6" s="79"/>
      <c r="M6" s="79"/>
      <c r="N6" s="79"/>
      <c r="O6" s="79"/>
      <c r="P6" s="79"/>
      <c r="Q6" s="79"/>
      <c r="R6" s="79"/>
      <c r="V6" s="33" t="str">
        <f>+B6</f>
        <v>JULIO de 2022</v>
      </c>
      <c r="Z6" s="18" t="s">
        <v>8</v>
      </c>
      <c r="AA6" s="18"/>
      <c r="AB6" s="18"/>
      <c r="AC6" s="18"/>
      <c r="AD6" s="18"/>
      <c r="AE6" s="18"/>
    </row>
    <row r="7" spans="1:36" ht="15.75" customHeight="1" x14ac:dyDescent="0.2">
      <c r="C7" s="19" t="str">
        <f>+'COLOMB$ '!D7:D7</f>
        <v>Ppto 2022</v>
      </c>
      <c r="D7" s="19"/>
      <c r="E7" s="19" t="str">
        <f>+'COLOMB$ '!F7:F7</f>
        <v>Real 2022</v>
      </c>
      <c r="F7" s="19"/>
      <c r="G7" s="19" t="s">
        <v>9</v>
      </c>
      <c r="H7" s="19" t="str">
        <f>+'COLOMB$ '!I7:I7</f>
        <v>Real 2021</v>
      </c>
      <c r="I7" s="19"/>
      <c r="J7" s="19" t="s">
        <v>10</v>
      </c>
      <c r="K7" s="19" t="str">
        <f>+C7</f>
        <v>Ppto 2022</v>
      </c>
      <c r="L7" s="19"/>
      <c r="M7" s="19" t="str">
        <f>+E7</f>
        <v>Real 2022</v>
      </c>
      <c r="N7" s="19"/>
      <c r="O7" s="19" t="s">
        <v>9</v>
      </c>
      <c r="P7" s="19" t="str">
        <f>+H7</f>
        <v>Real 2021</v>
      </c>
      <c r="Q7" s="19"/>
      <c r="R7" s="19" t="s">
        <v>10</v>
      </c>
      <c r="T7" s="7"/>
      <c r="W7" s="12" t="str">
        <f>+C7</f>
        <v>Ppto 2022</v>
      </c>
      <c r="X7" s="12" t="str">
        <f>+M7</f>
        <v>Real 2022</v>
      </c>
      <c r="Y7" s="12" t="str">
        <f>+H7</f>
        <v>Real 2021</v>
      </c>
      <c r="Z7" s="12" t="str">
        <f>+W7</f>
        <v>Ppto 2022</v>
      </c>
      <c r="AA7" s="12" t="str">
        <f>+X7</f>
        <v>Real 2022</v>
      </c>
      <c r="AB7" s="12" t="s">
        <v>11</v>
      </c>
      <c r="AC7" s="12" t="s">
        <v>9</v>
      </c>
      <c r="AD7" s="12" t="str">
        <f>+Y7</f>
        <v>Real 2021</v>
      </c>
      <c r="AE7" s="12" t="s">
        <v>10</v>
      </c>
      <c r="AI7" s="10" t="s">
        <v>80</v>
      </c>
    </row>
    <row r="8" spans="1:36" ht="13.5" thickBot="1" x14ac:dyDescent="0.25">
      <c r="B8" s="80" t="s">
        <v>12</v>
      </c>
      <c r="C8" s="81" t="s">
        <v>13</v>
      </c>
      <c r="D8" s="81" t="s">
        <v>14</v>
      </c>
      <c r="E8" s="81" t="s">
        <v>13</v>
      </c>
      <c r="F8" s="81" t="s">
        <v>14</v>
      </c>
      <c r="G8" s="81" t="s">
        <v>15</v>
      </c>
      <c r="H8" s="81" t="s">
        <v>13</v>
      </c>
      <c r="I8" s="81" t="s">
        <v>14</v>
      </c>
      <c r="J8" s="81" t="s">
        <v>15</v>
      </c>
      <c r="K8" s="81" t="s">
        <v>13</v>
      </c>
      <c r="L8" s="81" t="s">
        <v>14</v>
      </c>
      <c r="M8" s="81" t="s">
        <v>13</v>
      </c>
      <c r="N8" s="81" t="s">
        <v>14</v>
      </c>
      <c r="O8" s="81" t="s">
        <v>15</v>
      </c>
      <c r="P8" s="81" t="s">
        <v>13</v>
      </c>
      <c r="Q8" s="81" t="s">
        <v>14</v>
      </c>
      <c r="R8" s="81" t="s">
        <v>15</v>
      </c>
      <c r="T8" s="14" t="s">
        <v>81</v>
      </c>
      <c r="U8" s="14"/>
      <c r="V8" s="24"/>
      <c r="W8" s="25"/>
      <c r="X8" s="25"/>
      <c r="Y8" s="25"/>
      <c r="Z8" s="25"/>
      <c r="AA8" s="25"/>
      <c r="AB8" s="25"/>
      <c r="AC8" s="25" t="s">
        <v>15</v>
      </c>
      <c r="AD8" s="25"/>
      <c r="AE8" s="25" t="s">
        <v>15</v>
      </c>
    </row>
    <row r="9" spans="1:36" x14ac:dyDescent="0.2">
      <c r="T9" s="30"/>
      <c r="U9" s="14" t="s">
        <v>82</v>
      </c>
      <c r="AH9" s="76"/>
    </row>
    <row r="10" spans="1:36" x14ac:dyDescent="0.2">
      <c r="B10" s="16" t="str">
        <f>+'COLOMB$ '!B10</f>
        <v>Musical Experience  (Ambiental)</v>
      </c>
      <c r="C10" s="26">
        <f>+'COL. CONS.$'!C10/Paramet!$C$10*1000</f>
        <v>112970.88235294117</v>
      </c>
      <c r="D10" s="27">
        <f t="shared" ref="D10:D15" si="0">+C10/$C$20</f>
        <v>0.44903926189874954</v>
      </c>
      <c r="E10" s="26">
        <f>+'COL. CONS.$'!E10/Paramet!$C$8*1000</f>
        <v>90832.975373811118</v>
      </c>
      <c r="F10" s="27">
        <f t="shared" ref="F10:F18" si="1">+E10/$E$20</f>
        <v>0.44996788287481398</v>
      </c>
      <c r="G10" s="27">
        <f t="shared" ref="G10:G18" si="2">IF(C10=0,"",(E10-C10)/ABS(C10)+1)</f>
        <v>0.80403882382747716</v>
      </c>
      <c r="H10" s="26">
        <f>+'COL. CONS.$'!H10/Paramet!$C$9*1000</f>
        <v>92901.384220813474</v>
      </c>
      <c r="I10" s="27">
        <f t="shared" ref="I10:I18" si="3">+H10/$H$20</f>
        <v>0.41105820420461625</v>
      </c>
      <c r="J10" s="28">
        <f t="shared" ref="J10:J18" si="4">IF(H10=0,"",(E10-H10)/ABS(H10))</f>
        <v>-2.2264564347997663E-2</v>
      </c>
      <c r="K10" s="26">
        <f>+'COL. CONS.$'!K10/Paramet!$C$10*1000</f>
        <v>749372.6470588235</v>
      </c>
      <c r="L10" s="27">
        <f t="shared" ref="L10:L18" si="5">+K10/$K$20</f>
        <v>0.43376498720939372</v>
      </c>
      <c r="M10" s="26">
        <f>+'COL. CONS.$'!M10/Paramet!$C$8*1000</f>
        <v>591610.61205032212</v>
      </c>
      <c r="N10" s="27">
        <f t="shared" ref="N10:N18" si="6">+M10/$M$20</f>
        <v>0.4456619966865415</v>
      </c>
      <c r="O10" s="27">
        <f t="shared" ref="O10:O18" si="7">IF(K10=0,"",(M10-K10)/ABS(K10)+1)</f>
        <v>0.78947452161792409</v>
      </c>
      <c r="P10" s="26">
        <f>+'COL. CONS.$'!P10/Paramet!$C$9*1000</f>
        <v>613765.79883553775</v>
      </c>
      <c r="Q10" s="27">
        <f t="shared" ref="Q10:Q18" si="8">+P10/$P$20</f>
        <v>0.51423694471348169</v>
      </c>
      <c r="R10" s="28">
        <f t="shared" ref="R10:R18" si="9">IF(P10=0,"",(M10-P10)/ABS(P10))</f>
        <v>-3.6097134814695411E-2</v>
      </c>
      <c r="T10" s="30"/>
      <c r="U10" s="29" t="s">
        <v>83</v>
      </c>
      <c r="V10" s="16" t="s">
        <v>16</v>
      </c>
      <c r="W10" s="26">
        <f>+'COL. CONS.$'!U10/Paramet!C10*1000</f>
        <v>2810.9836036289071</v>
      </c>
      <c r="X10" s="26">
        <f>'COLOMB$ '!V10/Paramet!$C$8*1000</f>
        <v>8434.7603655558905</v>
      </c>
      <c r="Y10" s="26">
        <f>'COLOMB$ '!W10/Paramet!$C$9*1000</f>
        <v>263445.85413456464</v>
      </c>
      <c r="Z10" s="26">
        <f>'COLOMB$ '!X10/Paramet!$C$10*1000</f>
        <v>142468.23529411765</v>
      </c>
      <c r="AA10" s="26">
        <f>+'COL. CONS.$'!Y10/Paramet!C8*1000</f>
        <v>112641.44362021254</v>
      </c>
      <c r="AB10" s="29">
        <f>+AA10-Z10</f>
        <v>-29826.791673905114</v>
      </c>
      <c r="AC10" s="30">
        <f>IF(Z10=0,"",(AA10-Z10)/ABS(Z10)+1)</f>
        <v>0.7906425133130246</v>
      </c>
      <c r="AD10" s="26">
        <f>'COLOMB$ '!AB10/Paramet!$C$9*1000</f>
        <v>152674.0746869086</v>
      </c>
      <c r="AE10" s="28">
        <f>IF(Y10=0,"",(AA10-AD10)/ABS(AD10))</f>
        <v>-0.26220975073070973</v>
      </c>
      <c r="AF10" s="76"/>
    </row>
    <row r="11" spans="1:36" x14ac:dyDescent="0.2">
      <c r="B11" s="16" t="str">
        <f>+'COLOMB$ '!B11</f>
        <v>Instalaciones</v>
      </c>
      <c r="C11" s="26">
        <f>+'COL. CONS.$'!C11/Paramet!$C$10*1000</f>
        <v>16022.352941176472</v>
      </c>
      <c r="D11" s="27">
        <f t="shared" si="0"/>
        <v>6.3686017040300025E-2</v>
      </c>
      <c r="E11" s="26">
        <f>+'COL. CONS.$'!E11/Paramet!$C$8*1000</f>
        <v>5476.8620793898099</v>
      </c>
      <c r="F11" s="27">
        <f t="shared" si="1"/>
        <v>2.7131248585862369E-2</v>
      </c>
      <c r="G11" s="27">
        <f t="shared" si="2"/>
        <v>0.34182632847355443</v>
      </c>
      <c r="H11" s="26">
        <f>+'COL. CONS.$'!H11/Paramet!$C$9*1000</f>
        <v>9134.0349235239992</v>
      </c>
      <c r="I11" s="27">
        <f t="shared" si="3"/>
        <v>4.0415113556131983E-2</v>
      </c>
      <c r="J11" s="28">
        <f t="shared" si="4"/>
        <v>-0.4003896278867321</v>
      </c>
      <c r="K11" s="26">
        <f>+'COL. CONS.$'!K11/Paramet!$C$10*1000</f>
        <v>86520.882352941175</v>
      </c>
      <c r="L11" s="27">
        <f t="shared" si="5"/>
        <v>5.0081530963890411E-2</v>
      </c>
      <c r="M11" s="26">
        <f>+'COL. CONS.$'!M11/Paramet!$C$8*1000</f>
        <v>51953.866706973924</v>
      </c>
      <c r="N11" s="27">
        <f t="shared" si="6"/>
        <v>3.9136999067635007E-2</v>
      </c>
      <c r="O11" s="27">
        <f t="shared" si="7"/>
        <v>0.60047777246469347</v>
      </c>
      <c r="P11" s="26">
        <f>+'COL. CONS.$'!P11/Paramet!$C$9*1000</f>
        <v>52648.721780406835</v>
      </c>
      <c r="Q11" s="27">
        <f t="shared" si="8"/>
        <v>4.4111154259152796E-2</v>
      </c>
      <c r="R11" s="28">
        <f t="shared" si="9"/>
        <v>-1.3197947641180922E-2</v>
      </c>
      <c r="T11" s="30">
        <f>+E22/C22</f>
        <v>0.90507659561572695</v>
      </c>
      <c r="U11" s="29" t="s">
        <v>84</v>
      </c>
      <c r="V11" s="16" t="s">
        <v>17</v>
      </c>
      <c r="W11" s="26">
        <f>'COLOMB$ '!U11/Paramet!$C$10*1000</f>
        <v>313329.41176470584</v>
      </c>
      <c r="X11" s="26">
        <f>'COLOMB$ '!V11/Paramet!$C$8*1000</f>
        <v>244865.31019231217</v>
      </c>
      <c r="Y11" s="26">
        <f>'COLOMB$ '!W11/Paramet!$C$9*1000</f>
        <v>238658.29319679001</v>
      </c>
      <c r="Z11" s="26">
        <f>'COLOMB$ '!X11/Paramet!$C$10*1000</f>
        <v>2058249.117647059</v>
      </c>
      <c r="AA11" s="26">
        <f>'COLOMB$ '!Y11/Paramet!$C$8*1000</f>
        <v>1619641.7781387342</v>
      </c>
      <c r="AB11" s="29">
        <f>+AA11-Z11</f>
        <v>-438607.33950832486</v>
      </c>
      <c r="AC11" s="30">
        <f>IF(Z11=0,"",(AA11-Z11)/ABS(Z11)+1)</f>
        <v>0.78690269523364098</v>
      </c>
      <c r="AD11" s="26">
        <f>'COLOMB$ '!AB11/Paramet!$C$9*1000</f>
        <v>1694792.056671872</v>
      </c>
      <c r="AE11" s="28">
        <f>IF(AD11=0,"",(AA11-AD11)/ABS(AD11))</f>
        <v>-4.4341887393969347E-2</v>
      </c>
      <c r="AF11" s="76"/>
    </row>
    <row r="12" spans="1:36" x14ac:dyDescent="0.2">
      <c r="B12" s="16" t="str">
        <f>+'COLOMB$ '!B12</f>
        <v>Voice Experience (Publihold)</v>
      </c>
      <c r="C12" s="26">
        <f>+'COL. CONS.$'!C12/Paramet!$C$10*1000</f>
        <v>18515.588235294119</v>
      </c>
      <c r="D12" s="27">
        <f t="shared" si="0"/>
        <v>7.3596186040421605E-2</v>
      </c>
      <c r="E12" s="26">
        <f>+'COL. CONS.$'!E12/Paramet!$C$8*1000</f>
        <v>18202.790502988166</v>
      </c>
      <c r="F12" s="27">
        <f t="shared" si="1"/>
        <v>9.0172881283869979E-2</v>
      </c>
      <c r="G12" s="27">
        <f t="shared" si="2"/>
        <v>0.98310624926786272</v>
      </c>
      <c r="H12" s="26">
        <f>+'COL. CONS.$'!H12/Paramet!$C$9*1000</f>
        <v>22711.71572023951</v>
      </c>
      <c r="I12" s="27">
        <f t="shared" si="3"/>
        <v>0.10049190500948231</v>
      </c>
      <c r="J12" s="28">
        <f t="shared" si="4"/>
        <v>-0.19852860403818909</v>
      </c>
      <c r="K12" s="26">
        <f>+'COL. CONS.$'!K12/Paramet!$C$10*1000</f>
        <v>171521.4705882353</v>
      </c>
      <c r="L12" s="27">
        <f t="shared" si="5"/>
        <v>9.9283058686290851E-2</v>
      </c>
      <c r="M12" s="26">
        <f>+'COL. CONS.$'!M12/Paramet!$C$8*1000</f>
        <v>145580.21296188637</v>
      </c>
      <c r="N12" s="27">
        <f t="shared" si="6"/>
        <v>0.10966599831905582</v>
      </c>
      <c r="O12" s="27">
        <f t="shared" si="7"/>
        <v>0.84875795702203916</v>
      </c>
      <c r="P12" s="26">
        <f>+'COL. CONS.$'!P12/Paramet!$C$9*1000</f>
        <v>180601.80414076961</v>
      </c>
      <c r="Q12" s="27">
        <f t="shared" si="8"/>
        <v>0.15131524133031343</v>
      </c>
      <c r="R12" s="28">
        <f t="shared" si="9"/>
        <v>-0.19391606493358038</v>
      </c>
      <c r="T12" s="30">
        <f>+E24/C24</f>
        <v>0.79141802145091122</v>
      </c>
      <c r="U12" s="82">
        <v>1208</v>
      </c>
      <c r="AE12" s="2"/>
      <c r="AF12" s="76"/>
    </row>
    <row r="13" spans="1:36" x14ac:dyDescent="0.2">
      <c r="B13" s="16" t="str">
        <f>+'COLOMB$ '!B13</f>
        <v>Service &amp; Equipment Experience</v>
      </c>
      <c r="C13" s="26">
        <f>+'COL. CONS.$'!C13/Paramet!$C$10*1000</f>
        <v>29885.588235294119</v>
      </c>
      <c r="D13" s="27">
        <f t="shared" si="0"/>
        <v>0.11878992358987309</v>
      </c>
      <c r="E13" s="26">
        <f>+'COL. CONS.$'!E13/Paramet!$C$8*1000</f>
        <v>26479.67630165337</v>
      </c>
      <c r="F13" s="27">
        <f t="shared" si="1"/>
        <v>0.13117487163258415</v>
      </c>
      <c r="G13" s="27">
        <f t="shared" si="2"/>
        <v>0.88603497087541161</v>
      </c>
      <c r="H13" s="26">
        <f>+'COL. CONS.$'!H13/Paramet!$C$9*1000</f>
        <v>13589.165899665966</v>
      </c>
      <c r="I13" s="27">
        <f t="shared" si="3"/>
        <v>6.0127609273057915E-2</v>
      </c>
      <c r="J13" s="28">
        <f t="shared" si="4"/>
        <v>0.94858731559854337</v>
      </c>
      <c r="K13" s="26">
        <f>+'COL. CONS.$'!K13/Paramet!$C$10*1000</f>
        <v>184008.5294117647</v>
      </c>
      <c r="L13" s="27">
        <f t="shared" si="5"/>
        <v>0.10651103655835481</v>
      </c>
      <c r="M13" s="26">
        <f>+'COL. CONS.$'!M13/Paramet!$C$8*1000</f>
        <v>125884.83384880124</v>
      </c>
      <c r="N13" s="27">
        <f t="shared" si="6"/>
        <v>9.4829411884921139E-2</v>
      </c>
      <c r="O13" s="27">
        <f t="shared" si="7"/>
        <v>0.68412499274478034</v>
      </c>
      <c r="P13" s="26">
        <f>+'COL. CONS.$'!P13/Paramet!$C$9*1000</f>
        <v>84961.084108090217</v>
      </c>
      <c r="Q13" s="27">
        <f t="shared" si="8"/>
        <v>7.1183712735672477E-2</v>
      </c>
      <c r="R13" s="28">
        <f t="shared" si="9"/>
        <v>0.48167640714949578</v>
      </c>
      <c r="T13" s="30">
        <f>+E26/C26</f>
        <v>0.68785651081670918</v>
      </c>
      <c r="U13" s="29" t="s">
        <v>85</v>
      </c>
      <c r="V13" s="16" t="s">
        <v>18</v>
      </c>
      <c r="W13" s="26">
        <f>'COLOMB$ '!U13/Paramet!$C$10*1000</f>
        <v>27282.941176470587</v>
      </c>
      <c r="X13" s="26">
        <f>'COLOMB$ '!V13/Paramet!$C$8*1000</f>
        <v>21668.354526428389</v>
      </c>
      <c r="Y13" s="26">
        <f>'COLOMB$ '!W13/Paramet!$C$9*1000</f>
        <v>46762.997378408851</v>
      </c>
      <c r="Z13" s="26">
        <f>'COLOMB$ '!X13/Paramet!$C$10*1000</f>
        <v>301026.17647058819</v>
      </c>
      <c r="AA13" s="26">
        <f>'COLOMB$ '!Y13/Paramet!$C$8*1000</f>
        <v>202963.94563867638</v>
      </c>
      <c r="AB13" s="29">
        <f>+Z13-AA13</f>
        <v>98062.230831911816</v>
      </c>
      <c r="AC13" s="30">
        <f>IF(Z13=0,"",(AA13-Z13)/ABS(Z13)+1)</f>
        <v>0.67424018740943947</v>
      </c>
      <c r="AD13" s="26">
        <f>'COLOMB$ '!AB13/Paramet!$C$9*1000</f>
        <v>331895.53850429697</v>
      </c>
      <c r="AE13" s="28">
        <f>IF(AD13=0,"",(AA13-AD13)/ABS(AD13))</f>
        <v>-0.38847040079736217</v>
      </c>
      <c r="AF13" s="76"/>
      <c r="AG13" s="31"/>
    </row>
    <row r="14" spans="1:36" x14ac:dyDescent="0.2">
      <c r="B14" s="16" t="str">
        <f>+'COLOMB$ '!B14</f>
        <v>POP Satelital</v>
      </c>
      <c r="C14" s="26">
        <f>+'COL. CONS.$'!C14/Paramet!$C$10*1000</f>
        <v>0</v>
      </c>
      <c r="D14" s="27">
        <f t="shared" si="0"/>
        <v>0</v>
      </c>
      <c r="E14" s="26">
        <f>+'COL. CONS.$'!E14/Paramet!$C$8*1000</f>
        <v>0</v>
      </c>
      <c r="F14" s="27">
        <f t="shared" si="1"/>
        <v>0</v>
      </c>
      <c r="G14" s="27" t="str">
        <f t="shared" si="2"/>
        <v/>
      </c>
      <c r="H14" s="26">
        <f>+'COL. CONS.$'!H14/Paramet!$C$9*1000</f>
        <v>0</v>
      </c>
      <c r="I14" s="27">
        <f t="shared" si="3"/>
        <v>0</v>
      </c>
      <c r="J14" s="28" t="str">
        <f t="shared" si="4"/>
        <v/>
      </c>
      <c r="K14" s="26">
        <f>+'COL. CONS.$'!K14/Paramet!$C$10*1000</f>
        <v>0</v>
      </c>
      <c r="L14" s="27">
        <f t="shared" si="5"/>
        <v>0</v>
      </c>
      <c r="M14" s="26">
        <f>+'COL. CONS.$'!M14/Paramet!$C$8*1000</f>
        <v>0</v>
      </c>
      <c r="N14" s="27">
        <f t="shared" si="6"/>
        <v>0</v>
      </c>
      <c r="O14" s="27" t="str">
        <f t="shared" si="7"/>
        <v/>
      </c>
      <c r="P14" s="26">
        <f>+'COL. CONS.$'!P14/Paramet!$C$9*1000</f>
        <v>0</v>
      </c>
      <c r="Q14" s="27">
        <f t="shared" si="8"/>
        <v>0</v>
      </c>
      <c r="R14" s="28" t="str">
        <f t="shared" si="9"/>
        <v/>
      </c>
      <c r="T14" s="30"/>
      <c r="U14" s="29"/>
      <c r="V14" s="16" t="s">
        <v>19</v>
      </c>
      <c r="W14" s="26">
        <f>'COLOMB$ '!U14/Paramet!$C$10*1000</f>
        <v>2456.7647058823527</v>
      </c>
      <c r="X14" s="26">
        <f>'COLOMB$ '!V14/Paramet!$C$8*1000</f>
        <v>2397.6336348626842</v>
      </c>
      <c r="Y14" s="26">
        <f>'COLOMB$ '!W14/Paramet!$C$9*1000</f>
        <v>1885.0230617289058</v>
      </c>
      <c r="Z14" s="26">
        <f>'COLOMB$ '!X14/Paramet!$C$10*1000</f>
        <v>17197.352941176472</v>
      </c>
      <c r="AA14" s="26">
        <f>'COLOMB$ '!Y14/Paramet!$C$8*1000</f>
        <v>15888.164007162293</v>
      </c>
      <c r="AB14" s="29">
        <f>+Z14-AA14</f>
        <v>1309.1889340141788</v>
      </c>
      <c r="AC14" s="30">
        <f>IF(Z14=0,"",(AA14-Z14)/ABS(Z14)+1)</f>
        <v>0.92387264839581662</v>
      </c>
      <c r="AD14" s="26">
        <f>'COLOMB$ '!AB14/Paramet!$C$9*1000</f>
        <v>12745.430571786095</v>
      </c>
      <c r="AE14" s="28">
        <f>IF(AD14=0,"",(AA14-AD14)/ABS(AD14))</f>
        <v>0.24657726686245543</v>
      </c>
      <c r="AF14" s="76"/>
    </row>
    <row r="15" spans="1:36" x14ac:dyDescent="0.2">
      <c r="B15" s="16" t="str">
        <f>+'COLOMB$ '!B15</f>
        <v>Voice Experience (Audicóm)</v>
      </c>
      <c r="C15" s="26">
        <f>+'COL. CONS.$'!C15/Paramet!$C$10*1000</f>
        <v>37013.823529411769</v>
      </c>
      <c r="D15" s="27">
        <f t="shared" si="0"/>
        <v>0.14712339721107714</v>
      </c>
      <c r="E15" s="26">
        <f>+'COL. CONS.$'!E15/Paramet!$C$8*1000</f>
        <v>31205.109876055158</v>
      </c>
      <c r="F15" s="27">
        <f t="shared" si="1"/>
        <v>0.15458369791388407</v>
      </c>
      <c r="G15" s="27">
        <f t="shared" si="2"/>
        <v>0.84306637089948522</v>
      </c>
      <c r="H15" s="26">
        <f>+'COL. CONS.$'!H15/Paramet!$C$9*1000</f>
        <v>31945.149022203379</v>
      </c>
      <c r="I15" s="27">
        <f t="shared" si="3"/>
        <v>0.1413468238417685</v>
      </c>
      <c r="J15" s="28">
        <f t="shared" si="4"/>
        <v>-2.3165931880106721E-2</v>
      </c>
      <c r="K15" s="26">
        <f>+'COL. CONS.$'!K15/Paramet!$C$10*1000</f>
        <v>254196.17647058822</v>
      </c>
      <c r="L15" s="27">
        <f t="shared" si="5"/>
        <v>0.14713827848961547</v>
      </c>
      <c r="M15" s="26">
        <f>+'COL. CONS.$'!M15/Paramet!$C$8*1000</f>
        <v>199876.23537892706</v>
      </c>
      <c r="N15" s="27">
        <f t="shared" si="6"/>
        <v>0.15056735010288308</v>
      </c>
      <c r="O15" s="27">
        <f t="shared" si="7"/>
        <v>0.78630700962590505</v>
      </c>
      <c r="P15" s="26">
        <f>+'COL. CONS.$'!P15/Paramet!$C$9*1000</f>
        <v>211046.07097428048</v>
      </c>
      <c r="Q15" s="27">
        <f t="shared" si="8"/>
        <v>0.1768226364804</v>
      </c>
      <c r="R15" s="28">
        <f t="shared" si="9"/>
        <v>-5.2926053272579765E-2</v>
      </c>
      <c r="T15" s="30"/>
      <c r="U15" s="82"/>
      <c r="V15" s="16" t="s">
        <v>20</v>
      </c>
      <c r="W15" s="26">
        <f>'COLOMB$ '!U15/Paramet!$C$10*1000</f>
        <v>109778.82352941176</v>
      </c>
      <c r="X15" s="26">
        <f>'COLOMB$ '!V15/Paramet!$C$8*1000</f>
        <v>78654.010650419732</v>
      </c>
      <c r="Y15" s="26">
        <f>'COLOMB$ '!W15/Paramet!$C$9*1000</f>
        <v>84876.040104656815</v>
      </c>
      <c r="Z15" s="26">
        <f>'COLOMB$ '!X15/Paramet!$C$10*1000</f>
        <v>822725.5882352941</v>
      </c>
      <c r="AA15" s="26">
        <f>'COLOMB$ '!Y15/Paramet!$C$8*1000</f>
        <v>637844.58230356034</v>
      </c>
      <c r="AB15" s="29">
        <f>+Z15-AA15</f>
        <v>184881.00593173376</v>
      </c>
      <c r="AC15" s="30">
        <f>IF(Z15=0,"",(AA15-Z15)/ABS(Z15)+1)</f>
        <v>0.77528229512309876</v>
      </c>
      <c r="AD15" s="26">
        <f>'COLOMB$ '!AB15/Paramet!$C$9*1000</f>
        <v>603314.95341117098</v>
      </c>
      <c r="AE15" s="28">
        <f>IF(AD15=0,"",(AA15-AD15)/ABS(AD15))</f>
        <v>5.7233172652454943E-2</v>
      </c>
      <c r="AF15" s="76"/>
    </row>
    <row r="16" spans="1:36" x14ac:dyDescent="0.2">
      <c r="B16" s="16" t="str">
        <f>+'COLOMB$ '!B16</f>
        <v>Fact. Servicio Satelital</v>
      </c>
      <c r="C16" s="26">
        <f>+'COL. CONS.$'!C16/Paramet!$C$8*1000</f>
        <v>0</v>
      </c>
      <c r="D16" s="27"/>
      <c r="E16" s="26">
        <f>+'COL. CONS.$'!E16/Paramet!$C$8*1000</f>
        <v>0</v>
      </c>
      <c r="F16" s="27">
        <f t="shared" si="1"/>
        <v>0</v>
      </c>
      <c r="G16" s="27" t="str">
        <f t="shared" si="2"/>
        <v/>
      </c>
      <c r="H16" s="26">
        <f>+'COL. CONS.$'!H16/Paramet!$C$9*1000</f>
        <v>0</v>
      </c>
      <c r="I16" s="27">
        <f t="shared" si="3"/>
        <v>0</v>
      </c>
      <c r="J16" s="28" t="str">
        <f t="shared" si="4"/>
        <v/>
      </c>
      <c r="K16" s="26">
        <f>+'COL. CONS.$'!K16/Paramet!$C$8*1000</f>
        <v>0</v>
      </c>
      <c r="L16" s="27">
        <f t="shared" si="5"/>
        <v>0</v>
      </c>
      <c r="M16" s="26">
        <f>+'COL. CONS.$'!M16/Paramet!$C$8*1000</f>
        <v>0</v>
      </c>
      <c r="N16" s="27">
        <f t="shared" si="6"/>
        <v>0</v>
      </c>
      <c r="O16" s="27" t="str">
        <f t="shared" si="7"/>
        <v/>
      </c>
      <c r="P16" s="26">
        <f>+'COL. CONS.$'!P16/Paramet!$C$9*1000</f>
        <v>0</v>
      </c>
      <c r="Q16" s="27">
        <f t="shared" si="8"/>
        <v>0</v>
      </c>
      <c r="R16" s="28" t="str">
        <f t="shared" si="9"/>
        <v/>
      </c>
      <c r="V16" s="16" t="s">
        <v>21</v>
      </c>
      <c r="W16" s="26">
        <f>'COLOMB$ '!U16/Paramet!$C$10*1000</f>
        <v>69057.058823529413</v>
      </c>
      <c r="X16" s="26">
        <f>'COLOMB$ '!V16/Paramet!$C$8*1000</f>
        <v>47826.703292793514</v>
      </c>
      <c r="Y16" s="26">
        <f>'COLOMB$ '!W16/Paramet!$C$9*1000</f>
        <v>46049.259974456283</v>
      </c>
      <c r="Z16" s="26">
        <f>'COLOMB$ '!X16/Paramet!$C$10*1000</f>
        <v>517147.94117647054</v>
      </c>
      <c r="AA16" s="26">
        <f>'COLOMB$ '!Y16/Paramet!$C$8*1000</f>
        <v>401839.85755644954</v>
      </c>
      <c r="AB16" s="29">
        <f>+Z16-AA16</f>
        <v>115308.083620021</v>
      </c>
      <c r="AC16" s="30">
        <f>IF(Z16=0,"",(AA16-Z16)/ABS(Z16)+1)</f>
        <v>0.77703075959713919</v>
      </c>
      <c r="AD16" s="26">
        <f>'COLOMB$ '!AB16/Paramet!$C$9*1000</f>
        <v>299778.71845558804</v>
      </c>
      <c r="AE16" s="28">
        <f>IF(AD16=0,"",(AA16-AD16)/ABS(AD16))</f>
        <v>0.34045491830328767</v>
      </c>
      <c r="AF16" s="76"/>
    </row>
    <row r="17" spans="2:33" x14ac:dyDescent="0.2">
      <c r="B17" s="16" t="str">
        <f>+'COLOMB$ '!B17</f>
        <v>Visual Experience</v>
      </c>
      <c r="C17" s="26">
        <f>+'COL. CONS.$'!C17/Paramet!$C$10*1000</f>
        <v>5252.6470588235297</v>
      </c>
      <c r="D17" s="27"/>
      <c r="E17" s="26">
        <f>+'COL. CONS.$'!E17/Paramet!$C$8*1000</f>
        <v>3618.3854614794313</v>
      </c>
      <c r="F17" s="27">
        <f t="shared" si="1"/>
        <v>1.7924737561732844E-2</v>
      </c>
      <c r="G17" s="27">
        <f t="shared" si="2"/>
        <v>0.68886894949493627</v>
      </c>
      <c r="H17" s="26">
        <f>+'COL. CONS.$'!H17/Paramet!$C$9*1000</f>
        <v>27953.035254454637</v>
      </c>
      <c r="I17" s="27">
        <f t="shared" si="3"/>
        <v>0.12368302765493325</v>
      </c>
      <c r="J17" s="28">
        <f t="shared" si="4"/>
        <v>-0.87055482781953697</v>
      </c>
      <c r="K17" s="26">
        <f>+'COL. CONS.$'!K17/Paramet!$C$10*1000</f>
        <v>61259.117647058825</v>
      </c>
      <c r="L17" s="27">
        <f t="shared" si="5"/>
        <v>3.5459074316265229E-2</v>
      </c>
      <c r="M17" s="26">
        <f>+'COL. CONS.$'!M17/Paramet!$C$8*1000</f>
        <v>48172.75469153314</v>
      </c>
      <c r="N17" s="27">
        <f t="shared" si="6"/>
        <v>3.6288676376706873E-2</v>
      </c>
      <c r="O17" s="27">
        <f t="shared" si="7"/>
        <v>0.78637689444170455</v>
      </c>
      <c r="P17" s="26">
        <f>+'COL. CONS.$'!P17/Paramet!$C$9*1000</f>
        <v>50523.201598808657</v>
      </c>
      <c r="Q17" s="27">
        <f t="shared" si="8"/>
        <v>4.2330310480979398E-2</v>
      </c>
      <c r="R17" s="28">
        <f t="shared" si="9"/>
        <v>-4.6522129099018546E-2</v>
      </c>
      <c r="V17" s="16" t="s">
        <v>22</v>
      </c>
      <c r="W17" s="26">
        <f>'COLOMB$ '!U17/Paramet!$C$10*1000</f>
        <v>208575.5882352941</v>
      </c>
      <c r="X17" s="26">
        <f>'COLOMB$ '!V17/Paramet!$C$8*1000</f>
        <v>150546.70210450434</v>
      </c>
      <c r="Y17" s="26">
        <f>'COLOMB$ '!W17/Paramet!$C$9*1000</f>
        <v>179573.32051925085</v>
      </c>
      <c r="Z17" s="26">
        <f>'COLOMB$ '!X17/Paramet!$C$10*1000</f>
        <v>1658097.0588235294</v>
      </c>
      <c r="AA17" s="26">
        <f>'COLOMB$ '!Y17/Paramet!$C$8*1000</f>
        <v>1258536.5495058484</v>
      </c>
      <c r="AB17" s="29">
        <f>+AA17-Z17</f>
        <v>-399560.50931768096</v>
      </c>
      <c r="AC17" s="30">
        <f>IF(Z17=0,"",(AA17-Z17)/ABS(Z17)+1)</f>
        <v>0.75902465589005907</v>
      </c>
      <c r="AD17" s="26">
        <f>'COLOMB$ '!AB17/Paramet!$C$9*1000</f>
        <v>1247734.6409428422</v>
      </c>
      <c r="AE17" s="28">
        <f>IF(AD17=0,"",(AA17-AD17)/ABS(AD17))</f>
        <v>8.6572162129311524E-3</v>
      </c>
      <c r="AF17" s="76"/>
    </row>
    <row r="18" spans="2:33" x14ac:dyDescent="0.2">
      <c r="B18" s="16" t="str">
        <f>+'COL. CONS.$'!B18</f>
        <v>Olfa Experience</v>
      </c>
      <c r="C18" s="26">
        <f>+'COL. CONS.$'!C18/Paramet!$C$10*1000</f>
        <v>31922.647058823528</v>
      </c>
      <c r="D18" s="27"/>
      <c r="E18" s="26">
        <f>+'COL. CONS.$'!E18/Paramet!$C$8*1000</f>
        <v>26049.664209473758</v>
      </c>
      <c r="F18" s="27">
        <f t="shared" si="1"/>
        <v>0.12904468014725254</v>
      </c>
      <c r="G18" s="27">
        <f t="shared" si="2"/>
        <v>0.81602456592876882</v>
      </c>
      <c r="H18" s="26">
        <f>+'COL. CONS.$'!H18/Paramet!$C$9*1000</f>
        <v>19004.061915054241</v>
      </c>
      <c r="I18" s="27">
        <f t="shared" si="3"/>
        <v>8.4086751009307348E-2</v>
      </c>
      <c r="J18" s="32">
        <f t="shared" si="4"/>
        <v>0.37074191432928766</v>
      </c>
      <c r="K18" s="26">
        <f>+'COL. CONS.$'!K18/Paramet!$C$10*1000</f>
        <v>220721.76470588235</v>
      </c>
      <c r="L18" s="27">
        <f t="shared" si="5"/>
        <v>0.12776203377618942</v>
      </c>
      <c r="M18" s="26">
        <f>+'COL. CONS.$'!M18/Paramet!$C$8*1000</f>
        <v>164408.72008929608</v>
      </c>
      <c r="N18" s="27">
        <f t="shared" si="6"/>
        <v>0.12384956756225669</v>
      </c>
      <c r="O18" s="27">
        <f t="shared" si="7"/>
        <v>0.74486863725638974</v>
      </c>
      <c r="P18" s="26">
        <f>+'COL. CONS.$'!P18/Paramet!$C$9*1000</f>
        <v>137658.12486426675</v>
      </c>
      <c r="Q18" s="27">
        <f t="shared" si="8"/>
        <v>0.1153353505188643</v>
      </c>
      <c r="R18" s="32">
        <f t="shared" si="9"/>
        <v>0.19432630839193746</v>
      </c>
      <c r="AE18" s="2"/>
      <c r="AF18" s="76"/>
    </row>
    <row r="19" spans="2:33" x14ac:dyDescent="0.2">
      <c r="B19" s="16" t="str">
        <f>+'COLOMB$ '!B19</f>
        <v>Locutor virtual</v>
      </c>
      <c r="C19" s="26"/>
      <c r="D19" s="27"/>
      <c r="E19" s="26"/>
      <c r="F19" s="27"/>
      <c r="G19" s="27"/>
      <c r="H19" s="26">
        <f>+'COL. CONS.$'!H19/Paramet!$C$9*1000</f>
        <v>8766.8782382080099</v>
      </c>
      <c r="I19" s="27"/>
      <c r="J19" s="28"/>
      <c r="K19" s="26"/>
      <c r="L19" s="27"/>
      <c r="M19" s="26"/>
      <c r="N19" s="27"/>
      <c r="O19" s="27"/>
      <c r="P19" s="26"/>
      <c r="Q19" s="27"/>
      <c r="R19" s="28"/>
      <c r="T19" s="30">
        <f>+E27/C27</f>
        <v>0.8036918615972567</v>
      </c>
      <c r="U19" s="29" t="s">
        <v>86</v>
      </c>
      <c r="V19" s="16" t="s">
        <v>23</v>
      </c>
      <c r="W19" s="26">
        <f>+W11-W17</f>
        <v>104753.82352941175</v>
      </c>
      <c r="X19" s="26">
        <f>+X11-X17</f>
        <v>94318.608087807836</v>
      </c>
      <c r="Y19" s="26">
        <f>+Y11-Y17</f>
        <v>59084.972677539161</v>
      </c>
      <c r="Z19" s="26">
        <f>+Z11-Z17</f>
        <v>400152.05882352963</v>
      </c>
      <c r="AA19" s="26">
        <f>+AA11-AA17</f>
        <v>361105.22863288573</v>
      </c>
      <c r="AB19" s="29">
        <f>+AA19-Z19</f>
        <v>-39046.830190643901</v>
      </c>
      <c r="AC19" s="30">
        <f>IF(Z19=0,"",(AA19-Z19)/ABS(Z19)+1)</f>
        <v>0.90242001926606641</v>
      </c>
      <c r="AD19" s="26">
        <f>+AD11-AD17</f>
        <v>447057.4157290298</v>
      </c>
      <c r="AE19" s="28">
        <f>IF(AD19=0,"",(AA19-AD19)/ABS(AD19))</f>
        <v>-0.19226207657461467</v>
      </c>
      <c r="AF19" s="76"/>
    </row>
    <row r="20" spans="2:33" x14ac:dyDescent="0.2">
      <c r="B20" s="33" t="s">
        <v>24</v>
      </c>
      <c r="C20" s="34">
        <f>SUM(C10:C19)</f>
        <v>251583.52941176473</v>
      </c>
      <c r="D20" s="35">
        <f>+C20/$C$20</f>
        <v>1</v>
      </c>
      <c r="E20" s="34">
        <f>SUM(E10:E19)</f>
        <v>201865.46380485082</v>
      </c>
      <c r="F20" s="35">
        <f>+E20/$E$20</f>
        <v>1</v>
      </c>
      <c r="G20" s="35">
        <f>IF(C20=0,"",(E20-C20)/ABS(C20)+1)</f>
        <v>0.80237948913761858</v>
      </c>
      <c r="H20" s="34">
        <f>+'COL. CONS.$'!H20/Paramet!$C$9*1000</f>
        <v>226005.42519416322</v>
      </c>
      <c r="I20" s="35">
        <f>+H20/$H$20</f>
        <v>1</v>
      </c>
      <c r="J20" s="36">
        <f>IF(H20=0,"",(E20-H20)/ABS(H20))</f>
        <v>-0.10681142440971739</v>
      </c>
      <c r="K20" s="34">
        <f>SUM(K10:K19)</f>
        <v>1727600.5882352942</v>
      </c>
      <c r="L20" s="35">
        <f>+K20/$K$20</f>
        <v>1</v>
      </c>
      <c r="M20" s="34">
        <f>SUM(M10:M19)</f>
        <v>1327487.2357277398</v>
      </c>
      <c r="N20" s="35">
        <f>+M20/$M$20</f>
        <v>1</v>
      </c>
      <c r="O20" s="35">
        <f>IF(K20=0,"",(M20-K20)/ABS(K20)+1)</f>
        <v>0.76839938859000889</v>
      </c>
      <c r="P20" s="34">
        <f>SUM(P10:P17)</f>
        <v>1193546.6814378938</v>
      </c>
      <c r="Q20" s="35">
        <f>+P20/$P$20</f>
        <v>1</v>
      </c>
      <c r="R20" s="36">
        <f>IF(P20=0,"",(M20-P20)/ABS(P20))</f>
        <v>0.11222062477563478</v>
      </c>
      <c r="T20" s="30">
        <f>+E28/C28</f>
        <v>0.75572122441913159</v>
      </c>
      <c r="U20" s="29"/>
      <c r="V20" s="16"/>
      <c r="W20" s="26"/>
      <c r="X20" s="26"/>
      <c r="Y20" s="26"/>
      <c r="Z20" s="26"/>
      <c r="AA20" s="26"/>
      <c r="AB20" s="29"/>
      <c r="AC20" s="30"/>
      <c r="AD20" s="26"/>
      <c r="AE20" s="28" t="str">
        <f>IF(AD20=0,"",(AA20-AD20)/ABS(AD20))</f>
        <v/>
      </c>
      <c r="AF20" s="76"/>
      <c r="AG20" s="31"/>
    </row>
    <row r="21" spans="2:33" x14ac:dyDescent="0.2">
      <c r="J21" s="28"/>
      <c r="R21" s="28"/>
      <c r="T21" s="30">
        <f>+E30/C30</f>
        <v>0.64499782367700209</v>
      </c>
      <c r="U21" s="29"/>
      <c r="V21" s="16" t="s">
        <v>25</v>
      </c>
      <c r="W21" s="26">
        <f>+'COL. CONS.$'!U21/Paramet!C10*1000</f>
        <v>107564.80713304067</v>
      </c>
      <c r="X21" s="26">
        <f>+X10+X19</f>
        <v>102753.36845336373</v>
      </c>
      <c r="Y21" s="26">
        <f>'COLOMB$ '!W21/Paramet!$C$9*1000</f>
        <v>322530.8268121038</v>
      </c>
      <c r="Z21" s="26">
        <f>'COLOMB$ '!X21/Paramet!$C$10*1000</f>
        <v>542620.29411764711</v>
      </c>
      <c r="AA21" s="26">
        <f>+'COL. CONS.$'!Y21/Paramet!C8*1000</f>
        <v>473746.67225309851</v>
      </c>
      <c r="AB21" s="29">
        <f>+AA21-Z21</f>
        <v>-68873.621864548593</v>
      </c>
      <c r="AC21" s="30">
        <f>IF(Z21=0,"",(AA21-Z21)/ABS(Z21)+1)</f>
        <v>0.87307216001468624</v>
      </c>
      <c r="AD21" s="26">
        <f>'COLOMB$ '!AB21/Paramet!$C$9*1000</f>
        <v>599731.49041593831</v>
      </c>
      <c r="AE21" s="28">
        <f>IF(AD21=0,"",(AA21-AD21)/ABS(AD21))</f>
        <v>-0.21006870603953809</v>
      </c>
      <c r="AF21" s="76"/>
      <c r="AG21" s="31"/>
    </row>
    <row r="22" spans="2:33" x14ac:dyDescent="0.2">
      <c r="B22" s="16" t="s">
        <v>26</v>
      </c>
      <c r="C22" s="26">
        <f>+'COL. CONS.$'!C22/Paramet!$C$10*1000</f>
        <v>24263.235294117647</v>
      </c>
      <c r="D22" s="27">
        <f>+C22/$C$20</f>
        <v>9.6442065785658823E-2</v>
      </c>
      <c r="E22" s="26">
        <f>+'COL. CONS.$'!E22/Paramet!$C$8*1000</f>
        <v>21960.086398623353</v>
      </c>
      <c r="F22" s="27">
        <f>+E22/$E$20</f>
        <v>0.10878575257356951</v>
      </c>
      <c r="G22" s="27">
        <f>IF(C22=0,"",(E22-C22)/ABS(C22)+1)</f>
        <v>0.90507659561572695</v>
      </c>
      <c r="H22" s="26">
        <f>+'COL. CONS.$'!H22/Paramet!$C$9*1000</f>
        <v>10275.843071656824</v>
      </c>
      <c r="I22" s="27">
        <f>+H22/$H$20</f>
        <v>4.5467240721450634E-2</v>
      </c>
      <c r="J22" s="28">
        <f>IF(H22=0,"",(E22-H22)/ABS(H22))</f>
        <v>1.1370593386341605</v>
      </c>
      <c r="K22" s="26">
        <f>+'COL. CONS.$'!K22/Paramet!$C$10*1000</f>
        <v>147435.29411764705</v>
      </c>
      <c r="L22" s="27">
        <f>+K22/$K$20</f>
        <v>8.5341076590075102E-2</v>
      </c>
      <c r="M22" s="26">
        <f>+'COL. CONS.$'!M22/Paramet!$C$8*1000</f>
        <v>116669.86833476734</v>
      </c>
      <c r="N22" s="27">
        <f>+M22/$M$20</f>
        <v>8.7887751531417119E-2</v>
      </c>
      <c r="O22" s="27">
        <f>IF(K22=0,"",(M22-K22)/ABS(K22)+1)</f>
        <v>0.79132930166415771</v>
      </c>
      <c r="P22" s="26">
        <f>+'COL. CONS.$'!P22/Paramet!$C$9*1000</f>
        <v>68949.983890399919</v>
      </c>
      <c r="Q22" s="27">
        <f>+P22/$P$20</f>
        <v>5.7768987977356905E-2</v>
      </c>
      <c r="R22" s="28">
        <f>IF(P22=0,"",(M22-P22)/ABS(P22))</f>
        <v>0.69209420730570437</v>
      </c>
      <c r="T22" s="30">
        <f>+E32/C32</f>
        <v>0.76606117515216832</v>
      </c>
      <c r="U22" s="29"/>
      <c r="AE22" s="28"/>
      <c r="AF22" s="76"/>
      <c r="AG22" s="31"/>
    </row>
    <row r="23" spans="2:33" x14ac:dyDescent="0.2">
      <c r="J23" s="28"/>
      <c r="R23" s="28"/>
      <c r="T23" s="30">
        <f>+E33/C33</f>
        <v>0.73479099485867383</v>
      </c>
      <c r="U23" s="82">
        <v>2101</v>
      </c>
      <c r="V23" s="16" t="s">
        <v>27</v>
      </c>
      <c r="W23" s="26">
        <f>'COLOMB$ '!U23/Paramet!$C$10*1000</f>
        <v>1530.8823529411764</v>
      </c>
      <c r="X23" s="26">
        <f>'COLOMB$ '!V23/Paramet!$C$8*1000</f>
        <v>143.2051252238216</v>
      </c>
      <c r="Y23" s="26">
        <f>'COLOMB$ '!W23/Paramet!$C$9*1000</f>
        <v>10404.955686319121</v>
      </c>
      <c r="Z23" s="26">
        <f>'COLOMB$ '!X23/Paramet!$C$10*1000</f>
        <v>124936.76470588235</v>
      </c>
      <c r="AA23" s="26">
        <f>'COLOMB$ '!Y23/Paramet!$C$8*1000</f>
        <v>131902.89816989514</v>
      </c>
      <c r="AB23" s="29">
        <f>+AA23-Z23</f>
        <v>6966.1334640127898</v>
      </c>
      <c r="AC23" s="30">
        <f>IF(Z23=0,"",(AA23-Z23)/ABS(Z23)+1)</f>
        <v>1.0557572743332355</v>
      </c>
      <c r="AD23" s="26">
        <f>'COLOMB$ '!AB23/Paramet!$C$9*1000</f>
        <v>89042.163665884145</v>
      </c>
      <c r="AE23" s="28">
        <f>IF(AD23=0,"",(AA23-AD23)/ABS(AD23))</f>
        <v>0.48135324591660583</v>
      </c>
      <c r="AF23" s="76"/>
    </row>
    <row r="24" spans="2:33" x14ac:dyDescent="0.2">
      <c r="B24" s="16" t="s">
        <v>28</v>
      </c>
      <c r="C24" s="26">
        <f>C20-C22</f>
        <v>227320.29411764708</v>
      </c>
      <c r="D24" s="27">
        <f>+C24/$C$20</f>
        <v>0.90355793421434116</v>
      </c>
      <c r="E24" s="26">
        <f>E20-E22</f>
        <v>179905.37740622746</v>
      </c>
      <c r="F24" s="27">
        <f>+E24/$E$20</f>
        <v>0.89121424742643041</v>
      </c>
      <c r="G24" s="27">
        <f>IF(C24=0,"",(E24-C24)/ABS(C24)+1)</f>
        <v>0.79141802145091122</v>
      </c>
      <c r="H24" s="26">
        <f>+'COL. CONS.$'!H24/Paramet!$C$9*1000</f>
        <v>215729.58212250637</v>
      </c>
      <c r="I24" s="27">
        <f>+H24/$H$20</f>
        <v>0.95453275927854919</v>
      </c>
      <c r="J24" s="28">
        <f>IF(H24=0,"",(E24-H24)/ABS(H24))</f>
        <v>-0.16606069674735391</v>
      </c>
      <c r="K24" s="26">
        <f>K20-K22</f>
        <v>1580165.2941176472</v>
      </c>
      <c r="L24" s="27">
        <f>+K24/$K$20</f>
        <v>0.91465892340992494</v>
      </c>
      <c r="M24" s="26">
        <f>M20-M22</f>
        <v>1210817.3673929723</v>
      </c>
      <c r="N24" s="27">
        <f>+M24/$M$20</f>
        <v>0.91211224846858285</v>
      </c>
      <c r="O24" s="27">
        <f>IF(K24=0,"",(M24-K24)/ABS(K24)+1)</f>
        <v>0.76625994248853813</v>
      </c>
      <c r="P24" s="26">
        <f>P20-P22</f>
        <v>1124596.697547494</v>
      </c>
      <c r="Q24" s="27">
        <f>+P24/$P$20</f>
        <v>0.94223101202264314</v>
      </c>
      <c r="R24" s="28">
        <f>IF(P24=0,"",(M24-P24)/ABS(P24))</f>
        <v>7.6668080240238398E-2</v>
      </c>
      <c r="T24" s="30">
        <f>+E34/C34</f>
        <v>0.74898821076437117</v>
      </c>
      <c r="U24" s="29" t="s">
        <v>87</v>
      </c>
      <c r="AE24" s="28"/>
      <c r="AF24" s="76"/>
    </row>
    <row r="25" spans="2:33" x14ac:dyDescent="0.2">
      <c r="J25" s="28"/>
      <c r="R25" s="28"/>
      <c r="T25" s="30">
        <f>+E36/C36</f>
        <v>1.3006871046542656</v>
      </c>
      <c r="U25" s="82" t="s">
        <v>88</v>
      </c>
      <c r="V25" s="16" t="s">
        <v>29</v>
      </c>
      <c r="W25" s="26">
        <f>'COLOMB$ '!U25/Paramet!$C$10*1000</f>
        <v>94652.058823529413</v>
      </c>
      <c r="X25" s="26">
        <f>'COLOMB$ '!V25/Paramet!$C$8*1000</f>
        <v>68989.167774341331</v>
      </c>
      <c r="Y25" s="26">
        <f>'COLOMB$ '!W25/Paramet!$C$9*1000</f>
        <v>55910.866870223479</v>
      </c>
      <c r="Z25" s="26">
        <f>'COLOMB$ '!X25/Paramet!$C$10*1000</f>
        <v>381074.70588235295</v>
      </c>
      <c r="AA25" s="26">
        <f>'COLOMB$ '!Y25/Paramet!$C$8*1000</f>
        <v>300243.97287166002</v>
      </c>
      <c r="AB25" s="29">
        <f>+AA25-Z25</f>
        <v>-80830.733010692929</v>
      </c>
      <c r="AC25" s="30">
        <f>IF(Z25=0,"",(AA25-Z25)/ABS(Z25)+1)</f>
        <v>0.7878874358151513</v>
      </c>
      <c r="AD25" s="26">
        <f>'COLOMB$ '!AB25/Paramet!$C$9*1000</f>
        <v>286566.006117046</v>
      </c>
      <c r="AE25" s="28">
        <f>IF(AD25=0,"",(AA25-AD25)/ABS(AD25))</f>
        <v>4.7730597707487159E-2</v>
      </c>
    </row>
    <row r="26" spans="2:33" x14ac:dyDescent="0.2">
      <c r="B26" s="16" t="s">
        <v>30</v>
      </c>
      <c r="C26" s="26">
        <f>+'COL. CONS.$'!C26/Paramet!$C$10*1000</f>
        <v>58945</v>
      </c>
      <c r="D26" s="27">
        <f>+C26/$C$20</f>
        <v>0.23429594193952655</v>
      </c>
      <c r="E26" s="26">
        <f>+'COL. CONS.$'!E26/Paramet!$C$8*1000</f>
        <v>40545.702030090921</v>
      </c>
      <c r="F26" s="27">
        <f>+E26/$E$20</f>
        <v>0.20085507082721007</v>
      </c>
      <c r="G26" s="27">
        <f>IF(C26=0,"",(E26-C26)/ABS(C26)+1)</f>
        <v>0.68785651081670918</v>
      </c>
      <c r="H26" s="26">
        <f>+'COL. CONS.$'!H26/Paramet!$C$9*1000</f>
        <v>43768.290921641834</v>
      </c>
      <c r="I26" s="27">
        <f>+H26/$H$20</f>
        <v>0.19366035520625274</v>
      </c>
      <c r="J26" s="28">
        <f>IF(H26=0,"",(E26-H26)/ABS(H26))</f>
        <v>-7.3628392237665818E-2</v>
      </c>
      <c r="K26" s="26">
        <f>+'COL. CONS.$'!K26/Paramet!$C$10*1000</f>
        <v>397748.5294117647</v>
      </c>
      <c r="L26" s="27">
        <f>+K26/$K$20</f>
        <v>0.23023176312880053</v>
      </c>
      <c r="M26" s="26">
        <f>+'COL. CONS.$'!M26/Paramet!$C$8*1000</f>
        <v>307333.10900402296</v>
      </c>
      <c r="N26" s="27">
        <f>+M26/$M$20</f>
        <v>0.23151492589346093</v>
      </c>
      <c r="O26" s="27">
        <f>IF(K26=0,"",(M26-K26)/ABS(K26)+1)</f>
        <v>0.77268194921686262</v>
      </c>
      <c r="P26" s="26">
        <f>+'COL. CONS.$'!P26/Paramet!$C$9*1000</f>
        <v>278056.16528692725</v>
      </c>
      <c r="Q26" s="27">
        <f>+P26/$P$20</f>
        <v>0.23296630924560607</v>
      </c>
      <c r="R26" s="28">
        <f>IF(P26=0,"",(M26-P26)/ABS(P26))</f>
        <v>0.10529147478850079</v>
      </c>
      <c r="T26" s="30">
        <f>+E38/C38</f>
        <v>3.8492045198881475</v>
      </c>
      <c r="U26" s="82" t="s">
        <v>89</v>
      </c>
      <c r="AE26" s="28"/>
    </row>
    <row r="27" spans="2:33" x14ac:dyDescent="0.2">
      <c r="B27" s="16" t="s">
        <v>31</v>
      </c>
      <c r="C27" s="26">
        <f>+'COL. CONS.$'!C27/Paramet!$C$10*1000</f>
        <v>83390.294117647063</v>
      </c>
      <c r="D27" s="27">
        <f>+C27/$C$20</f>
        <v>0.33146165932493477</v>
      </c>
      <c r="E27" s="26">
        <f>+'COL. CONS.$'!E27/Paramet!$C$8*1000</f>
        <v>67020.100718554531</v>
      </c>
      <c r="F27" s="27">
        <f>+E27/$E$20</f>
        <v>0.33200379824923792</v>
      </c>
      <c r="G27" s="27">
        <f>IF(C27=0,"",(E27-C27)/ABS(C27)+1)</f>
        <v>0.8036918615972567</v>
      </c>
      <c r="H27" s="26">
        <f>+'COL. CONS.$'!H27/Paramet!$C$9*1000</f>
        <v>75568.662711873156</v>
      </c>
      <c r="I27" s="27">
        <f>+H27/$H$20</f>
        <v>0.33436658720449502</v>
      </c>
      <c r="J27" s="28">
        <f>IF(H27=0,"",(E27-H27)/ABS(H27))</f>
        <v>-0.11312310799930957</v>
      </c>
      <c r="K27" s="26">
        <f>+'COL. CONS.$'!K27/Paramet!$C$10*1000</f>
        <v>581764.1176470588</v>
      </c>
      <c r="L27" s="27">
        <f>+K27/$K$20</f>
        <v>0.33674688559889759</v>
      </c>
      <c r="M27" s="26">
        <f>+'COL. CONS.$'!M27/Paramet!$C$8*1000</f>
        <v>458845.31515708205</v>
      </c>
      <c r="N27" s="27">
        <f>+M27/$M$20</f>
        <v>0.34564951195597687</v>
      </c>
      <c r="O27" s="27">
        <f>IF(K27=0,"",(M27-K27)/ABS(K27)+1)</f>
        <v>0.78871367490466571</v>
      </c>
      <c r="P27" s="26">
        <f>+'COL. CONS.$'!P27/Paramet!$C$9*1000</f>
        <v>529683.70634818031</v>
      </c>
      <c r="Q27" s="27">
        <f>+P27/$P$20</f>
        <v>0.44378968546924186</v>
      </c>
      <c r="R27" s="28">
        <f>IF(P27=0,"",(M27-P27)/ABS(P27))</f>
        <v>-0.13373715359206012</v>
      </c>
      <c r="T27" s="30">
        <f>+E39/C39</f>
        <v>1.1180762128608654</v>
      </c>
      <c r="U27" s="29"/>
      <c r="V27" s="16" t="s">
        <v>32</v>
      </c>
      <c r="W27" s="26">
        <f>'COLOMB$ '!U27/Paramet!$C$10*1000</f>
        <v>-13948.529411764706</v>
      </c>
      <c r="X27" s="26">
        <f>'COLOMB$ '!V27/Paramet!$C$8*1000</f>
        <v>1886.2199381438502</v>
      </c>
      <c r="Y27" s="26">
        <f>'COLOMB$ '!W27/Paramet!$C$9*1000</f>
        <v>8366.8022275768635</v>
      </c>
      <c r="Z27" s="26">
        <f>'COLOMB$ '!X27/Paramet!$C$10*1000</f>
        <v>-57103.823529411762</v>
      </c>
      <c r="AA27" s="26">
        <f>'COLOMB$ '!Y27/Paramet!$C$8*1000</f>
        <v>-37486.781638490334</v>
      </c>
      <c r="AB27" s="29">
        <f>+AA27-Z27</f>
        <v>19617.041890921428</v>
      </c>
      <c r="AC27" s="30">
        <f>IF(Z27=0,"",(AA27-Z27)/ABS(Z27)+1)</f>
        <v>1.3435328963710726</v>
      </c>
      <c r="AD27" s="26">
        <f>'COLOMB$ '!AB27/Paramet!$C$9*1000</f>
        <v>-23724.998893450676</v>
      </c>
      <c r="AE27" s="28">
        <f>IF(AD27=0,"",(AA27-AD27)/ABS(AD27))</f>
        <v>-0.58005409428443089</v>
      </c>
    </row>
    <row r="28" spans="2:33" x14ac:dyDescent="0.2">
      <c r="B28" s="16" t="s">
        <v>33</v>
      </c>
      <c r="C28" s="26">
        <f>SUM(C26:C27)</f>
        <v>142335.29411764705</v>
      </c>
      <c r="D28" s="27">
        <f>+C28/$C$20</f>
        <v>0.56575760126446129</v>
      </c>
      <c r="E28" s="26">
        <f>SUM(E26:E27)</f>
        <v>107565.80274864545</v>
      </c>
      <c r="F28" s="27">
        <f>+E28/$E$20</f>
        <v>0.53285886907644797</v>
      </c>
      <c r="G28" s="27">
        <f>IF(C28=0,"",(E28-C28)/ABS(C28)+1)</f>
        <v>0.75572122441913159</v>
      </c>
      <c r="H28" s="26">
        <f>+'COL. CONS.$'!H28/Paramet!$C$9*1000</f>
        <v>119336.95363351499</v>
      </c>
      <c r="I28" s="27">
        <f>+H28/$H$20</f>
        <v>0.52802694241074777</v>
      </c>
      <c r="J28" s="28">
        <f>IF(H28=0,"",(E28-H28)/ABS(H28))</f>
        <v>-9.863793675359657E-2</v>
      </c>
      <c r="K28" s="26">
        <f>SUM(K26:K27)</f>
        <v>979512.6470588235</v>
      </c>
      <c r="L28" s="27">
        <f>+K28/$K$20</f>
        <v>0.5669786487276981</v>
      </c>
      <c r="M28" s="26">
        <f>SUM(M26:M27)</f>
        <v>766178.42416110495</v>
      </c>
      <c r="N28" s="27">
        <f>+M28/$M$20</f>
        <v>0.57716443784943772</v>
      </c>
      <c r="O28" s="27">
        <f>IF(K28=0,"",(M28-K28)/ABS(K28)+1)</f>
        <v>0.78220370759040647</v>
      </c>
      <c r="P28" s="26">
        <f>SUM(P26:P27)</f>
        <v>807739.87163510756</v>
      </c>
      <c r="Q28" s="27">
        <f>+P28/$P$20</f>
        <v>0.67675599471484793</v>
      </c>
      <c r="R28" s="28">
        <f>IF(P28=0,"",(M28-P28)/ABS(P28))</f>
        <v>-5.1454000147188206E-2</v>
      </c>
      <c r="T28" s="30">
        <f>+E41/C41</f>
        <v>1.3948959671900172</v>
      </c>
      <c r="U28" s="14"/>
      <c r="V28" s="16" t="s">
        <v>34</v>
      </c>
      <c r="W28" s="26">
        <f>'COLOMB$ '!U28/Paramet!$C$10*1000</f>
        <v>22794.117647058822</v>
      </c>
      <c r="X28" s="26">
        <f>'COLOMB$ '!V28/Paramet!$C$8*1000</f>
        <v>18553.066297700159</v>
      </c>
      <c r="Y28" s="26">
        <f>'COLOMB$ '!W28/Paramet!$C$9*1000</f>
        <v>0</v>
      </c>
      <c r="Z28" s="26">
        <f>'COLOMB$ '!X28/Paramet!$C$10*1000</f>
        <v>91176.470588235286</v>
      </c>
      <c r="AA28" s="26">
        <f>'COLOMB$ '!Y28/Paramet!$C$8*1000</f>
        <v>65904.735716112831</v>
      </c>
      <c r="AB28" s="29">
        <f>+AA28-Z28</f>
        <v>-25271.734872122455</v>
      </c>
      <c r="AC28" s="30">
        <f>IF(Z28=0,"",(AA28-Z28)/ABS(Z28)+1)</f>
        <v>0.72282613366059234</v>
      </c>
      <c r="AD28" s="26">
        <f>'COLOMB$ '!AB28/Paramet!$C$9*1000</f>
        <v>0</v>
      </c>
      <c r="AE28" s="28" t="str">
        <f>IF(AD28=0,"",(AA28-AD28)/ABS(AD28))</f>
        <v/>
      </c>
    </row>
    <row r="29" spans="2:33" x14ac:dyDescent="0.2">
      <c r="J29" s="28"/>
      <c r="R29" s="28"/>
      <c r="T29" s="21">
        <f>+E42/C42</f>
        <v>1.1889012071644305</v>
      </c>
      <c r="U29" s="21"/>
      <c r="AE29" s="2"/>
    </row>
    <row r="30" spans="2:33" x14ac:dyDescent="0.2">
      <c r="B30" s="16" t="s">
        <v>35</v>
      </c>
      <c r="C30" s="26">
        <f>+'COL. CONS.$'!C30/Paramet!$C$10*1000</f>
        <v>17435.588235294119</v>
      </c>
      <c r="D30" s="27">
        <f>+C30/$C$20</f>
        <v>6.9303377196674246E-2</v>
      </c>
      <c r="E30" s="26">
        <f>+'COL. CONS.$'!E30/Paramet!$C$8*1000</f>
        <v>11245.916466293049</v>
      </c>
      <c r="F30" s="27">
        <f>+E30/$E$20</f>
        <v>5.5709957782401065E-2</v>
      </c>
      <c r="G30" s="27">
        <f>IF(C30=0,"",(E30-C30)/ABS(C30)+1)</f>
        <v>0.6449978236770022</v>
      </c>
      <c r="H30" s="26">
        <f>+'COL. CONS.$'!H30/Paramet!$C$9*1000</f>
        <v>10248.650444170964</v>
      </c>
      <c r="I30" s="27">
        <f>+H30/$H$20</f>
        <v>4.5346922249172819E-2</v>
      </c>
      <c r="J30" s="28">
        <f>IF(H30=0,"",(E30-H30)/ABS(H30))</f>
        <v>9.7307057895538951E-2</v>
      </c>
      <c r="K30" s="26">
        <f>+'COL. CONS.$'!K30/Paramet!$C$10*1000</f>
        <v>106722.35294117646</v>
      </c>
      <c r="L30" s="27">
        <f>+K30/$K$20</f>
        <v>6.1774899631280508E-2</v>
      </c>
      <c r="M30" s="26">
        <f>+'COL. CONS.$'!M30/Paramet!$C$8*1000</f>
        <v>80342.203567192992</v>
      </c>
      <c r="N30" s="27">
        <f>+M30/$M$20</f>
        <v>6.0522015884505821E-2</v>
      </c>
      <c r="O30" s="27">
        <f>IF(K30=0,"",(M30-K30)/ABS(K30)+1)</f>
        <v>0.75281514465368138</v>
      </c>
      <c r="P30" s="26">
        <f>+'COL. CONS.$'!P30/Paramet!$C$9*1000</f>
        <v>73295.171083384193</v>
      </c>
      <c r="Q30" s="27">
        <f>+P30/$P$20</f>
        <v>6.140955542273703E-2</v>
      </c>
      <c r="R30" s="28">
        <f>IF(P30=0,"",(M30-P30)/ABS(P30))</f>
        <v>9.6145931302783191E-2</v>
      </c>
      <c r="T30" s="30">
        <f>+E43/C43</f>
        <v>1.8842461648959368</v>
      </c>
      <c r="U30" s="14"/>
      <c r="V30" s="33" t="s">
        <v>36</v>
      </c>
      <c r="W30" s="34">
        <f>+W21-W23-W25-W27-W28</f>
        <v>2536.2777212759647</v>
      </c>
      <c r="X30" s="34">
        <f>+X21-X23-X25-X27-X28</f>
        <v>13181.70931795457</v>
      </c>
      <c r="Y30" s="34">
        <f>+Y21-Y23-Y25-Y27-Y28</f>
        <v>247848.20202798434</v>
      </c>
      <c r="Z30" s="34">
        <f>'COLOMB$ '!X30/Paramet!$C$10*1000</f>
        <v>2536.1764705882351</v>
      </c>
      <c r="AA30" s="34">
        <f>+'COL. CONS.$'!Y30/Paramet!C8*1000</f>
        <v>13181.847133920781</v>
      </c>
      <c r="AB30" s="38">
        <f>+AA30-Z30</f>
        <v>10645.670663332545</v>
      </c>
      <c r="AC30" s="39">
        <f>IF(W30=0,"",(X30-W30)/ABS(W30)+1)</f>
        <v>5.1972657439592389</v>
      </c>
      <c r="AD30" s="34">
        <f>+AD21-AD23-AD25-AD27-AD28</f>
        <v>247848.31952645883</v>
      </c>
      <c r="AE30" s="28">
        <f>IF(AD30=0,"",(AA30-AD30)/ABS(AD30))</f>
        <v>-0.94681486177067431</v>
      </c>
    </row>
    <row r="31" spans="2:33" x14ac:dyDescent="0.2">
      <c r="J31" s="28"/>
      <c r="R31" s="28"/>
      <c r="T31" s="30">
        <f>+E45/C45</f>
        <v>1.0741774975475145</v>
      </c>
      <c r="U31" s="14"/>
      <c r="W31" s="76"/>
      <c r="X31" s="76"/>
      <c r="Y31" s="76"/>
      <c r="Z31" s="76"/>
      <c r="AA31" s="76"/>
      <c r="AB31" s="76"/>
    </row>
    <row r="32" spans="2:33" x14ac:dyDescent="0.2">
      <c r="B32" s="16" t="s">
        <v>37</v>
      </c>
      <c r="C32" s="26">
        <f>+'COL. CONS.$'!C31/Paramet!$C$10*1000</f>
        <v>50066.764705882357</v>
      </c>
      <c r="D32" s="27">
        <f>+C32/$C$20</f>
        <v>0.19900652806225042</v>
      </c>
      <c r="E32" s="26">
        <f>+'COL. CONS.$'!E31/Paramet!$C$8*1000</f>
        <v>38354.204606655345</v>
      </c>
      <c r="F32" s="27">
        <f>+E32/$E$20</f>
        <v>0.18999884320843244</v>
      </c>
      <c r="G32" s="27">
        <f>IF(C32=0,"",(E32-C32)/ABS(C32)+1)</f>
        <v>0.76606117515216832</v>
      </c>
      <c r="H32" s="26">
        <f>+'COL. CONS.$'!H31/Paramet!$C$9*1000</f>
        <v>41293.929540213241</v>
      </c>
      <c r="I32" s="27">
        <f>+H32/$H$20</f>
        <v>0.18271211633409803</v>
      </c>
      <c r="J32" s="28">
        <f>IF(H32=0,"",(E32-H32)/ABS(H32))</f>
        <v>-7.1190244335916392E-2</v>
      </c>
      <c r="K32" s="26">
        <f>+'COL. CONS.$'!K31/Paramet!$C$10*1000</f>
        <v>365792.05882352946</v>
      </c>
      <c r="L32" s="27">
        <f>+K32/$K$20</f>
        <v>0.2117341596862837</v>
      </c>
      <c r="M32" s="26">
        <f>+'COL. CONS.$'!M31/Paramet!$C$8*1000</f>
        <v>275921.74169011455</v>
      </c>
      <c r="N32" s="27">
        <f>+M32/$M$20</f>
        <v>0.20785265143348208</v>
      </c>
      <c r="O32" s="27">
        <f>IF(K32=0,"",(M32-K32)/ABS(K32)+1)</f>
        <v>0.75431309957231352</v>
      </c>
      <c r="P32" s="26">
        <f>+'COL. CONS.$'!P31/Paramet!$C$9*1000</f>
        <v>278974.59777707682</v>
      </c>
      <c r="Q32" s="27">
        <f>+P32/$P$20</f>
        <v>0.23373580783701695</v>
      </c>
      <c r="R32" s="28">
        <f>IF(P32=0,"",(M32-P32)/ABS(P32))</f>
        <v>-1.0943132856138222E-2</v>
      </c>
      <c r="T32" s="30">
        <f>+E46/C46</f>
        <v>0.74157506139019025</v>
      </c>
      <c r="U32" s="14"/>
    </row>
    <row r="33" spans="2:27" x14ac:dyDescent="0.2">
      <c r="B33" s="16" t="s">
        <v>38</v>
      </c>
      <c r="C33" s="26">
        <f>SUM(C30:C32)</f>
        <v>67502.352941176476</v>
      </c>
      <c r="D33" s="27">
        <f>+C33/$C$20</f>
        <v>0.26830990525892462</v>
      </c>
      <c r="E33" s="26">
        <f>SUM(E30:E32)</f>
        <v>49600.121072948394</v>
      </c>
      <c r="F33" s="27">
        <f>+E33/$E$20</f>
        <v>0.2457088009908335</v>
      </c>
      <c r="G33" s="27">
        <f>IF(C33=0,"",(E33-C33)/ABS(C33)+1)</f>
        <v>0.73479099485867394</v>
      </c>
      <c r="H33" s="26">
        <f>SUM(H30:H32)</f>
        <v>51542.579984384203</v>
      </c>
      <c r="I33" s="27">
        <f>+H33/$H$20</f>
        <v>0.22805903858327084</v>
      </c>
      <c r="J33" s="28">
        <f>IF(H33=0,"",(E33-H33)/ABS(H33))</f>
        <v>-3.7686489733814534E-2</v>
      </c>
      <c r="K33" s="26">
        <f>SUM(K30:K32)</f>
        <v>472514.4117647059</v>
      </c>
      <c r="L33" s="27">
        <f>+K33/$K$20</f>
        <v>0.2735090593175642</v>
      </c>
      <c r="M33" s="26">
        <f>SUM(M30:M32)</f>
        <v>356263.94525730755</v>
      </c>
      <c r="N33" s="27">
        <f>+M33/$M$20</f>
        <v>0.26837466731798792</v>
      </c>
      <c r="O33" s="27">
        <f>IF(K33=0,"",(M33-K33)/ABS(K33)+1)</f>
        <v>0.75397477068850416</v>
      </c>
      <c r="P33" s="26">
        <f>SUM(P30:P32)</f>
        <v>352269.76886046102</v>
      </c>
      <c r="Q33" s="27">
        <f>+P33/$P$20</f>
        <v>0.29514536325975399</v>
      </c>
      <c r="R33" s="28">
        <f>IF(P33=0,"",(M33-P33)/ABS(P33))</f>
        <v>1.1338402411785405E-2</v>
      </c>
    </row>
    <row r="34" spans="2:27" x14ac:dyDescent="0.2">
      <c r="B34" s="16" t="s">
        <v>39</v>
      </c>
      <c r="C34" s="26">
        <f>+C28+C33</f>
        <v>209837.64705882352</v>
      </c>
      <c r="D34" s="27">
        <f>+C34/$C$20</f>
        <v>0.8340675065233859</v>
      </c>
      <c r="E34" s="26">
        <f>+E28+E33</f>
        <v>157165.92382159384</v>
      </c>
      <c r="F34" s="27">
        <f>+E34/$E$20</f>
        <v>0.77856767006728145</v>
      </c>
      <c r="G34" s="27">
        <f>IF(C34=0,"",(E34-C34)/ABS(C34)+1)</f>
        <v>0.74898821076437117</v>
      </c>
      <c r="H34" s="26">
        <f>+H28+H33</f>
        <v>170879.5336178992</v>
      </c>
      <c r="I34" s="27">
        <f>+H34/$H$20</f>
        <v>0.75608598099401869</v>
      </c>
      <c r="J34" s="28">
        <f>IF(H34=0,"",(E34-H34)/ABS(H34))</f>
        <v>-8.0253085351755057E-2</v>
      </c>
      <c r="K34" s="26">
        <f>+K28+K33</f>
        <v>1452027.0588235294</v>
      </c>
      <c r="L34" s="27">
        <f>+K34/$K$20</f>
        <v>0.84048770804526229</v>
      </c>
      <c r="M34" s="26">
        <f>+M28+M33</f>
        <v>1122442.3694184124</v>
      </c>
      <c r="N34" s="27">
        <f>+M34/$M$20</f>
        <v>0.84553910516742559</v>
      </c>
      <c r="O34" s="27">
        <f>IF(K34=0,"",(M34-K34)/ABS(K34)+1)</f>
        <v>0.77301752925172407</v>
      </c>
      <c r="P34" s="26">
        <f>+P28+P33</f>
        <v>1160009.6404955685</v>
      </c>
      <c r="Q34" s="27">
        <f>+P34/$P$20</f>
        <v>0.97190135797460186</v>
      </c>
      <c r="R34" s="28">
        <f>IF(P34=0,"",(M34-P34)/ABS(P34))</f>
        <v>-3.2385309367866051E-2</v>
      </c>
    </row>
    <row r="35" spans="2:27" x14ac:dyDescent="0.2">
      <c r="J35" s="28"/>
      <c r="R35" s="28"/>
    </row>
    <row r="36" spans="2:27" x14ac:dyDescent="0.2">
      <c r="B36" s="16" t="s">
        <v>40</v>
      </c>
      <c r="C36" s="26">
        <f>C24-C34</f>
        <v>17482.647058823553</v>
      </c>
      <c r="D36" s="27">
        <f>+C36/$C$20</f>
        <v>6.9490427690955259E-2</v>
      </c>
      <c r="E36" s="26">
        <f>E24-E34</f>
        <v>22739.453584633622</v>
      </c>
      <c r="F36" s="27">
        <f>+E36/$E$20</f>
        <v>0.11264657735914901</v>
      </c>
      <c r="G36" s="27">
        <f>IF(C36=0,"",(E36-C36)/ABS(C36)+1)</f>
        <v>1.3006871046542656</v>
      </c>
      <c r="H36" s="26">
        <f>H24-H34</f>
        <v>44850.04850460717</v>
      </c>
      <c r="I36" s="27">
        <f>+H36/$H$20</f>
        <v>0.19844677828453058</v>
      </c>
      <c r="J36" s="28">
        <f>IF(H36=0,"",(E36-H36)/ABS(H36))</f>
        <v>-0.49298932012754149</v>
      </c>
      <c r="K36" s="26">
        <f>K24-K34</f>
        <v>128138.23529411783</v>
      </c>
      <c r="L36" s="27">
        <f>+K36/$K$20</f>
        <v>7.4171215364662618E-2</v>
      </c>
      <c r="M36" s="26">
        <f>M24-M34</f>
        <v>88374.997974559898</v>
      </c>
      <c r="N36" s="27">
        <f>+M36/$M$20</f>
        <v>6.6573143301157225E-2</v>
      </c>
      <c r="O36" s="27">
        <f>IF(K36=0,"",(M36-K36)/ABS(K36)+1)</f>
        <v>0.68968483740790787</v>
      </c>
      <c r="P36" s="26">
        <f>P24-P34</f>
        <v>-35412.942948074546</v>
      </c>
      <c r="Q36" s="27">
        <f>+P36/$P$20</f>
        <v>-2.9670345951958697E-2</v>
      </c>
      <c r="R36" s="28">
        <f>IF(P36=0,"",(M36-P36)/ABS(P36))</f>
        <v>3.4955564439855449</v>
      </c>
      <c r="Z36" s="31"/>
      <c r="AA36" s="31"/>
    </row>
    <row r="37" spans="2:27" ht="11.25" customHeight="1" x14ac:dyDescent="0.2">
      <c r="J37" s="28"/>
      <c r="R37" s="28"/>
    </row>
    <row r="38" spans="2:27" x14ac:dyDescent="0.2">
      <c r="B38" s="16" t="s">
        <v>41</v>
      </c>
      <c r="C38" s="26">
        <f>+'COL. CONS.$'!C38/Paramet!$C$10*1000</f>
        <v>188.23529411764704</v>
      </c>
      <c r="D38" s="27">
        <f>+C38/$C$20</f>
        <v>7.4820197712372448E-4</v>
      </c>
      <c r="E38" s="26">
        <f>+'COL. CONS.$'!E38/Paramet!$C$8*1000</f>
        <v>724.55614492012182</v>
      </c>
      <c r="F38" s="27">
        <f>+E38/$E$20</f>
        <v>3.589302158295741E-3</v>
      </c>
      <c r="G38" s="27">
        <f>IF(C38=0,"",(E38-C38)/ABS(C38)+1)</f>
        <v>3.8492045198881475</v>
      </c>
      <c r="H38" s="26">
        <f>+'COL. CONS.$'!H38/Paramet!$C$9*1000</f>
        <v>1795.566051687229</v>
      </c>
      <c r="I38" s="27">
        <f>+H38/$H$20</f>
        <v>7.9447918126064575E-3</v>
      </c>
      <c r="J38" s="28">
        <f>IF(H38=0,"",(E38-H38)/ABS(H38))</f>
        <v>-0.59647480289612154</v>
      </c>
      <c r="K38" s="26">
        <f>+'COL. CONS.$'!K38/Paramet!$C$10*1000</f>
        <v>1317.6470588235295</v>
      </c>
      <c r="L38" s="27">
        <f>+K38/$K$20</f>
        <v>7.6270352522250339E-4</v>
      </c>
      <c r="M38" s="26">
        <f>+'COL. CONS.$'!M38/Paramet!$C$8*1000</f>
        <v>3210.5618910308581</v>
      </c>
      <c r="N38" s="27">
        <f>+M38/$M$20</f>
        <v>2.4185256209042199E-3</v>
      </c>
      <c r="O38" s="27">
        <f>IF(K38=0,"",(M38-K38)/ABS(K38)+1)</f>
        <v>2.4365871494430618</v>
      </c>
      <c r="P38" s="26">
        <f>+'COL. CONS.$'!P38/Paramet!$C$9*1000</f>
        <v>49436.588829022614</v>
      </c>
      <c r="Q38" s="27">
        <f>+P38/$P$20</f>
        <v>4.141990388634418E-2</v>
      </c>
      <c r="R38" s="28">
        <f>IF(P38=0,"",(M38-P38)/ABS(P38))</f>
        <v>-0.93505696960333073</v>
      </c>
    </row>
    <row r="39" spans="2:27" x14ac:dyDescent="0.2">
      <c r="B39" s="16" t="s">
        <v>42</v>
      </c>
      <c r="C39" s="26">
        <f>+'COL. CONS.$'!C39/Paramet!$C$10*1000</f>
        <v>4280.8823529411766</v>
      </c>
      <c r="D39" s="27">
        <f>+C39/$C$20</f>
        <v>1.7015749651618454E-2</v>
      </c>
      <c r="E39" s="26">
        <f>+'COL. CONS.$'!E39/Paramet!$C$8*1000</f>
        <v>4786.3527288793812</v>
      </c>
      <c r="F39" s="27">
        <f>+E39/$E$20</f>
        <v>2.3710607246351396E-2</v>
      </c>
      <c r="G39" s="27">
        <f>IF(C39=0,"",(E39-C39)/ABS(C39)+1)</f>
        <v>1.1180762128608654</v>
      </c>
      <c r="H39" s="26">
        <f>+'COL. CONS.$'!H39/Paramet!$C$9*1000</f>
        <v>7908.9262515900191</v>
      </c>
      <c r="I39" s="27">
        <f>+H39/$H$20</f>
        <v>3.4994408850121152E-2</v>
      </c>
      <c r="J39" s="28">
        <f>IF(H39=0,"",(E39-H39)/ABS(H39))</f>
        <v>-0.39481636613856053</v>
      </c>
      <c r="K39" s="26">
        <f>+'COL. CONS.$'!K39/Paramet!$C$10*1000</f>
        <v>31306.176470588234</v>
      </c>
      <c r="L39" s="27">
        <f>+K39/$K$20</f>
        <v>1.8121188823260821E-2</v>
      </c>
      <c r="M39" s="26">
        <f>+'COL. CONS.$'!M39/Paramet!$C$8*1000</f>
        <v>29873.828407320416</v>
      </c>
      <c r="N39" s="27">
        <f>+M39/$M$20</f>
        <v>2.2504041924699434E-2</v>
      </c>
      <c r="O39" s="27">
        <f>IF(K39=0,"",(M39-K39)/ABS(K39)+1)</f>
        <v>0.95424710952442593</v>
      </c>
      <c r="P39" s="26">
        <f>+'COL. CONS.$'!P39/Paramet!$C$9*1000</f>
        <v>50395.092063352531</v>
      </c>
      <c r="Q39" s="27">
        <f>+P39/$P$20</f>
        <v>4.2222975311397438E-2</v>
      </c>
      <c r="R39" s="28">
        <f>IF(P39=0,"",(M39-P39)/ABS(P39))</f>
        <v>-0.40720758343361063</v>
      </c>
    </row>
    <row r="40" spans="2:27" x14ac:dyDescent="0.2">
      <c r="J40" s="28"/>
      <c r="R40" s="28"/>
    </row>
    <row r="41" spans="2:27" x14ac:dyDescent="0.2">
      <c r="B41" s="16" t="s">
        <v>43</v>
      </c>
      <c r="C41" s="26">
        <f>+C36+C38-C39</f>
        <v>13390.000000000024</v>
      </c>
      <c r="D41" s="27">
        <f>+C41/$C$20</f>
        <v>5.3222880016460535E-2</v>
      </c>
      <c r="E41" s="26">
        <f>E36+E38-E39</f>
        <v>18677.657000674364</v>
      </c>
      <c r="F41" s="27">
        <f>+E41/$E$20</f>
        <v>9.2525272271093362E-2</v>
      </c>
      <c r="G41" s="27">
        <f>IF(C41=0,"",(E41-C41)/ABS(C41)+1)</f>
        <v>1.3948959671900172</v>
      </c>
      <c r="H41" s="26">
        <f>+H36+H38-H39</f>
        <v>38736.688304704381</v>
      </c>
      <c r="I41" s="27">
        <f>+H41/$H$20</f>
        <v>0.1713971612470159</v>
      </c>
      <c r="J41" s="28">
        <f>IF(H41=0,"",(E41-H41)/ABS(H41))</f>
        <v>-0.51783030976331412</v>
      </c>
      <c r="K41" s="26">
        <f>K36+K38-K39</f>
        <v>98149.705882353112</v>
      </c>
      <c r="L41" s="27">
        <f>+K41/$K$20</f>
        <v>5.6812730066624288E-2</v>
      </c>
      <c r="M41" s="26">
        <f>M36+M38-M39</f>
        <v>61711.73145827034</v>
      </c>
      <c r="N41" s="27">
        <f>+M41/$M$20</f>
        <v>4.648762699736201E-2</v>
      </c>
      <c r="O41" s="27">
        <f>IF(K41=0,"",(M41-K41)/ABS(K41)+1)</f>
        <v>0.62875105843150414</v>
      </c>
      <c r="P41" s="26">
        <f>P36+P38-P39</f>
        <v>-36371.446182404463</v>
      </c>
      <c r="Q41" s="27">
        <f>+P41/$P$20</f>
        <v>-3.0473417377011956E-2</v>
      </c>
      <c r="R41" s="28">
        <f>IF(P41=0,"",(M41-P41)/ABS(P41))</f>
        <v>2.6967082130521618</v>
      </c>
    </row>
    <row r="42" spans="2:27" x14ac:dyDescent="0.2">
      <c r="B42" s="16" t="s">
        <v>29</v>
      </c>
      <c r="C42" s="26">
        <f>+'COL. CONS.$'!C42/Paramet!$C$10*1000</f>
        <v>9423.2352941176468</v>
      </c>
      <c r="D42" s="27">
        <f>+C42/$C$20</f>
        <v>3.7455692414167199E-2</v>
      </c>
      <c r="E42" s="26">
        <f>+'COL. CONS.$'!E42/Paramet!$C$8*1000</f>
        <v>11203.295816570937</v>
      </c>
      <c r="F42" s="27">
        <f>+E42/$E$20</f>
        <v>5.5498823847359484E-2</v>
      </c>
      <c r="G42" s="27">
        <f>IF(C42=0,"",(E42-C42)/ABS(C42)+1)</f>
        <v>1.1889012071644305</v>
      </c>
      <c r="H42" s="26">
        <f>+'COL. CONS.$'!H42/Paramet!$C$9*1000</f>
        <v>19153.741325997707</v>
      </c>
      <c r="I42" s="27">
        <f>+H42/$H$20</f>
        <v>8.4749033389541692E-2</v>
      </c>
      <c r="J42" s="28">
        <f>IF(H42=0,"",(E42-H42)/ABS(H42))</f>
        <v>-0.41508577223163667</v>
      </c>
      <c r="K42" s="26">
        <f>+'COL. CONS.$'!K42/Paramet!$C$10*1000</f>
        <v>67285</v>
      </c>
      <c r="L42" s="27">
        <f>+K42/$K$20</f>
        <v>3.8947080973577429E-2</v>
      </c>
      <c r="M42" s="26">
        <f>+'COL. CONS.$'!M42/Paramet!$C$8*1000</f>
        <v>54364.752924214583</v>
      </c>
      <c r="N42" s="27">
        <f>+M42/$M$20</f>
        <v>4.0953126675008188E-2</v>
      </c>
      <c r="O42" s="27">
        <f>IF(K42=0,"",(M42-K42)/ABS(K42)+1)</f>
        <v>0.80797730436523119</v>
      </c>
      <c r="P42" s="26">
        <f>+'COL. CONS.$'!P42/Paramet!$C$9*1000</f>
        <v>59671.965521164049</v>
      </c>
      <c r="Q42" s="27">
        <f>+P42/$P$20</f>
        <v>4.9995502018635611E-2</v>
      </c>
      <c r="R42" s="28">
        <f>IF(P42=0,"",(M42-P42)/ABS(P42))</f>
        <v>-8.8939798623980978E-2</v>
      </c>
    </row>
    <row r="43" spans="2:27" x14ac:dyDescent="0.2">
      <c r="B43" s="33" t="s">
        <v>44</v>
      </c>
      <c r="C43" s="34">
        <f>C41-C42</f>
        <v>3966.7647058823768</v>
      </c>
      <c r="D43" s="35">
        <f>+C43/$C$20</f>
        <v>1.5767187602293332E-2</v>
      </c>
      <c r="E43" s="34">
        <f>E41-E42</f>
        <v>7474.3611841034271</v>
      </c>
      <c r="F43" s="35">
        <f>+E43/$E$20</f>
        <v>3.7026448423733878E-2</v>
      </c>
      <c r="G43" s="35">
        <f>IF(C43=0,"",(E43-C43)/ABS(C43)+1)</f>
        <v>1.8842461648959368</v>
      </c>
      <c r="H43" s="34">
        <f>H41-H42</f>
        <v>19582.946978706674</v>
      </c>
      <c r="I43" s="35">
        <f>+H43/$H$20</f>
        <v>8.6648127857474194E-2</v>
      </c>
      <c r="J43" s="36">
        <f>IF(H43=0,"",(E43-H43)/ABS(H43))</f>
        <v>-0.61832296271696996</v>
      </c>
      <c r="K43" s="34">
        <f>K41-K42</f>
        <v>30864.705882353112</v>
      </c>
      <c r="L43" s="35">
        <f>+K43/$K$20</f>
        <v>1.7865649093046863E-2</v>
      </c>
      <c r="M43" s="34">
        <f>M41-M42</f>
        <v>7346.9785340557573</v>
      </c>
      <c r="N43" s="35">
        <f>+M43/$M$20</f>
        <v>5.5345003223538202E-3</v>
      </c>
      <c r="O43" s="35">
        <f>IF(K43=0,"",(M43-K43)/ABS(K43)+1)</f>
        <v>0.23803818387449438</v>
      </c>
      <c r="P43" s="34">
        <f>P41-P42</f>
        <v>-96043.411703568505</v>
      </c>
      <c r="Q43" s="35">
        <f>+P43/$P$20</f>
        <v>-8.0468919395647556E-2</v>
      </c>
      <c r="R43" s="36">
        <f>IF(P43=0,"",(M43-P43)/ABS(P43))</f>
        <v>1.0764964343075578</v>
      </c>
    </row>
    <row r="44" spans="2:27" x14ac:dyDescent="0.2">
      <c r="J44" s="28"/>
      <c r="R44" s="28"/>
    </row>
    <row r="45" spans="2:27" x14ac:dyDescent="0.2">
      <c r="B45" s="16" t="s">
        <v>45</v>
      </c>
      <c r="C45" s="26">
        <f>+'COL. CONS.$'!C45/Paramet!$C$10*1000</f>
        <v>41559.411764705888</v>
      </c>
      <c r="D45" s="27">
        <f>+C45/$C$20</f>
        <v>0.16519130589302583</v>
      </c>
      <c r="E45" s="26">
        <f>+'COL. CONS.$'!E45/Paramet!$C$8*1000</f>
        <v>44642.184928958501</v>
      </c>
      <c r="F45" s="27">
        <f>+E45/$E$20</f>
        <v>0.22114820478710212</v>
      </c>
      <c r="G45" s="27">
        <f>IF(C45=0,"",(E45-C45)/ABS(C45)+1)</f>
        <v>1.0741774975475145</v>
      </c>
      <c r="H45" s="26">
        <f>+'COL. CONS.$'!H45/Paramet!$C$9*1000</f>
        <v>27804.314156592216</v>
      </c>
      <c r="I45" s="27">
        <f>+H45/$H$20</f>
        <v>0.12302498549627863</v>
      </c>
      <c r="J45" s="28">
        <f>IF(H45=0,"",(E45-H45)/ABS(H45))</f>
        <v>0.60558482678394487</v>
      </c>
      <c r="K45" s="26">
        <f>+'COL. CONS.$'!K45/Paramet!$C$10*1000</f>
        <v>302715.5882352941</v>
      </c>
      <c r="L45" s="27">
        <f>+K45/$K$20</f>
        <v>0.1752231333427082</v>
      </c>
      <c r="M45" s="26">
        <f>+'COL. CONS.$'!M45/Paramet!$C$8*1000</f>
        <v>243700.07984791769</v>
      </c>
      <c r="N45" s="27">
        <f>+M45/$M$20</f>
        <v>0.1835799797459591</v>
      </c>
      <c r="O45" s="27">
        <f>IF(K45=0,"",(M45-K45)/ABS(K45)+1)</f>
        <v>0.80504635148981829</v>
      </c>
      <c r="P45" s="26">
        <f>+'COL. CONS.$'!P45/Paramet!$C$9*1000</f>
        <v>228237.94020496999</v>
      </c>
      <c r="Q45" s="27">
        <f>+P45/$P$20</f>
        <v>0.19122665560931926</v>
      </c>
      <c r="R45" s="28">
        <f>IF(P45=0,"",(M45-P45)/ABS(P45))</f>
        <v>6.7745702704212402E-2</v>
      </c>
    </row>
    <row r="46" spans="2:27" x14ac:dyDescent="0.2">
      <c r="B46" s="16" t="s">
        <v>20</v>
      </c>
      <c r="C46" s="26">
        <f>+'COL. CONS.$'!C46/Paramet!$C$10*1000</f>
        <v>112114.70588235294</v>
      </c>
      <c r="D46" s="27">
        <f>+C46/$C$20</f>
        <v>0.44563611196842584</v>
      </c>
      <c r="E46" s="26">
        <f>+'COL. CONS.$'!E46/Paramet!$C$8*1000</f>
        <v>83141.469897449002</v>
      </c>
      <c r="F46" s="27">
        <f>+E46/$E$20</f>
        <v>0.41186574627656103</v>
      </c>
      <c r="G46" s="27">
        <f>IF(C46=0,"",(E46-C46)/ABS(C46)+1)</f>
        <v>0.74157506139019025</v>
      </c>
      <c r="H46" s="26">
        <f>+'COL. CONS.$'!H46/Paramet!$C$9*1000</f>
        <v>84910.566511887635</v>
      </c>
      <c r="I46" s="27">
        <f>+H46/$H$20</f>
        <v>0.37570145247150694</v>
      </c>
      <c r="J46" s="28">
        <f>IF(H46=0,"",(E46-H46)/ABS(H46))</f>
        <v>-2.0834822886159361E-2</v>
      </c>
      <c r="K46" s="26">
        <f>+'COL. CONS.$'!K46/Paramet!$C$10*1000</f>
        <v>740912.6470588235</v>
      </c>
      <c r="L46" s="27">
        <f>+K46/$K$20</f>
        <v>0.42886802198629104</v>
      </c>
      <c r="M46" s="26">
        <f>+'COL. CONS.$'!M46/Paramet!$C$8*1000</f>
        <v>562262.63074669207</v>
      </c>
      <c r="N46" s="27">
        <f>+M46/$M$20</f>
        <v>0.4235540769161934</v>
      </c>
      <c r="O46" s="27">
        <f>IF(K46=0,"",(M46-K46)/ABS(K46)+1)</f>
        <v>0.758878435911018</v>
      </c>
      <c r="P46" s="26">
        <f>+'COL. CONS.$'!P46/Paramet!$C$9*1000</f>
        <v>577793.3762164287</v>
      </c>
      <c r="Q46" s="27">
        <f>+P46/$P$20</f>
        <v>0.48409784485374918</v>
      </c>
      <c r="R46" s="28">
        <f>IF(P46=0,"",(M46-P46)/ABS(P46))</f>
        <v>-2.6879410718476562E-2</v>
      </c>
    </row>
    <row r="48" spans="2:27" x14ac:dyDescent="0.2">
      <c r="P48" s="21"/>
    </row>
  </sheetData>
  <conditionalFormatting sqref="R10:R46">
    <cfRule type="cellIs" dxfId="63" priority="3" operator="lessThan">
      <formula>0</formula>
    </cfRule>
  </conditionalFormatting>
  <conditionalFormatting sqref="J10:J46">
    <cfRule type="cellIs" dxfId="62" priority="2" operator="lessThan">
      <formula>0</formula>
    </cfRule>
  </conditionalFormatting>
  <conditionalFormatting sqref="AE19:AE28 AE30 AE10:AE11 AE13:AE17">
    <cfRule type="cellIs" dxfId="61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28CDF-EB41-45FA-9350-4EF296BDB2D8}">
  <sheetPr>
    <tabColor theme="0" tint="-0.249977111117893"/>
  </sheetPr>
  <dimension ref="A1:AI74"/>
  <sheetViews>
    <sheetView showGridLines="0" topLeftCell="A27" zoomScaleNormal="100" workbookViewId="0">
      <selection activeCell="T33" sqref="T33:AC44"/>
    </sheetView>
  </sheetViews>
  <sheetFormatPr baseColWidth="10" defaultRowHeight="12.75" x14ac:dyDescent="0.2"/>
  <cols>
    <col min="1" max="1" width="3.42578125" style="2" customWidth="1"/>
    <col min="2" max="2" width="30.7109375" style="2" customWidth="1"/>
    <col min="3" max="3" width="10.140625" style="2" customWidth="1"/>
    <col min="4" max="4" width="8.5703125" style="2" customWidth="1"/>
    <col min="5" max="7" width="10.7109375" style="2" customWidth="1"/>
    <col min="8" max="8" width="9.7109375" style="2" customWidth="1"/>
    <col min="9" max="9" width="7.85546875" style="2" customWidth="1"/>
    <col min="10" max="10" width="6.5703125" style="2" bestFit="1" customWidth="1"/>
    <col min="11" max="11" width="11.5703125" style="2" customWidth="1"/>
    <col min="12" max="12" width="7.140625" style="2" customWidth="1"/>
    <col min="13" max="13" width="9.85546875" style="2" customWidth="1"/>
    <col min="14" max="14" width="10.85546875" style="2" customWidth="1"/>
    <col min="15" max="15" width="6.140625" style="2" customWidth="1"/>
    <col min="16" max="16" width="10.140625" style="2" customWidth="1"/>
    <col min="17" max="17" width="6.85546875" style="2" customWidth="1"/>
    <col min="18" max="18" width="10.140625" style="2" bestFit="1" customWidth="1"/>
    <col min="19" max="19" width="10.140625" style="2" customWidth="1"/>
    <col min="20" max="20" width="8.5703125" style="2" customWidth="1"/>
    <col min="21" max="21" width="22.7109375" style="2" customWidth="1"/>
    <col min="22" max="23" width="10.140625" style="2" customWidth="1"/>
    <col min="24" max="24" width="9.85546875" style="2" customWidth="1"/>
    <col min="25" max="25" width="10.42578125" style="2" customWidth="1"/>
    <col min="26" max="28" width="11.5703125" style="2" customWidth="1"/>
    <col min="29" max="29" width="9.28515625" style="2" customWidth="1"/>
    <col min="30" max="30" width="10.28515625" style="2" customWidth="1"/>
    <col min="31" max="31" width="3.85546875" style="2" customWidth="1"/>
    <col min="32" max="34" width="11.5703125" style="2" customWidth="1"/>
    <col min="35" max="16384" width="11.42578125" style="2"/>
  </cols>
  <sheetData>
    <row r="1" spans="1:34" s="46" customFormat="1" x14ac:dyDescent="0.2"/>
    <row r="2" spans="1:34" x14ac:dyDescent="0.2">
      <c r="Z2" s="46"/>
      <c r="AA2" s="46"/>
      <c r="AB2" s="46"/>
    </row>
    <row r="3" spans="1:34" ht="18" x14ac:dyDescent="0.25">
      <c r="B3" s="13" t="s">
        <v>90</v>
      </c>
      <c r="T3" s="15"/>
      <c r="U3" s="83" t="str">
        <f>+B3</f>
        <v>MUSICAR S.A. EL SALVADOR</v>
      </c>
    </row>
    <row r="4" spans="1:34" x14ac:dyDescent="0.2">
      <c r="B4" s="3" t="s">
        <v>91</v>
      </c>
      <c r="U4" s="3" t="s">
        <v>6</v>
      </c>
    </row>
    <row r="5" spans="1:34" x14ac:dyDescent="0.2">
      <c r="B5" s="3" t="s">
        <v>79</v>
      </c>
      <c r="U5" s="3" t="s">
        <v>79</v>
      </c>
    </row>
    <row r="6" spans="1:34" ht="13.5" thickBot="1" x14ac:dyDescent="0.25">
      <c r="B6" s="72" t="str">
        <f>+'COL. CONS.$'!B6</f>
        <v>JULIO de 2022</v>
      </c>
      <c r="C6" s="84"/>
      <c r="K6" s="79" t="s">
        <v>8</v>
      </c>
      <c r="L6" s="79"/>
      <c r="M6" s="79"/>
      <c r="N6" s="79"/>
      <c r="O6" s="79"/>
      <c r="P6" s="79"/>
      <c r="Q6" s="79"/>
      <c r="R6" s="79"/>
      <c r="S6" s="85"/>
      <c r="T6" s="86"/>
      <c r="U6" s="17" t="str">
        <f>+B6</f>
        <v>JULIO de 2022</v>
      </c>
      <c r="Y6" s="18" t="s">
        <v>8</v>
      </c>
      <c r="Z6" s="18"/>
      <c r="AA6" s="18"/>
      <c r="AB6" s="18"/>
      <c r="AC6" s="18"/>
      <c r="AD6" s="18"/>
    </row>
    <row r="7" spans="1:34" x14ac:dyDescent="0.2">
      <c r="A7" s="87"/>
      <c r="B7" s="3"/>
      <c r="C7" s="53" t="str">
        <f>+'COLOMB$ '!D7:D7</f>
        <v>Ppto 2022</v>
      </c>
      <c r="D7" s="53"/>
      <c r="E7" s="53" t="str">
        <f>+'COLOMB$ '!F7:F7</f>
        <v>Real 2022</v>
      </c>
      <c r="F7" s="53"/>
      <c r="G7" s="53" t="s">
        <v>9</v>
      </c>
      <c r="H7" s="53" t="str">
        <f>+'COLOMB$ '!I7:I7</f>
        <v>Real 2021</v>
      </c>
      <c r="I7" s="53"/>
      <c r="J7" s="53" t="s">
        <v>10</v>
      </c>
      <c r="K7" s="53" t="str">
        <f>+C7</f>
        <v>Ppto 2022</v>
      </c>
      <c r="L7" s="53"/>
      <c r="M7" s="53" t="str">
        <f>+E7</f>
        <v>Real 2022</v>
      </c>
      <c r="N7" s="53"/>
      <c r="O7" s="53" t="s">
        <v>9</v>
      </c>
      <c r="P7" s="53" t="str">
        <f>+H7</f>
        <v>Real 2021</v>
      </c>
      <c r="Q7" s="53"/>
      <c r="R7" s="53" t="s">
        <v>10</v>
      </c>
      <c r="S7" s="53"/>
      <c r="T7" s="55"/>
      <c r="V7" s="46" t="str">
        <f>+C7</f>
        <v>Ppto 2022</v>
      </c>
      <c r="W7" s="46" t="str">
        <f>+M7</f>
        <v>Real 2022</v>
      </c>
      <c r="X7" s="46" t="str">
        <f>+H7</f>
        <v>Real 2021</v>
      </c>
      <c r="Y7" s="46" t="str">
        <f>+V7</f>
        <v>Ppto 2022</v>
      </c>
      <c r="Z7" s="46" t="str">
        <f>+W7</f>
        <v>Real 2022</v>
      </c>
      <c r="AA7" s="46" t="s">
        <v>11</v>
      </c>
      <c r="AB7" s="46" t="s">
        <v>9</v>
      </c>
      <c r="AC7" s="46" t="str">
        <f>+X7</f>
        <v>Real 2021</v>
      </c>
      <c r="AD7" s="46" t="s">
        <v>10</v>
      </c>
      <c r="AF7" s="2" t="s">
        <v>92</v>
      </c>
    </row>
    <row r="8" spans="1:34" ht="13.5" thickBot="1" x14ac:dyDescent="0.25">
      <c r="B8" s="24" t="s">
        <v>12</v>
      </c>
      <c r="C8" s="58" t="s">
        <v>13</v>
      </c>
      <c r="D8" s="58" t="s">
        <v>14</v>
      </c>
      <c r="E8" s="58" t="s">
        <v>13</v>
      </c>
      <c r="F8" s="58" t="s">
        <v>14</v>
      </c>
      <c r="G8" s="58" t="s">
        <v>15</v>
      </c>
      <c r="H8" s="58" t="s">
        <v>13</v>
      </c>
      <c r="I8" s="58" t="s">
        <v>14</v>
      </c>
      <c r="J8" s="58" t="s">
        <v>15</v>
      </c>
      <c r="K8" s="58" t="s">
        <v>13</v>
      </c>
      <c r="L8" s="58" t="s">
        <v>14</v>
      </c>
      <c r="M8" s="58" t="s">
        <v>13</v>
      </c>
      <c r="N8" s="58" t="s">
        <v>14</v>
      </c>
      <c r="O8" s="58" t="s">
        <v>15</v>
      </c>
      <c r="P8" s="58" t="s">
        <v>13</v>
      </c>
      <c r="Q8" s="58" t="s">
        <v>14</v>
      </c>
      <c r="R8" s="58" t="s">
        <v>15</v>
      </c>
      <c r="S8" s="53"/>
      <c r="T8" s="55"/>
      <c r="U8" s="24"/>
      <c r="V8" s="25"/>
      <c r="W8" s="25"/>
      <c r="X8" s="25"/>
      <c r="Y8" s="24"/>
      <c r="Z8" s="24"/>
      <c r="AA8" s="25"/>
      <c r="AB8" s="25" t="s">
        <v>15</v>
      </c>
      <c r="AC8" s="24"/>
      <c r="AD8" s="25" t="s">
        <v>15</v>
      </c>
      <c r="AF8" s="2" t="s">
        <v>49</v>
      </c>
      <c r="AG8" s="2" t="s">
        <v>51</v>
      </c>
      <c r="AH8" s="2" t="s">
        <v>93</v>
      </c>
    </row>
    <row r="9" spans="1:34" x14ac:dyDescent="0.2"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</row>
    <row r="10" spans="1:34" x14ac:dyDescent="0.2">
      <c r="A10" s="87"/>
      <c r="B10" s="3" t="str">
        <f>+'COLOMB$ '!B10</f>
        <v>Musical Experience  (Ambiental)</v>
      </c>
      <c r="C10" s="59">
        <v>6887</v>
      </c>
      <c r="D10" s="28">
        <f>+C10/$C$20</f>
        <v>0.74420343649741361</v>
      </c>
      <c r="E10" s="59">
        <v>6568.26</v>
      </c>
      <c r="F10" s="28">
        <f>+E10/$E$20</f>
        <v>0.86474310194559501</v>
      </c>
      <c r="G10" s="28">
        <f>IF(C10=0,"",(E10-C10)/ABS(C10)+1)</f>
        <v>0.95371860026136202</v>
      </c>
      <c r="H10" s="59">
        <v>7025.19</v>
      </c>
      <c r="I10" s="28">
        <f>+H10/$H$20</f>
        <v>0.87404619566907826</v>
      </c>
      <c r="J10" s="28">
        <f>IF(H10=0,"",(E10-H10)/ABS(H10))</f>
        <v>-6.504165723631665E-2</v>
      </c>
      <c r="K10" s="59">
        <v>47692</v>
      </c>
      <c r="L10" s="28">
        <f>+K10/$K$20</f>
        <v>0.74772028563629833</v>
      </c>
      <c r="M10" s="59">
        <v>46950.239999999998</v>
      </c>
      <c r="N10" s="28">
        <f>+M10/$M$20</f>
        <v>0.81189542632851863</v>
      </c>
      <c r="O10" s="28">
        <f>IF(K10=0,"",(M10-K10)/ABS(K10)+1)</f>
        <v>0.98444686739914444</v>
      </c>
      <c r="P10" s="59">
        <v>50191.28</v>
      </c>
      <c r="Q10" s="28">
        <f>+P10/$P$20</f>
        <v>0.81513477801826451</v>
      </c>
      <c r="R10" s="28">
        <f t="shared" ref="R10:R17" si="0">IF(P10=0,"",(M10-P10)/ABS(P10))</f>
        <v>-6.4573766598500795E-2</v>
      </c>
      <c r="S10" s="28"/>
      <c r="T10" s="55"/>
      <c r="U10" s="3" t="s">
        <v>16</v>
      </c>
      <c r="V10" s="59">
        <v>15282.165165366667</v>
      </c>
      <c r="W10" s="59">
        <v>14439.309999999998</v>
      </c>
      <c r="X10" s="59">
        <v>18758.600000000002</v>
      </c>
      <c r="Y10" s="59">
        <v>24475</v>
      </c>
      <c r="Z10" s="59">
        <v>24475</v>
      </c>
      <c r="AA10" s="55">
        <f>+Z10-Y10</f>
        <v>0</v>
      </c>
      <c r="AB10" s="61">
        <f>IF(Y10=0,"",(Z10-Y10)/ABS(Y10)+1)</f>
        <v>1</v>
      </c>
      <c r="AC10" s="59">
        <v>14944</v>
      </c>
      <c r="AD10" s="28">
        <f>IF(X10=0,"",(Z10-AC10)/ABS(AC10))</f>
        <v>0.63778104925053536</v>
      </c>
      <c r="AF10" s="60">
        <v>24475</v>
      </c>
      <c r="AG10" s="60">
        <v>14944</v>
      </c>
      <c r="AH10" s="60"/>
    </row>
    <row r="11" spans="1:34" x14ac:dyDescent="0.2">
      <c r="A11" s="87"/>
      <c r="B11" s="3" t="str">
        <f>+'COLOMB$ '!B11</f>
        <v>Instalaciones</v>
      </c>
      <c r="C11" s="59">
        <v>663.39</v>
      </c>
      <c r="D11" s="28">
        <f>+C11/$C$20</f>
        <v>7.16853663043443E-2</v>
      </c>
      <c r="E11" s="59">
        <v>100</v>
      </c>
      <c r="F11" s="28">
        <f>+E11/$E$20</f>
        <v>1.3165482212116983E-2</v>
      </c>
      <c r="G11" s="28">
        <f>IF(C11=0,"",(E11-C11)/ABS(C11)+1)</f>
        <v>0.15074089148163228</v>
      </c>
      <c r="H11" s="59">
        <v>50</v>
      </c>
      <c r="I11" s="28">
        <f>+H11/$H$20</f>
        <v>6.2208011147675607E-3</v>
      </c>
      <c r="J11" s="28">
        <f>IF(H11=0,"",(E11-H11)/ABS(H11))</f>
        <v>1</v>
      </c>
      <c r="K11" s="59">
        <v>3169.53</v>
      </c>
      <c r="L11" s="28">
        <f>+K11/$K$20</f>
        <v>4.9692230917823051E-2</v>
      </c>
      <c r="M11" s="59">
        <v>1178.23</v>
      </c>
      <c r="N11" s="28">
        <f>+M11/$M$20</f>
        <v>2.0374753103776479E-2</v>
      </c>
      <c r="O11" s="28">
        <f>IF(K11=0,"",(M11-K11)/ABS(K11)+1)</f>
        <v>0.3717365035194492</v>
      </c>
      <c r="P11" s="59">
        <v>1860</v>
      </c>
      <c r="Q11" s="28">
        <f>+P11/$P$20</f>
        <v>3.0207452113474132E-2</v>
      </c>
      <c r="R11" s="28">
        <f t="shared" si="0"/>
        <v>-0.36654301075268814</v>
      </c>
      <c r="S11" s="28"/>
      <c r="T11" s="55"/>
      <c r="U11" s="3" t="s">
        <v>17</v>
      </c>
      <c r="V11" s="59">
        <v>10328.42788333333</v>
      </c>
      <c r="W11" s="59">
        <v>9525.5</v>
      </c>
      <c r="X11" s="59">
        <v>9208.2999999999993</v>
      </c>
      <c r="Y11" s="59">
        <f>+AF11+V11</f>
        <v>72109.261567777779</v>
      </c>
      <c r="Z11" s="59">
        <f>+W11+AH11</f>
        <v>66428.5</v>
      </c>
      <c r="AA11" s="55">
        <f>+Z11-Y11</f>
        <v>-5680.7615677777794</v>
      </c>
      <c r="AB11" s="61">
        <f>IF(Y11=0,"",(Z11-Y11)/ABS(Y11)+1)</f>
        <v>0.92122008401877409</v>
      </c>
      <c r="AC11" s="59">
        <v>76422</v>
      </c>
      <c r="AD11" s="28">
        <f>IF(AC11=0,"",(Z11-AC11)/ABS(AC11))</f>
        <v>-0.13076731831148097</v>
      </c>
      <c r="AF11" s="60">
        <v>61780.833684444442</v>
      </c>
      <c r="AG11" s="60">
        <v>49303.1</v>
      </c>
      <c r="AH11" s="60">
        <v>56903</v>
      </c>
    </row>
    <row r="12" spans="1:34" x14ac:dyDescent="0.2">
      <c r="A12" s="87"/>
      <c r="B12" s="3" t="str">
        <f>+'COLOMB$ '!B12</f>
        <v>Voice Experience (Publihold)</v>
      </c>
      <c r="C12" s="59">
        <v>1122.3900000000001</v>
      </c>
      <c r="D12" s="28">
        <f>+C12/$C$20</f>
        <v>0.12128452084947468</v>
      </c>
      <c r="E12" s="59">
        <v>927.36</v>
      </c>
      <c r="F12" s="28">
        <f>+E12/$E$20</f>
        <v>0.12209141584228805</v>
      </c>
      <c r="G12" s="28">
        <f>IF(C12=0,"",(E12-C12)/ABS(C12)+1)</f>
        <v>0.82623686953732656</v>
      </c>
      <c r="H12" s="59">
        <v>962.36</v>
      </c>
      <c r="I12" s="28">
        <f>+H12/$H$20</f>
        <v>0.11973300321615418</v>
      </c>
      <c r="J12" s="28">
        <f>IF(H12=0,"",(E12-H12)/ABS(H12))</f>
        <v>-3.636892638929299E-2</v>
      </c>
      <c r="K12" s="59">
        <v>8316.0499999999993</v>
      </c>
      <c r="L12" s="28">
        <f>+K12/$K$20</f>
        <v>0.13037992286684849</v>
      </c>
      <c r="M12" s="59">
        <v>7627.47</v>
      </c>
      <c r="N12" s="28">
        <f>+M12/$M$20</f>
        <v>0.13189938981053104</v>
      </c>
      <c r="O12" s="28">
        <f>IF(K12=0,"",(M12-K12)/ABS(K12)+1)</f>
        <v>0.91719867004166655</v>
      </c>
      <c r="P12" s="59">
        <v>6788.93</v>
      </c>
      <c r="Q12" s="28">
        <f>+P12/$P$20</f>
        <v>0.11025606337458492</v>
      </c>
      <c r="R12" s="28">
        <f t="shared" si="0"/>
        <v>0.12351578231031987</v>
      </c>
      <c r="S12" s="28"/>
      <c r="T12" s="55"/>
      <c r="AF12" s="60"/>
      <c r="AG12" s="60">
        <v>73</v>
      </c>
      <c r="AH12" s="60"/>
    </row>
    <row r="13" spans="1:34" x14ac:dyDescent="0.2">
      <c r="A13" s="87"/>
      <c r="B13" s="3" t="str">
        <f>+'COLOMB$ '!B13</f>
        <v>Service &amp; Equipment Experience</v>
      </c>
      <c r="C13" s="59">
        <v>483.41</v>
      </c>
      <c r="D13" s="28">
        <f>+C13/$C$20</f>
        <v>5.2236878646321289E-2</v>
      </c>
      <c r="E13" s="59">
        <v>0</v>
      </c>
      <c r="F13" s="28"/>
      <c r="G13" s="28">
        <f>IF(C13=0,"",(E13-C13)/ABS(C13)+1)</f>
        <v>0</v>
      </c>
      <c r="H13" s="59">
        <v>0</v>
      </c>
      <c r="I13" s="28"/>
      <c r="J13" s="28" t="str">
        <f>IF(H13=0,"",(E13-H13)/ABS(H13))</f>
        <v/>
      </c>
      <c r="K13" s="59">
        <v>2629.63</v>
      </c>
      <c r="L13" s="28">
        <f>+K13/$K$20</f>
        <v>4.122762087389456E-2</v>
      </c>
      <c r="M13" s="59">
        <v>416</v>
      </c>
      <c r="N13" s="28">
        <f>+M13/$M$20</f>
        <v>7.1937544377337322E-3</v>
      </c>
      <c r="O13" s="28">
        <f>IF(K13=0,"",(M13-K13)/ABS(K13)+1)</f>
        <v>0.15819716081730129</v>
      </c>
      <c r="P13" s="59">
        <v>430</v>
      </c>
      <c r="Q13" s="28"/>
      <c r="R13" s="28">
        <f t="shared" si="0"/>
        <v>-3.255813953488372E-2</v>
      </c>
      <c r="S13" s="28"/>
      <c r="T13" s="55"/>
      <c r="U13" s="3" t="s">
        <v>18</v>
      </c>
      <c r="V13" s="59">
        <v>2186.9998439499996</v>
      </c>
      <c r="W13" s="59"/>
      <c r="X13" s="59"/>
      <c r="Y13" s="59">
        <f>+AF13+V13</f>
        <v>18167.999843949998</v>
      </c>
      <c r="Z13" s="59">
        <f t="shared" ref="Z13:Z16" si="1">+W13+AH13</f>
        <v>11996</v>
      </c>
      <c r="AA13" s="55">
        <f>+Y13-Z13</f>
        <v>6171.9998439499977</v>
      </c>
      <c r="AB13" s="61">
        <f>IF(Y13=0,"",(Z13-Y13)/ABS(Y13)+1)</f>
        <v>0.66028181985011991</v>
      </c>
      <c r="AC13" s="59">
        <v>94</v>
      </c>
      <c r="AD13" s="28">
        <f>IF(AC13=0,"",(Z13-AC13)/ABS(AC13))</f>
        <v>126.61702127659575</v>
      </c>
      <c r="AF13" s="60">
        <v>15981</v>
      </c>
      <c r="AG13" s="60">
        <v>0</v>
      </c>
      <c r="AH13" s="60">
        <v>11996</v>
      </c>
    </row>
    <row r="14" spans="1:34" x14ac:dyDescent="0.2">
      <c r="A14" s="87"/>
      <c r="B14" s="3" t="str">
        <f>+'COLOMB$ '!B14</f>
        <v>POP Satelital</v>
      </c>
      <c r="C14" s="59"/>
      <c r="D14" s="28"/>
      <c r="E14" s="59"/>
      <c r="F14" s="28"/>
      <c r="G14" s="28"/>
      <c r="H14" s="59"/>
      <c r="I14" s="28"/>
      <c r="J14" s="28"/>
      <c r="K14" s="59"/>
      <c r="L14" s="28"/>
      <c r="M14" s="59"/>
      <c r="N14" s="28"/>
      <c r="O14" s="28"/>
      <c r="P14" s="59"/>
      <c r="Q14" s="28"/>
      <c r="R14" s="28" t="str">
        <f t="shared" si="0"/>
        <v/>
      </c>
      <c r="S14" s="28"/>
      <c r="T14" s="55"/>
      <c r="U14" s="3" t="s">
        <v>19</v>
      </c>
      <c r="V14" s="59"/>
      <c r="W14" s="59"/>
      <c r="X14" s="59"/>
      <c r="Y14" s="59">
        <f t="shared" ref="Y14:Y16" si="2">+AF14+V14</f>
        <v>0</v>
      </c>
      <c r="Z14" s="59">
        <f t="shared" si="1"/>
        <v>0</v>
      </c>
      <c r="AA14" s="55">
        <f>+Y14-Z14</f>
        <v>0</v>
      </c>
      <c r="AB14" s="61" t="str">
        <f>IF(Y14=0,"",(Z14-Y14)/ABS(Y14)+1)</f>
        <v/>
      </c>
      <c r="AC14" s="59">
        <v>0</v>
      </c>
      <c r="AD14" s="28" t="str">
        <f>IF(AC14=0,"",(Z14-AC14)/ABS(AC14))</f>
        <v/>
      </c>
      <c r="AF14" s="60">
        <v>0</v>
      </c>
      <c r="AG14" s="60">
        <v>20725.400000000001</v>
      </c>
      <c r="AH14" s="60"/>
    </row>
    <row r="15" spans="1:34" x14ac:dyDescent="0.2">
      <c r="A15" s="87"/>
      <c r="B15" s="3" t="str">
        <f>+'COLOMB$ '!B15</f>
        <v>Voice Experience (Audicóm)</v>
      </c>
      <c r="C15" s="59">
        <v>98</v>
      </c>
      <c r="D15" s="28">
        <f>+C15/$C$20</f>
        <v>1.0589797702446134E-2</v>
      </c>
      <c r="E15" s="59">
        <v>0</v>
      </c>
      <c r="F15" s="28"/>
      <c r="G15" s="28">
        <f>IF(C15=0,"",(E15-C15)/ABS(C15)+1)</f>
        <v>0</v>
      </c>
      <c r="H15" s="59">
        <v>0</v>
      </c>
      <c r="I15" s="28"/>
      <c r="J15" s="28" t="str">
        <f>IF(H15=0,"",(E15-H15)/ABS(H15))</f>
        <v/>
      </c>
      <c r="K15" s="59">
        <v>1976</v>
      </c>
      <c r="L15" s="28"/>
      <c r="M15" s="59">
        <v>1656</v>
      </c>
      <c r="N15" s="28"/>
      <c r="O15" s="28">
        <f>IF(K15=0,"",(M15-K15)/ABS(K15)+1)</f>
        <v>0.83805668016194335</v>
      </c>
      <c r="P15" s="59">
        <v>2304</v>
      </c>
      <c r="Q15" s="28"/>
      <c r="R15" s="28">
        <f t="shared" si="0"/>
        <v>-0.28125</v>
      </c>
      <c r="S15" s="28"/>
      <c r="T15" s="55"/>
      <c r="U15" s="3" t="s">
        <v>20</v>
      </c>
      <c r="V15" s="59">
        <v>6081.5290193499995</v>
      </c>
      <c r="W15" s="59">
        <v>4872.3999999999996</v>
      </c>
      <c r="X15" s="59">
        <v>5291.2</v>
      </c>
      <c r="Y15" s="59">
        <f t="shared" si="2"/>
        <v>42650.658038699992</v>
      </c>
      <c r="Z15" s="59">
        <f t="shared" si="1"/>
        <v>37913.4</v>
      </c>
      <c r="AA15" s="55">
        <f>+Y15-Z15</f>
        <v>4737.2580386999907</v>
      </c>
      <c r="AB15" s="61">
        <f>IF(Y15=0,"",(Z15-Y15)/ABS(Y15)+1)</f>
        <v>0.88892884057259947</v>
      </c>
      <c r="AC15" s="59">
        <v>36288</v>
      </c>
      <c r="AD15" s="28">
        <f>IF(AC15=0,"",(Z15-AC15)/ABS(AC15))</f>
        <v>4.4791666666666709E-2</v>
      </c>
      <c r="AF15" s="60">
        <v>36569.129019349995</v>
      </c>
      <c r="AG15" s="60">
        <v>8233.6</v>
      </c>
      <c r="AH15" s="60">
        <v>33041</v>
      </c>
    </row>
    <row r="16" spans="1:34" x14ac:dyDescent="0.2">
      <c r="B16" s="3" t="str">
        <f>+'COLOMB$ '!B16</f>
        <v>Fact. Servicio Satelital</v>
      </c>
      <c r="C16" s="59"/>
      <c r="D16" s="28"/>
      <c r="E16" s="59"/>
      <c r="F16" s="28"/>
      <c r="G16" s="28"/>
      <c r="H16" s="59"/>
      <c r="I16" s="28"/>
      <c r="J16" s="28"/>
      <c r="K16" s="59">
        <f>+T16+C16</f>
        <v>0</v>
      </c>
      <c r="L16" s="28"/>
      <c r="M16" s="59"/>
      <c r="N16" s="28"/>
      <c r="O16" s="28"/>
      <c r="P16" s="59"/>
      <c r="Q16" s="28"/>
      <c r="R16" s="28" t="str">
        <f t="shared" si="0"/>
        <v/>
      </c>
      <c r="S16" s="28"/>
      <c r="T16" s="55"/>
      <c r="U16" s="3" t="s">
        <v>21</v>
      </c>
      <c r="V16" s="59">
        <v>1243.855</v>
      </c>
      <c r="W16" s="59">
        <v>1046.2</v>
      </c>
      <c r="X16" s="59">
        <v>3155.4</v>
      </c>
      <c r="Y16" s="59">
        <f t="shared" si="2"/>
        <v>10772.71</v>
      </c>
      <c r="Z16" s="59">
        <f t="shared" si="1"/>
        <v>12879.2</v>
      </c>
      <c r="AA16" s="55">
        <f>+Y16-Z16</f>
        <v>-2106.4900000000016</v>
      </c>
      <c r="AB16" s="61">
        <f>IF(Y16=0,"",(Z16-Y16)/ABS(Y16)+1)</f>
        <v>1.1955394696413439</v>
      </c>
      <c r="AC16" s="59">
        <v>14233</v>
      </c>
      <c r="AD16" s="28">
        <f>IF(AC16=0,"",(Z16-AC16)/ABS(AC16))</f>
        <v>-9.5116981662333955E-2</v>
      </c>
      <c r="AF16" s="60">
        <v>9528.8549999999996</v>
      </c>
      <c r="AG16" s="60">
        <v>29032</v>
      </c>
      <c r="AH16" s="60">
        <v>11833</v>
      </c>
    </row>
    <row r="17" spans="1:35" x14ac:dyDescent="0.2">
      <c r="A17" s="87"/>
      <c r="B17" s="3" t="str">
        <f>+'COLOMB$ '!B17</f>
        <v>Visual Experience</v>
      </c>
      <c r="C17" s="59"/>
      <c r="D17" s="28"/>
      <c r="E17" s="59"/>
      <c r="F17" s="28"/>
      <c r="G17" s="28" t="str">
        <f>IF(C17=0,"",(E17-C17)/ABS(C17)+1)</f>
        <v/>
      </c>
      <c r="H17" s="59"/>
      <c r="I17" s="28"/>
      <c r="J17" s="28" t="str">
        <f>IF(H17=0,"",(E17-H17)/ABS(H17))</f>
        <v/>
      </c>
      <c r="K17" s="59">
        <f>+T17+C17</f>
        <v>0</v>
      </c>
      <c r="L17" s="28"/>
      <c r="M17" s="59"/>
      <c r="N17" s="28"/>
      <c r="O17" s="28" t="str">
        <f>IF(K17=0,"",(M17-K17)/ABS(K17)+1)</f>
        <v/>
      </c>
      <c r="P17" s="59"/>
      <c r="Q17" s="28"/>
      <c r="R17" s="28" t="str">
        <f t="shared" si="0"/>
        <v/>
      </c>
      <c r="S17" s="28"/>
      <c r="T17" s="55"/>
      <c r="U17" s="3" t="s">
        <v>22</v>
      </c>
      <c r="V17" s="59">
        <f>SUM(V13:V16)</f>
        <v>9512.3838632999978</v>
      </c>
      <c r="W17" s="59">
        <f>SUM(W13:W16)</f>
        <v>5918.5999999999995</v>
      </c>
      <c r="X17" s="59">
        <f>SUM(X13:X16)</f>
        <v>8446.6</v>
      </c>
      <c r="Y17" s="59">
        <f>SUM(Y13:Y16)</f>
        <v>71591.367882649996</v>
      </c>
      <c r="Z17" s="59">
        <f>SUM(Z13:Z16)</f>
        <v>62788.600000000006</v>
      </c>
      <c r="AA17" s="55">
        <f>+Z17-Y17</f>
        <v>-8802.7678826499905</v>
      </c>
      <c r="AB17" s="61">
        <f>IF(Y17=0,"",(Z17-Y17)/ABS(Y17)+1)</f>
        <v>0.87704149057356784</v>
      </c>
      <c r="AC17" s="59">
        <f>SUM(AC13:AC16)</f>
        <v>50615</v>
      </c>
      <c r="AD17" s="28">
        <f>IF(AC17=0,"",(Z17-AC17)/ABS(AC17))</f>
        <v>0.24051368171490675</v>
      </c>
      <c r="AF17" s="60">
        <v>62078.984019349999</v>
      </c>
      <c r="AG17" s="60"/>
      <c r="AH17" s="60"/>
    </row>
    <row r="18" spans="1:35" x14ac:dyDescent="0.2">
      <c r="A18" s="87"/>
      <c r="B18" s="3" t="str">
        <f>+'COL. CONS.$'!B18</f>
        <v>Olfa Experience</v>
      </c>
      <c r="C18" s="59">
        <v>0</v>
      </c>
      <c r="D18" s="28"/>
      <c r="E18" s="59"/>
      <c r="F18" s="28"/>
      <c r="G18" s="28"/>
      <c r="H18" s="59"/>
      <c r="I18" s="28"/>
      <c r="J18" s="28"/>
      <c r="K18" s="59">
        <v>0</v>
      </c>
      <c r="L18" s="28"/>
      <c r="M18" s="59"/>
      <c r="N18" s="28"/>
      <c r="O18" s="28"/>
      <c r="P18" s="59"/>
      <c r="Q18" s="28"/>
      <c r="R18" s="28"/>
      <c r="S18" s="28"/>
      <c r="T18" s="55"/>
      <c r="AF18" s="60"/>
      <c r="AG18" s="60"/>
      <c r="AH18" s="60"/>
    </row>
    <row r="19" spans="1:35" x14ac:dyDescent="0.2">
      <c r="B19" s="3" t="str">
        <f>+'COLOMB$ '!B19</f>
        <v>Locutor virtual</v>
      </c>
      <c r="C19" s="59"/>
      <c r="D19" s="28"/>
      <c r="E19" s="59"/>
      <c r="F19" s="28"/>
      <c r="G19" s="28"/>
      <c r="H19" s="59"/>
      <c r="I19" s="28"/>
      <c r="J19" s="28"/>
      <c r="K19" s="59"/>
      <c r="L19" s="28"/>
      <c r="M19" s="59"/>
      <c r="N19" s="28"/>
      <c r="O19" s="28"/>
      <c r="P19" s="59"/>
      <c r="Q19" s="28"/>
      <c r="R19" s="28"/>
      <c r="S19" s="28"/>
      <c r="T19" s="55"/>
      <c r="U19" s="3" t="s">
        <v>23</v>
      </c>
      <c r="V19" s="59">
        <f>V11-V17</f>
        <v>816.04402003333234</v>
      </c>
      <c r="W19" s="59">
        <f>W11-W17</f>
        <v>3606.9000000000005</v>
      </c>
      <c r="X19" s="59">
        <f>X11-X17</f>
        <v>761.69999999999891</v>
      </c>
      <c r="Y19" s="59">
        <f>Y11-Y17</f>
        <v>517.8936851277831</v>
      </c>
      <c r="Z19" s="59">
        <f>Z11-Z17</f>
        <v>3639.8999999999942</v>
      </c>
      <c r="AA19" s="55">
        <f>+Z19-Y19</f>
        <v>3122.0063148722111</v>
      </c>
      <c r="AB19" s="61">
        <f>IF(Y19=0,"",(Z19-Y19)/ABS(Y19)+1)</f>
        <v>7.028276467788749</v>
      </c>
      <c r="AC19" s="59">
        <f>AC11-AC17</f>
        <v>25807</v>
      </c>
      <c r="AD19" s="28">
        <f>IF(AC19=0,"",(Z19-AC19)/ABS(AC19))</f>
        <v>-0.85895687216646666</v>
      </c>
      <c r="AF19" s="60">
        <v>-298.15033490555652</v>
      </c>
      <c r="AG19" s="60"/>
      <c r="AH19" s="60"/>
      <c r="AI19" s="47"/>
    </row>
    <row r="20" spans="1:35" x14ac:dyDescent="0.2">
      <c r="B20" s="17" t="s">
        <v>24</v>
      </c>
      <c r="C20" s="63">
        <f>SUM(C10:C19)</f>
        <v>9254.19</v>
      </c>
      <c r="D20" s="36">
        <f>+C20/$C$20</f>
        <v>1</v>
      </c>
      <c r="E20" s="63">
        <f>SUM(E10:E19)</f>
        <v>7595.62</v>
      </c>
      <c r="F20" s="36">
        <f>+E20/$E$20</f>
        <v>1</v>
      </c>
      <c r="G20" s="36">
        <f>IF(C20=0,"",(E20-C20)/ABS(C20)+1)</f>
        <v>0.82077631861891742</v>
      </c>
      <c r="H20" s="63">
        <f>SUM(H10:H19)</f>
        <v>8037.5499999999993</v>
      </c>
      <c r="I20" s="36">
        <f>+H20/$H$20</f>
        <v>1</v>
      </c>
      <c r="J20" s="36">
        <f>IF(H20=0,"",(E20-H20)/ABS(H20))</f>
        <v>-5.4983172732984482E-2</v>
      </c>
      <c r="K20" s="63">
        <f>SUM(K10:K19)</f>
        <v>63783.21</v>
      </c>
      <c r="L20" s="36">
        <f>+K20/$K$20</f>
        <v>1</v>
      </c>
      <c r="M20" s="63">
        <f>SUM(M10:M19)</f>
        <v>57827.94</v>
      </c>
      <c r="N20" s="36">
        <f>+M20/$M$20</f>
        <v>1</v>
      </c>
      <c r="O20" s="36">
        <f>IF(K20=0,"",(M20-K20)/ABS(K20)+1)</f>
        <v>0.90663263890293389</v>
      </c>
      <c r="P20" s="63">
        <f>SUM(P10:P19)</f>
        <v>61574.21</v>
      </c>
      <c r="Q20" s="36">
        <f>+P20/$P$20</f>
        <v>1</v>
      </c>
      <c r="R20" s="36">
        <f>IF(P20=0,"",(M20-P20)/ABS(P20))</f>
        <v>-6.0841543886636901E-2</v>
      </c>
      <c r="S20" s="36"/>
      <c r="T20" s="55"/>
      <c r="U20" s="3"/>
      <c r="V20" s="59"/>
      <c r="W20" s="59"/>
      <c r="X20" s="59"/>
      <c r="Y20" s="59"/>
      <c r="Z20" s="59"/>
      <c r="AA20" s="55"/>
      <c r="AB20" s="61"/>
      <c r="AC20" s="59"/>
      <c r="AD20" s="28"/>
      <c r="AF20" s="60"/>
      <c r="AG20" s="60"/>
      <c r="AH20" s="60"/>
    </row>
    <row r="21" spans="1:35" x14ac:dyDescent="0.2">
      <c r="J21" s="28"/>
      <c r="R21" s="28"/>
      <c r="S21" s="28"/>
      <c r="U21" s="3" t="s">
        <v>25</v>
      </c>
      <c r="V21" s="59">
        <f>+V10+V19</f>
        <v>16098.209185399999</v>
      </c>
      <c r="W21" s="59">
        <f>+W10+W19</f>
        <v>18046.21</v>
      </c>
      <c r="X21" s="59">
        <f>+X10+X19</f>
        <v>19520.300000000003</v>
      </c>
      <c r="Y21" s="59">
        <f>+Y10+Y19</f>
        <v>24992.893685127783</v>
      </c>
      <c r="Z21" s="59">
        <f>+Z10+Z19</f>
        <v>28114.899999999994</v>
      </c>
      <c r="AA21" s="55">
        <f>+Z21-Y21</f>
        <v>3122.0063148722111</v>
      </c>
      <c r="AB21" s="61">
        <f>IF(Y21=0,"",(Z21-Y21)/ABS(Y21)+1)</f>
        <v>1.1249157602238746</v>
      </c>
      <c r="AC21" s="59">
        <f>+AC10+AC19</f>
        <v>40751</v>
      </c>
      <c r="AD21" s="28">
        <f>IF(AC21=0,"",(Z21-AC21)/ABS(AC21))</f>
        <v>-0.31008073421511145</v>
      </c>
      <c r="AF21" s="60">
        <v>24176.849665094443</v>
      </c>
      <c r="AG21" s="60"/>
      <c r="AH21" s="59"/>
    </row>
    <row r="22" spans="1:35" x14ac:dyDescent="0.2">
      <c r="A22" s="87"/>
      <c r="B22" s="3" t="s">
        <v>26</v>
      </c>
      <c r="C22" s="59">
        <v>96.68</v>
      </c>
      <c r="D22" s="28">
        <f>+C22/$C$20</f>
        <v>1.04471596109438E-2</v>
      </c>
      <c r="E22" s="59">
        <v>0</v>
      </c>
      <c r="F22" s="28">
        <f>+E22/$E$20</f>
        <v>0</v>
      </c>
      <c r="G22" s="28">
        <f>IF(C22=0,"",(E22-C22)/ABS(C22)+1)</f>
        <v>0</v>
      </c>
      <c r="H22" s="59">
        <v>0</v>
      </c>
      <c r="I22" s="28">
        <f>+H22/$H$20</f>
        <v>0</v>
      </c>
      <c r="J22" s="28" t="str">
        <f>IF(H22=0,"",(E22-H22)/ABS(H22))</f>
        <v/>
      </c>
      <c r="K22" s="59">
        <v>525.91999999999996</v>
      </c>
      <c r="L22" s="28">
        <f>+K22/$K$20</f>
        <v>8.2454301061360806E-3</v>
      </c>
      <c r="M22" s="59">
        <v>0</v>
      </c>
      <c r="N22" s="28">
        <f>+M22/$M$20</f>
        <v>0</v>
      </c>
      <c r="O22" s="28">
        <f>IF(K22=0,"",(M22-K22)/ABS(K22)+1)</f>
        <v>0</v>
      </c>
      <c r="P22" s="59">
        <v>40.56</v>
      </c>
      <c r="Q22" s="28">
        <f>+P22/$P$20</f>
        <v>6.5871734286156495E-4</v>
      </c>
      <c r="R22" s="28">
        <f>IF(P22=0,"",(M22-P22)/ABS(P22))</f>
        <v>-1</v>
      </c>
      <c r="S22" s="28"/>
      <c r="T22" s="55"/>
      <c r="AD22" s="28"/>
      <c r="AF22" s="60"/>
      <c r="AG22" s="60"/>
      <c r="AH22" s="60"/>
    </row>
    <row r="23" spans="1:35" x14ac:dyDescent="0.2">
      <c r="J23" s="28"/>
      <c r="R23" s="28"/>
      <c r="S23" s="28"/>
      <c r="U23" s="3" t="s">
        <v>27</v>
      </c>
      <c r="V23" s="59"/>
      <c r="W23" s="59">
        <v>221</v>
      </c>
      <c r="X23" s="59"/>
      <c r="Y23" s="59">
        <f>+AF23+V23</f>
        <v>0</v>
      </c>
      <c r="Z23" s="59">
        <f>+W23+AH23</f>
        <v>1531</v>
      </c>
      <c r="AA23" s="55">
        <f>+Z23-Y23</f>
        <v>1531</v>
      </c>
      <c r="AB23" s="61" t="str">
        <f>IF(Y23=0,"",(Z23-Y23)/ABS(Y23)+1)</f>
        <v/>
      </c>
      <c r="AC23" s="59">
        <v>0</v>
      </c>
      <c r="AD23" s="28" t="str">
        <f>IF(AC23=0,"",(Z23-AC23)/ABS(AC23))</f>
        <v/>
      </c>
      <c r="AF23" s="60"/>
      <c r="AG23" s="60"/>
      <c r="AH23" s="60">
        <v>1310</v>
      </c>
    </row>
    <row r="24" spans="1:35" x14ac:dyDescent="0.2">
      <c r="B24" s="3" t="s">
        <v>28</v>
      </c>
      <c r="C24" s="59">
        <f>+C20-C22</f>
        <v>9157.51</v>
      </c>
      <c r="D24" s="28">
        <f>+C24/$C$20</f>
        <v>0.98955284038905622</v>
      </c>
      <c r="E24" s="59">
        <f>+E20-E22</f>
        <v>7595.62</v>
      </c>
      <c r="F24" s="28">
        <f>+E24/$E$20</f>
        <v>1</v>
      </c>
      <c r="G24" s="28">
        <f>IF(C24=0,"",(E24-C24)/ABS(C24)+1)</f>
        <v>0.8294416276913702</v>
      </c>
      <c r="H24" s="59">
        <f>+H20-H22</f>
        <v>8037.5499999999993</v>
      </c>
      <c r="I24" s="28">
        <f>+H24/$H$20</f>
        <v>1</v>
      </c>
      <c r="J24" s="28">
        <f>IF(H24=0,"",(E24-H24)/ABS(H24))</f>
        <v>-5.4983172732984482E-2</v>
      </c>
      <c r="K24" s="59">
        <f>+K20-K22</f>
        <v>63257.29</v>
      </c>
      <c r="L24" s="28">
        <f>+K24/$K$20</f>
        <v>0.9917545698938639</v>
      </c>
      <c r="M24" s="59">
        <f>+M20-M22</f>
        <v>57827.94</v>
      </c>
      <c r="N24" s="28">
        <f>+M24/$M$20</f>
        <v>1</v>
      </c>
      <c r="O24" s="28">
        <f>IF(K24=0,"",(M24-K24)/ABS(K24)+1)</f>
        <v>0.91417036676721375</v>
      </c>
      <c r="P24" s="59">
        <f>+P20-P22</f>
        <v>61533.65</v>
      </c>
      <c r="Q24" s="28">
        <f>+P24/$P$20</f>
        <v>0.99934128265713851</v>
      </c>
      <c r="R24" s="28">
        <f>IF(P24=0,"",(M24-P24)/ABS(P24))</f>
        <v>-6.0222496146417434E-2</v>
      </c>
      <c r="S24" s="28"/>
      <c r="T24" s="55"/>
      <c r="AD24" s="28"/>
      <c r="AF24" s="60"/>
      <c r="AG24" s="60"/>
      <c r="AH24" s="60"/>
    </row>
    <row r="25" spans="1:35" x14ac:dyDescent="0.2">
      <c r="J25" s="28"/>
      <c r="R25" s="28"/>
      <c r="S25" s="28"/>
      <c r="U25" s="3" t="s">
        <v>29</v>
      </c>
      <c r="V25" s="59">
        <v>1331.3916792</v>
      </c>
      <c r="W25" s="59">
        <v>1230.3</v>
      </c>
      <c r="X25" s="59">
        <v>1943</v>
      </c>
      <c r="Y25" s="59">
        <f>+AF25+V25</f>
        <v>10225.927758399999</v>
      </c>
      <c r="Z25" s="59">
        <f t="shared" ref="Z25" si="3">+W25+AH25</f>
        <v>9989.2999999999993</v>
      </c>
      <c r="AA25" s="55">
        <f>+Z25-Y25</f>
        <v>-236.62775839999995</v>
      </c>
      <c r="AB25" s="61">
        <f>IF(Y25=0,"",(Z25-Y25)/ABS(Y25)+1)</f>
        <v>0.97686002052912757</v>
      </c>
      <c r="AC25" s="59">
        <v>12887</v>
      </c>
      <c r="AD25" s="28">
        <f>IF(AC25=0,"",(Z25-AC25)/ABS(AC25))</f>
        <v>-0.22485450453945843</v>
      </c>
      <c r="AF25" s="60">
        <v>8894.5360791999992</v>
      </c>
      <c r="AG25" s="60">
        <v>26905.829999999998</v>
      </c>
      <c r="AH25" s="60">
        <v>8759</v>
      </c>
    </row>
    <row r="26" spans="1:35" x14ac:dyDescent="0.2">
      <c r="B26" s="3" t="s">
        <v>30</v>
      </c>
      <c r="C26" s="59">
        <v>1235.8699999999999</v>
      </c>
      <c r="D26" s="28">
        <f>+C26/$C$20</f>
        <v>0.13354707435226637</v>
      </c>
      <c r="E26" s="59">
        <v>1038.01</v>
      </c>
      <c r="F26" s="28">
        <f>+E26/$E$20</f>
        <v>0.13665902190999549</v>
      </c>
      <c r="G26" s="28">
        <f>IF(C26=0,"",(E26-C26)/ABS(C26)+1)</f>
        <v>0.83990225509155503</v>
      </c>
      <c r="H26" s="59">
        <v>562.92999999999995</v>
      </c>
      <c r="I26" s="28">
        <f>+H26/$H$20</f>
        <v>7.0037511430722052E-2</v>
      </c>
      <c r="J26" s="28">
        <f>IF(H26=0,"",(E26-H26)/ABS(H26))</f>
        <v>0.84394152026006797</v>
      </c>
      <c r="K26" s="59">
        <v>7256.09</v>
      </c>
      <c r="L26" s="28">
        <f>+K26/$K$20</f>
        <v>0.11376175642461395</v>
      </c>
      <c r="M26" s="59">
        <v>5410.01</v>
      </c>
      <c r="N26" s="28">
        <f>+M26/$M$20</f>
        <v>9.3553565975201605E-2</v>
      </c>
      <c r="O26" s="28">
        <f>IF(K26=0,"",(M26-K26)/ABS(K26)+1)</f>
        <v>0.74558198699299494</v>
      </c>
      <c r="P26" s="59">
        <v>5384.01</v>
      </c>
      <c r="Q26" s="28">
        <f>+P26/$P$20</f>
        <v>8.7439367878207455E-2</v>
      </c>
      <c r="R26" s="28">
        <f>IF(P26=0,"",(M26-P26)/ABS(P26))</f>
        <v>4.829114359000076E-3</v>
      </c>
      <c r="S26" s="28"/>
      <c r="T26" s="55"/>
      <c r="AD26" s="28"/>
      <c r="AF26" s="50"/>
      <c r="AG26" s="46"/>
      <c r="AH26" s="46"/>
    </row>
    <row r="27" spans="1:35" x14ac:dyDescent="0.2">
      <c r="B27" s="3" t="s">
        <v>31</v>
      </c>
      <c r="C27" s="59">
        <v>1125.8800000000001</v>
      </c>
      <c r="D27" s="28">
        <f>+C27/$C$20</f>
        <v>0.12166164731867403</v>
      </c>
      <c r="E27" s="59">
        <v>919.49</v>
      </c>
      <c r="F27" s="28">
        <f>+E27/$E$20</f>
        <v>0.12105529239219445</v>
      </c>
      <c r="G27" s="28">
        <f>IF(C27=0,"",(E27-C27)/ABS(C27)+1)</f>
        <v>0.81668561480797242</v>
      </c>
      <c r="H27" s="59">
        <v>2306.25</v>
      </c>
      <c r="I27" s="28">
        <f>+H27/$H$20</f>
        <v>0.2869344514186537</v>
      </c>
      <c r="J27" s="28">
        <f>IF(H27=0,"",(E27-H27)/ABS(H27))</f>
        <v>-0.60130514905149046</v>
      </c>
      <c r="K27" s="59">
        <v>8726.32</v>
      </c>
      <c r="L27" s="28">
        <f>+K27/$K$20</f>
        <v>0.13681217988244868</v>
      </c>
      <c r="M27" s="59">
        <v>8818.6200000000008</v>
      </c>
      <c r="N27" s="28">
        <f>+M27/$M$20</f>
        <v>0.15249756432617176</v>
      </c>
      <c r="O27" s="28">
        <f>IF(K27=0,"",(M27-K27)/ABS(K27)+1)</f>
        <v>1.0105771963439343</v>
      </c>
      <c r="P27" s="59">
        <v>9326.26</v>
      </c>
      <c r="Q27" s="28">
        <f>+P27/$P$20</f>
        <v>0.15146373782140282</v>
      </c>
      <c r="R27" s="28">
        <f>IF(P27=0,"",(M27-P27)/ABS(P27))</f>
        <v>-5.443125111245016E-2</v>
      </c>
      <c r="S27" s="28"/>
      <c r="T27" s="55"/>
      <c r="U27" s="3" t="s">
        <v>32</v>
      </c>
      <c r="V27" s="59"/>
      <c r="W27" s="59"/>
      <c r="X27" s="59"/>
      <c r="Y27" s="59">
        <f t="shared" ref="Y27:Y28" si="4">+AF27+V27</f>
        <v>0</v>
      </c>
      <c r="Z27" s="59">
        <f t="shared" ref="Z27:Z28" si="5">+W27+AH27</f>
        <v>0</v>
      </c>
      <c r="AA27" s="55">
        <f>+Z27-Y27</f>
        <v>0</v>
      </c>
      <c r="AB27" s="61" t="str">
        <f>IF(Y27=0,"",(Z27-Y27)/ABS(Y27)+1)</f>
        <v/>
      </c>
      <c r="AC27" s="59">
        <v>0</v>
      </c>
      <c r="AD27" s="28" t="str">
        <f>IF(AC27=0,"",(Z27-AC27)/ABS(AC27))</f>
        <v/>
      </c>
      <c r="AF27" s="60">
        <v>0</v>
      </c>
    </row>
    <row r="28" spans="1:35" x14ac:dyDescent="0.2">
      <c r="B28" s="3" t="s">
        <v>33</v>
      </c>
      <c r="C28" s="59">
        <f>SUM(C26:C27)</f>
        <v>2361.75</v>
      </c>
      <c r="D28" s="28">
        <f>+C28/$C$20</f>
        <v>0.25520872167094039</v>
      </c>
      <c r="E28" s="59">
        <f>SUM(E26:E27)</f>
        <v>1957.5</v>
      </c>
      <c r="F28" s="28">
        <f>+E28/$E$20</f>
        <v>0.25771431430218994</v>
      </c>
      <c r="G28" s="28">
        <f>IF(C28=0,"",(E28-C28)/ABS(C28)+1)</f>
        <v>0.82883455065100031</v>
      </c>
      <c r="H28" s="59">
        <f>SUM(H26:H27)</f>
        <v>2869.18</v>
      </c>
      <c r="I28" s="28">
        <f>+H28/$H$20</f>
        <v>0.35697196284937577</v>
      </c>
      <c r="J28" s="28">
        <f>IF(H28=0,"",(E28-H28)/ABS(H28))</f>
        <v>-0.31774932210596751</v>
      </c>
      <c r="K28" s="59">
        <f>SUM(K26:K27)</f>
        <v>15982.41</v>
      </c>
      <c r="L28" s="28">
        <f>+K28/$K$20</f>
        <v>0.25057393630706265</v>
      </c>
      <c r="M28" s="59">
        <f>SUM(M26:M27)</f>
        <v>14228.630000000001</v>
      </c>
      <c r="N28" s="28">
        <f>+M28/$M$20</f>
        <v>0.24605113030137335</v>
      </c>
      <c r="O28" s="28">
        <f>IF(K28=0,"",(M28-K28)/ABS(K28)+1)</f>
        <v>0.89026811350728718</v>
      </c>
      <c r="P28" s="59">
        <f>SUM(P26:P27)</f>
        <v>14710.27</v>
      </c>
      <c r="Q28" s="28">
        <f>+P28/$P$20</f>
        <v>0.23890310569961029</v>
      </c>
      <c r="R28" s="28">
        <f>IF(P28=0,"",(M28-P28)/ABS(P28))</f>
        <v>-3.2741751171120541E-2</v>
      </c>
      <c r="S28" s="28"/>
      <c r="T28" s="55"/>
      <c r="U28" s="3" t="s">
        <v>34</v>
      </c>
      <c r="V28" s="59"/>
      <c r="W28" s="59"/>
      <c r="X28" s="59"/>
      <c r="Y28" s="59">
        <f t="shared" si="4"/>
        <v>0</v>
      </c>
      <c r="Z28" s="59">
        <f t="shared" si="5"/>
        <v>0</v>
      </c>
      <c r="AA28" s="55">
        <f>+Z28-Y28</f>
        <v>0</v>
      </c>
      <c r="AB28" s="61" t="str">
        <f>IF(Y28=0,"",(Z28-Y28)/ABS(Y28)+1)</f>
        <v/>
      </c>
      <c r="AC28" s="59">
        <v>10286</v>
      </c>
      <c r="AD28" s="28">
        <f>IF(AC28=0,"",(Z28-AC28)/ABS(AC28))</f>
        <v>-1</v>
      </c>
      <c r="AF28" s="60">
        <v>0</v>
      </c>
    </row>
    <row r="29" spans="1:35" x14ac:dyDescent="0.2">
      <c r="J29" s="28"/>
      <c r="R29" s="28"/>
      <c r="S29" s="28"/>
      <c r="AF29" s="60"/>
    </row>
    <row r="30" spans="1:35" x14ac:dyDescent="0.2">
      <c r="B30" s="3" t="s">
        <v>35</v>
      </c>
      <c r="C30" s="59">
        <v>6518.22</v>
      </c>
      <c r="D30" s="28">
        <f>+C30/$C$20</f>
        <v>0.70435337938814746</v>
      </c>
      <c r="E30" s="59">
        <v>5605.13</v>
      </c>
      <c r="F30" s="28">
        <f>+E30/$E$20</f>
        <v>0.73794239311603271</v>
      </c>
      <c r="G30" s="28">
        <f>IF(C30=0,"",(E30-C30)/ABS(C30)+1)</f>
        <v>0.8599172780298916</v>
      </c>
      <c r="H30" s="59">
        <v>6839.29</v>
      </c>
      <c r="I30" s="28">
        <f>+H30/$H$20</f>
        <v>0.85091725712437249</v>
      </c>
      <c r="J30" s="28">
        <f>IF(H30=0,"",(E30-H30)/ABS(H30))</f>
        <v>-0.18045147961264982</v>
      </c>
      <c r="K30" s="59">
        <v>46061.54</v>
      </c>
      <c r="L30" s="28">
        <f>+K30/$K$20</f>
        <v>0.72215775907170554</v>
      </c>
      <c r="M30" s="59">
        <v>41458.269999999997</v>
      </c>
      <c r="N30" s="28">
        <f>+M30/$M$20</f>
        <v>0.71692455238765196</v>
      </c>
      <c r="O30" s="28">
        <f>IF(K30=0,"",(M30-K30)/ABS(K30)+1)</f>
        <v>0.90006261188835623</v>
      </c>
      <c r="P30" s="59">
        <v>43284.47</v>
      </c>
      <c r="Q30" s="28">
        <f>+P30/$P$20</f>
        <v>0.70296427676457407</v>
      </c>
      <c r="R30" s="28">
        <f>IF(P30=0,"",(M30-P30)/ABS(P30))</f>
        <v>-4.2190651751078487E-2</v>
      </c>
      <c r="S30" s="28"/>
      <c r="T30" s="55"/>
      <c r="U30" s="17" t="s">
        <v>36</v>
      </c>
      <c r="V30" s="63">
        <f>V21-V23-V25-V27-V28</f>
        <v>14766.817506199999</v>
      </c>
      <c r="W30" s="63">
        <f>W21-W23-W25-W27-W28</f>
        <v>16594.91</v>
      </c>
      <c r="X30" s="63">
        <f>X21-X23-X25-X27-X28</f>
        <v>17577.300000000003</v>
      </c>
      <c r="Y30" s="63">
        <f>Y21-Y23-Y25-Y27-Y28</f>
        <v>14766.965926727784</v>
      </c>
      <c r="Z30" s="63">
        <f>Z21-Z23-Z25-Z27-Z28</f>
        <v>16594.599999999995</v>
      </c>
      <c r="AA30" s="65">
        <f>+Z30-Y30</f>
        <v>1827.634073272211</v>
      </c>
      <c r="AB30" s="66">
        <f>IF(V30=0,"",(W30-V30)/ABS(V30)+1)</f>
        <v>1.1237973241717423</v>
      </c>
      <c r="AC30" s="63">
        <f>AC21-AC23-AC25-AC27-AC28</f>
        <v>17578</v>
      </c>
      <c r="AD30" s="28">
        <f>IF(AC30=0,"",(Z30-AC30)/ABS(AC30))</f>
        <v>-5.5944931163955235E-2</v>
      </c>
      <c r="AF30" s="60">
        <v>13972.313585894444</v>
      </c>
    </row>
    <row r="31" spans="1:35" x14ac:dyDescent="0.2">
      <c r="B31" s="3" t="s">
        <v>37</v>
      </c>
      <c r="C31" s="59">
        <v>0</v>
      </c>
      <c r="D31" s="28">
        <f>+C31/$C$20</f>
        <v>0</v>
      </c>
      <c r="E31" s="59">
        <v>0</v>
      </c>
      <c r="F31" s="28">
        <f>+E31/$E$20</f>
        <v>0</v>
      </c>
      <c r="G31" s="28" t="str">
        <f>IF(C31=0,"",(E31-C31)/ABS(C31)+1)</f>
        <v/>
      </c>
      <c r="H31" s="59">
        <v>0</v>
      </c>
      <c r="I31" s="28">
        <f>+H31/$H$20</f>
        <v>0</v>
      </c>
      <c r="J31" s="28" t="str">
        <f>IF(H31=0,"",(E31-H31)/ABS(H31))</f>
        <v/>
      </c>
      <c r="K31" s="59">
        <v>0</v>
      </c>
      <c r="L31" s="28">
        <f>+K31/$K$20</f>
        <v>0</v>
      </c>
      <c r="M31" s="59">
        <v>0</v>
      </c>
      <c r="N31" s="28">
        <f>+M31/$M$20</f>
        <v>0</v>
      </c>
      <c r="O31" s="28" t="str">
        <f>IF(K31=0,"",(M31-K31)/ABS(K31)+1)</f>
        <v/>
      </c>
      <c r="P31" s="59">
        <v>0</v>
      </c>
      <c r="Q31" s="28">
        <f>+P31/$P$20</f>
        <v>0</v>
      </c>
      <c r="R31" s="28" t="str">
        <f>IF(P31=0,"",(M31-P31)/ABS(P31))</f>
        <v/>
      </c>
      <c r="S31" s="28"/>
      <c r="T31" s="55"/>
      <c r="U31" s="47"/>
      <c r="V31" s="2" t="s">
        <v>94</v>
      </c>
      <c r="W31" s="60"/>
      <c r="X31" s="2" t="s">
        <v>46</v>
      </c>
      <c r="Y31" s="47"/>
      <c r="Z31" s="47" t="s">
        <v>94</v>
      </c>
      <c r="AC31" s="47" t="s">
        <v>46</v>
      </c>
    </row>
    <row r="32" spans="1:35" x14ac:dyDescent="0.2">
      <c r="B32" s="3" t="s">
        <v>38</v>
      </c>
      <c r="C32" s="59">
        <f>SUM(C30:C31)</f>
        <v>6518.22</v>
      </c>
      <c r="D32" s="28">
        <f>+C32/$C$20</f>
        <v>0.70435337938814746</v>
      </c>
      <c r="E32" s="59">
        <f>SUM(E30:E31)</f>
        <v>5605.13</v>
      </c>
      <c r="F32" s="28">
        <f>+E32/$E$20</f>
        <v>0.73794239311603271</v>
      </c>
      <c r="G32" s="28">
        <f>IF(C32=0,"",(E32-C32)/ABS(C32)+1)</f>
        <v>0.8599172780298916</v>
      </c>
      <c r="H32" s="59">
        <f>SUM(H30:H31)</f>
        <v>6839.29</v>
      </c>
      <c r="I32" s="28">
        <f>+H32/$H$20</f>
        <v>0.85091725712437249</v>
      </c>
      <c r="J32" s="28">
        <f>IF(H32=0,"",(E32-H32)/ABS(H32))</f>
        <v>-0.18045147961264982</v>
      </c>
      <c r="K32" s="59">
        <f>SUM(K30:K31)</f>
        <v>46061.54</v>
      </c>
      <c r="L32" s="28">
        <f>+K32/$K$20</f>
        <v>0.72215775907170554</v>
      </c>
      <c r="M32" s="59">
        <f>SUM(M30:M31)</f>
        <v>41458.269999999997</v>
      </c>
      <c r="N32" s="28">
        <f>+M32/$M$20</f>
        <v>0.71692455238765196</v>
      </c>
      <c r="O32" s="28">
        <f>IF(K32=0,"",(M32-K32)/ABS(K32)+1)</f>
        <v>0.90006261188835623</v>
      </c>
      <c r="P32" s="88">
        <f>SUM(P30:P31)</f>
        <v>43284.47</v>
      </c>
      <c r="Q32" s="28">
        <f>+P32/$P$20</f>
        <v>0.70296427676457407</v>
      </c>
      <c r="R32" s="28">
        <f>IF(P32=0,"",(M32-P32)/ABS(P32))</f>
        <v>-4.2190651751078487E-2</v>
      </c>
      <c r="S32" s="28"/>
      <c r="T32" s="55"/>
      <c r="Y32" s="47"/>
      <c r="AA32" s="47"/>
    </row>
    <row r="33" spans="1:29" x14ac:dyDescent="0.2">
      <c r="J33" s="28"/>
      <c r="R33" s="28"/>
      <c r="S33" s="28"/>
      <c r="T33" s="127"/>
      <c r="U33" s="127"/>
      <c r="V33" s="127"/>
      <c r="W33" s="127"/>
      <c r="X33" s="127"/>
      <c r="Y33" s="127"/>
      <c r="Z33" s="127"/>
      <c r="AA33" s="130"/>
      <c r="AB33" s="130"/>
      <c r="AC33" s="127"/>
    </row>
    <row r="34" spans="1:29" x14ac:dyDescent="0.2">
      <c r="B34" s="3" t="s">
        <v>39</v>
      </c>
      <c r="C34" s="59">
        <f>C28+C32</f>
        <v>8879.9700000000012</v>
      </c>
      <c r="D34" s="28">
        <f>+C34/$C$20</f>
        <v>0.9595621010590879</v>
      </c>
      <c r="E34" s="59">
        <f>E28+E32</f>
        <v>7562.63</v>
      </c>
      <c r="F34" s="28">
        <f>+E34/$E$20</f>
        <v>0.99565670741822265</v>
      </c>
      <c r="G34" s="28">
        <f>IF(C34=0,"",(E34-C34)/ABS(C34)+1)</f>
        <v>0.85165039971981882</v>
      </c>
      <c r="H34" s="59">
        <f>H28+H32</f>
        <v>9708.4699999999993</v>
      </c>
      <c r="I34" s="28">
        <f>+H34/$H$20</f>
        <v>1.2078892199737483</v>
      </c>
      <c r="J34" s="28">
        <f>IF(H34=0,"",(E34-H34)/ABS(H34))</f>
        <v>-0.22102761815198474</v>
      </c>
      <c r="K34" s="59">
        <f>K28+K32</f>
        <v>62043.95</v>
      </c>
      <c r="L34" s="28">
        <f>+K34/$K$20</f>
        <v>0.97273169537876814</v>
      </c>
      <c r="M34" s="59">
        <f>M28+M32</f>
        <v>55686.899999999994</v>
      </c>
      <c r="N34" s="28">
        <f>+M34/$M$20</f>
        <v>0.96297568268902523</v>
      </c>
      <c r="O34" s="28">
        <f>IF(K34=0,"",(M34-K34)/ABS(K34)+1)</f>
        <v>0.89753956671037216</v>
      </c>
      <c r="P34" s="59">
        <f>P28+P32</f>
        <v>57994.740000000005</v>
      </c>
      <c r="Q34" s="28">
        <f>+P34/$P$20</f>
        <v>0.94186738246418433</v>
      </c>
      <c r="R34" s="28">
        <f>IF(P34=0,"",(M34-P34)/ABS(P34))</f>
        <v>-3.9793953727527892E-2</v>
      </c>
      <c r="S34" s="28"/>
      <c r="T34" s="131"/>
      <c r="U34" s="127"/>
      <c r="V34" s="127"/>
      <c r="W34" s="127"/>
      <c r="X34" s="127"/>
      <c r="Y34" s="127"/>
      <c r="Z34" s="127"/>
      <c r="AA34" s="127"/>
      <c r="AB34" s="127"/>
      <c r="AC34" s="127"/>
    </row>
    <row r="35" spans="1:29" x14ac:dyDescent="0.2">
      <c r="J35" s="28"/>
      <c r="R35" s="28"/>
      <c r="S35" s="28"/>
      <c r="T35" s="131"/>
      <c r="U35" s="127"/>
      <c r="V35" s="127"/>
      <c r="W35" s="127"/>
      <c r="X35" s="127"/>
      <c r="Y35" s="127"/>
      <c r="Z35" s="127"/>
      <c r="AA35" s="127"/>
      <c r="AB35" s="127"/>
      <c r="AC35" s="127"/>
    </row>
    <row r="36" spans="1:29" x14ac:dyDescent="0.2">
      <c r="B36" s="17" t="s">
        <v>40</v>
      </c>
      <c r="C36" s="63">
        <f>C24-C34</f>
        <v>277.53999999999905</v>
      </c>
      <c r="D36" s="36">
        <f>+C36/$C$20</f>
        <v>2.9990739329968267E-2</v>
      </c>
      <c r="E36" s="63">
        <f>E24-E34</f>
        <v>32.989999999999782</v>
      </c>
      <c r="F36" s="36">
        <f>+E36/$E$20</f>
        <v>4.3432925817773645E-3</v>
      </c>
      <c r="G36" s="36">
        <f>IF(C36=0,"",(E36-C36)/ABS(C36)+1)</f>
        <v>0.11886574908121317</v>
      </c>
      <c r="H36" s="63">
        <f>H24-H34</f>
        <v>-1670.92</v>
      </c>
      <c r="I36" s="36">
        <f>+H36/$H$20</f>
        <v>-0.20788921997374823</v>
      </c>
      <c r="J36" s="36">
        <f>IF(H36=0,"",(E36-H36)/ABS(H36))</f>
        <v>1.0197436142963157</v>
      </c>
      <c r="K36" s="63">
        <f>K24-K34</f>
        <v>1213.3400000000038</v>
      </c>
      <c r="L36" s="36">
        <f>+K36/$K$20</f>
        <v>1.9022874515095805E-2</v>
      </c>
      <c r="M36" s="63">
        <f>M24-M34</f>
        <v>2141.0400000000081</v>
      </c>
      <c r="N36" s="36">
        <f>+M36/$M$20</f>
        <v>3.7024317310974733E-2</v>
      </c>
      <c r="O36" s="36">
        <f>IF(K36=0,"",(M36-K36)/ABS(K36)+1)</f>
        <v>1.7645837110785116</v>
      </c>
      <c r="P36" s="63">
        <f>P24-P34</f>
        <v>3538.9099999999962</v>
      </c>
      <c r="Q36" s="36">
        <f>+P36/$P$20</f>
        <v>5.7473900192954099E-2</v>
      </c>
      <c r="R36" s="36">
        <f>IF(P36=0,"",(M36-P36)/ABS(P36))</f>
        <v>-0.39500015541508249</v>
      </c>
      <c r="S36" s="36"/>
      <c r="T36" s="131"/>
      <c r="U36" s="127"/>
      <c r="V36" s="128"/>
      <c r="W36" s="128"/>
      <c r="X36" s="127"/>
      <c r="Y36" s="128"/>
      <c r="Z36" s="127"/>
      <c r="AA36" s="127"/>
      <c r="AB36" s="127"/>
      <c r="AC36" s="127"/>
    </row>
    <row r="37" spans="1:29" x14ac:dyDescent="0.2">
      <c r="J37" s="28"/>
      <c r="R37" s="28"/>
      <c r="S37" s="28"/>
      <c r="T37" s="127"/>
      <c r="U37" s="127" t="s">
        <v>95</v>
      </c>
      <c r="V37" s="130" t="s">
        <v>96</v>
      </c>
      <c r="W37" s="130" t="s">
        <v>97</v>
      </c>
      <c r="X37" s="130"/>
      <c r="Y37" s="127"/>
      <c r="Z37" s="127"/>
      <c r="AA37" s="127"/>
      <c r="AB37" s="127"/>
      <c r="AC37" s="127"/>
    </row>
    <row r="38" spans="1:29" x14ac:dyDescent="0.2">
      <c r="B38" s="3" t="s">
        <v>41</v>
      </c>
      <c r="C38" s="59">
        <v>0.76</v>
      </c>
      <c r="D38" s="28">
        <f>+C38/$C$20</f>
        <v>8.2124961774072061E-5</v>
      </c>
      <c r="E38" s="59">
        <v>0</v>
      </c>
      <c r="F38" s="28">
        <f>+E38/$E$20</f>
        <v>0</v>
      </c>
      <c r="G38" s="28">
        <f>IF(C38=0,"",(E38-C38)/ABS(C38)+1)</f>
        <v>0</v>
      </c>
      <c r="H38" s="59">
        <v>0</v>
      </c>
      <c r="I38" s="28">
        <f>+H38/$H$20</f>
        <v>0</v>
      </c>
      <c r="J38" s="28" t="str">
        <f>IF(H38=0,"",(E38-H38)/ABS(H38))</f>
        <v/>
      </c>
      <c r="K38" s="59">
        <v>5.32</v>
      </c>
      <c r="L38" s="28">
        <f>+K38/$K$20</f>
        <v>8.3407529975364995E-5</v>
      </c>
      <c r="M38" s="59">
        <v>150</v>
      </c>
      <c r="N38" s="28">
        <f>+M38/$M$20</f>
        <v>2.5939018405289897E-3</v>
      </c>
      <c r="O38" s="28">
        <f>IF(K38=0,"",(M38-K38)/ABS(K38)+1)</f>
        <v>28.195488721804512</v>
      </c>
      <c r="P38" s="59">
        <v>832.4</v>
      </c>
      <c r="Q38" s="28">
        <f>+P38/$P$20</f>
        <v>1.3518646849062293E-2</v>
      </c>
      <c r="R38" s="28">
        <f>IF(P38=0,"",(M38-P38)/ABS(P38))</f>
        <v>-0.81979817395482946</v>
      </c>
      <c r="S38" s="28"/>
      <c r="T38" s="131"/>
      <c r="U38" s="127" t="s">
        <v>98</v>
      </c>
      <c r="V38" s="128">
        <f>+V30</f>
        <v>14766.817506199999</v>
      </c>
      <c r="W38" s="128">
        <f>+W30</f>
        <v>16594.91</v>
      </c>
      <c r="X38" s="129">
        <f>+W38/V38</f>
        <v>1.1237973241717423</v>
      </c>
      <c r="Y38" s="127"/>
      <c r="Z38" s="127"/>
      <c r="AA38" s="127"/>
      <c r="AB38" s="127"/>
      <c r="AC38" s="127"/>
    </row>
    <row r="39" spans="1:29" x14ac:dyDescent="0.2">
      <c r="B39" s="3" t="s">
        <v>42</v>
      </c>
      <c r="C39" s="59">
        <v>63.02</v>
      </c>
      <c r="D39" s="28">
        <f>+C39/$C$20</f>
        <v>6.8098882776342394E-3</v>
      </c>
      <c r="E39" s="59">
        <v>5.49</v>
      </c>
      <c r="F39" s="28">
        <f>+E39/$E$20</f>
        <v>7.227849734452224E-4</v>
      </c>
      <c r="G39" s="28">
        <f>IF(C39=0,"",(E39-C39)/ABS(C39)+1)</f>
        <v>8.7115201523325969E-2</v>
      </c>
      <c r="H39" s="59">
        <v>2.93</v>
      </c>
      <c r="I39" s="28">
        <f>+H39/$H$20</f>
        <v>3.6453894532537904E-4</v>
      </c>
      <c r="J39" s="28">
        <f>IF(H39=0,"",(E39-H39)/ABS(H39))</f>
        <v>0.87372013651877134</v>
      </c>
      <c r="K39" s="59">
        <v>441.14</v>
      </c>
      <c r="L39" s="28">
        <f>+K39/$K$20</f>
        <v>6.9162401829572394E-3</v>
      </c>
      <c r="M39" s="59">
        <v>94.6</v>
      </c>
      <c r="N39" s="28">
        <f>+M39/$M$20</f>
        <v>1.6358874274269495E-3</v>
      </c>
      <c r="O39" s="28">
        <f>IF(K39=0,"",(M39-K39)/ABS(K39)+1)</f>
        <v>0.21444439406990978</v>
      </c>
      <c r="P39" s="59">
        <v>158.5</v>
      </c>
      <c r="Q39" s="28">
        <f>+P39/$P$20</f>
        <v>2.5741296559062634E-3</v>
      </c>
      <c r="R39" s="28">
        <f>IF(P39=0,"",(M39-P39)/ABS(P39))</f>
        <v>-0.40315457413249217</v>
      </c>
      <c r="S39" s="28"/>
      <c r="T39" s="131"/>
      <c r="U39" s="127" t="s">
        <v>99</v>
      </c>
      <c r="V39" s="128">
        <f>+'VENEZUELA USD'!W24</f>
        <v>0</v>
      </c>
      <c r="W39" s="128">
        <f>+'VENEZUELA USD'!Y24</f>
        <v>0</v>
      </c>
      <c r="X39" s="127"/>
      <c r="Y39" s="127"/>
      <c r="Z39" s="127"/>
      <c r="AA39" s="127"/>
      <c r="AB39" s="127"/>
      <c r="AC39" s="127"/>
    </row>
    <row r="40" spans="1:29" x14ac:dyDescent="0.2">
      <c r="J40" s="28"/>
      <c r="R40" s="28"/>
      <c r="S40" s="28"/>
      <c r="T40" s="127"/>
      <c r="U40" s="127" t="s">
        <v>100</v>
      </c>
      <c r="V40" s="128">
        <f>+'PANAMA USD'!U30</f>
        <v>0</v>
      </c>
      <c r="W40" s="128">
        <f>+'PANAMA USD'!V30</f>
        <v>0</v>
      </c>
      <c r="X40" s="127"/>
      <c r="Y40" s="127"/>
      <c r="Z40" s="127"/>
      <c r="AA40" s="127"/>
      <c r="AB40" s="127"/>
      <c r="AC40" s="127"/>
    </row>
    <row r="41" spans="1:29" x14ac:dyDescent="0.2">
      <c r="B41" s="3" t="s">
        <v>43</v>
      </c>
      <c r="C41" s="59">
        <f>C36+C38-C39</f>
        <v>215.27999999999903</v>
      </c>
      <c r="D41" s="28">
        <f>+C41/$C$20</f>
        <v>2.3262976014108098E-2</v>
      </c>
      <c r="E41" s="59">
        <f>E36+E38-E39</f>
        <v>27.49999999999978</v>
      </c>
      <c r="F41" s="28">
        <f>+E41/$E$20</f>
        <v>3.6205076083321414E-3</v>
      </c>
      <c r="G41" s="28">
        <f>IF(C41=0,"",(E41-C41)/ABS(C41)+1)</f>
        <v>0.1277406168710512</v>
      </c>
      <c r="H41" s="59">
        <f>H36+H38-H39</f>
        <v>-1673.8500000000001</v>
      </c>
      <c r="I41" s="28">
        <f>+H41/$H$20</f>
        <v>-0.20825375891907363</v>
      </c>
      <c r="J41" s="28">
        <f>IF(H41=0,"",(E41-H41)/ABS(H41))</f>
        <v>1.0164291901902798</v>
      </c>
      <c r="K41" s="59">
        <f>K36+K38-K39</f>
        <v>777.52000000000373</v>
      </c>
      <c r="L41" s="28">
        <f>+K41/$K$20</f>
        <v>1.2190041862113929E-2</v>
      </c>
      <c r="M41" s="59">
        <f>M36+M38-M39</f>
        <v>2196.4400000000082</v>
      </c>
      <c r="N41" s="28">
        <f>+M41/$M$20</f>
        <v>3.7982331724076772E-2</v>
      </c>
      <c r="O41" s="28">
        <f>IF(K41=0,"",(M41-K41)/ABS(K41)+1)</f>
        <v>2.8249305484103275</v>
      </c>
      <c r="P41" s="59">
        <f>P36+P38-P39</f>
        <v>4212.8099999999959</v>
      </c>
      <c r="Q41" s="28">
        <f>+P41/$P$20</f>
        <v>6.8418417386110125E-2</v>
      </c>
      <c r="R41" s="28">
        <f>IF(P41=0,"",(M41-P41)/ABS(P41))</f>
        <v>-0.47862827898718185</v>
      </c>
      <c r="S41" s="28"/>
      <c r="T41" s="131"/>
      <c r="U41" s="127" t="s">
        <v>101</v>
      </c>
      <c r="V41" s="128">
        <f>SUM(V38:V40)</f>
        <v>14766.817506199999</v>
      </c>
      <c r="W41" s="128">
        <f>SUM(W38:W40)</f>
        <v>16594.91</v>
      </c>
      <c r="X41" s="127" t="s">
        <v>102</v>
      </c>
      <c r="Y41" s="127"/>
      <c r="Z41" s="127"/>
      <c r="AA41" s="127"/>
      <c r="AB41" s="127"/>
      <c r="AC41" s="127"/>
    </row>
    <row r="42" spans="1:29" x14ac:dyDescent="0.2">
      <c r="A42" s="87"/>
      <c r="B42" s="3" t="s">
        <v>29</v>
      </c>
      <c r="C42" s="59">
        <v>94.51</v>
      </c>
      <c r="D42" s="28">
        <f>+C42/$C$20</f>
        <v>1.0212671233246777E-2</v>
      </c>
      <c r="E42" s="59">
        <v>6.87</v>
      </c>
      <c r="F42" s="28">
        <f>+E42/$E$20</f>
        <v>9.0446862797243681E-4</v>
      </c>
      <c r="G42" s="28">
        <f>IF(C42=0,"",(E42-C42)/ABS(C42)+1)</f>
        <v>7.2690720558671096E-2</v>
      </c>
      <c r="H42" s="59">
        <v>0</v>
      </c>
      <c r="I42" s="28">
        <f>+H42/$H$20</f>
        <v>0</v>
      </c>
      <c r="J42" s="28" t="str">
        <f>IF(H42=0,"",(E42-H42)/ABS(H42))</f>
        <v/>
      </c>
      <c r="K42" s="59">
        <v>83.02</v>
      </c>
      <c r="L42" s="28">
        <f>+K42/$K$20</f>
        <v>1.3015964546155641E-3</v>
      </c>
      <c r="M42" s="59">
        <v>526.88</v>
      </c>
      <c r="N42" s="28">
        <f>+M42/$M$20</f>
        <v>9.1111666782527616E-3</v>
      </c>
      <c r="O42" s="28">
        <f>IF(K42=0,"",(M42-K42)/ABS(K42)+1)</f>
        <v>6.3464225487834263</v>
      </c>
      <c r="P42" s="59">
        <v>1472.37</v>
      </c>
      <c r="Q42" s="28">
        <f>+P42/$P$20</f>
        <v>2.3912121649632207E-2</v>
      </c>
      <c r="R42" s="28">
        <f>IF(P42=0,"",(M42-P42)/ABS(P42))</f>
        <v>-0.64215516480232548</v>
      </c>
      <c r="S42" s="28"/>
      <c r="T42" s="131"/>
      <c r="U42" s="127" t="s">
        <v>103</v>
      </c>
      <c r="V42" s="128">
        <f>+V41-V39</f>
        <v>14766.817506199999</v>
      </c>
      <c r="W42" s="128">
        <f>+W41-W39</f>
        <v>16594.91</v>
      </c>
      <c r="X42" s="132">
        <f>+W42/V42</f>
        <v>1.1237973241717423</v>
      </c>
      <c r="Y42" s="127"/>
      <c r="Z42" s="127"/>
      <c r="AA42" s="127"/>
      <c r="AB42" s="127"/>
      <c r="AC42" s="127"/>
    </row>
    <row r="43" spans="1:29" x14ac:dyDescent="0.2">
      <c r="B43" s="17" t="s">
        <v>44</v>
      </c>
      <c r="C43" s="63">
        <f>C41-C42</f>
        <v>120.76999999999903</v>
      </c>
      <c r="D43" s="36">
        <f>+C43/$C$20</f>
        <v>1.305030478086132E-2</v>
      </c>
      <c r="E43" s="63">
        <f>E41-E42</f>
        <v>20.629999999999779</v>
      </c>
      <c r="F43" s="36">
        <f>+E43/$E$20</f>
        <v>2.7160389803597045E-3</v>
      </c>
      <c r="G43" s="36">
        <f>IF(C43=0,"",(E43-C43)/ABS(C43)+1)</f>
        <v>0.1708205680218593</v>
      </c>
      <c r="H43" s="63">
        <f>H41-H42</f>
        <v>-1673.8500000000001</v>
      </c>
      <c r="I43" s="36">
        <f>+H43/$H$20</f>
        <v>-0.20825375891907363</v>
      </c>
      <c r="J43" s="36">
        <f>IF(H43=0,"",(E43-H43)/ABS(H43))</f>
        <v>1.012324879768199</v>
      </c>
      <c r="K43" s="63">
        <f>K41-K42</f>
        <v>694.50000000000375</v>
      </c>
      <c r="L43" s="36">
        <f>+K43/$K$20</f>
        <v>1.0888445407498365E-2</v>
      </c>
      <c r="M43" s="63">
        <f>M41-M42</f>
        <v>1669.5600000000081</v>
      </c>
      <c r="N43" s="36">
        <f>+M43/$M$20</f>
        <v>2.8871165045824008E-2</v>
      </c>
      <c r="O43" s="36">
        <f>IF(K43=0,"",(M43-K43)/ABS(K43)+1)</f>
        <v>2.4039740820734328</v>
      </c>
      <c r="P43" s="63">
        <f>P41-P42</f>
        <v>2740.439999999996</v>
      </c>
      <c r="Q43" s="36">
        <f>+P43/$P$20</f>
        <v>4.4506295736477922E-2</v>
      </c>
      <c r="R43" s="36">
        <f>IF(P43=0,"",(M43-P43)/ABS(P43))</f>
        <v>-0.39076936550334596</v>
      </c>
      <c r="S43" s="36"/>
      <c r="T43" s="131"/>
      <c r="U43" s="127"/>
      <c r="V43" s="127"/>
      <c r="W43" s="127"/>
      <c r="X43" s="127"/>
      <c r="Y43" s="127"/>
      <c r="Z43" s="127"/>
      <c r="AA43" s="127"/>
      <c r="AB43" s="127"/>
      <c r="AC43" s="127"/>
    </row>
    <row r="44" spans="1:29" x14ac:dyDescent="0.2">
      <c r="J44" s="28"/>
      <c r="R44" s="28"/>
      <c r="S44" s="28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</row>
    <row r="45" spans="1:29" x14ac:dyDescent="0.2">
      <c r="A45" s="87"/>
      <c r="B45" s="3" t="s">
        <v>45</v>
      </c>
      <c r="C45" s="59">
        <v>736.31999999999903</v>
      </c>
      <c r="D45" s="28">
        <f>+C45/$C$20</f>
        <v>7.9566120859848238E-2</v>
      </c>
      <c r="E45" s="59">
        <v>376.60999999999979</v>
      </c>
      <c r="F45" s="28">
        <f>+E45/$E$20</f>
        <v>4.9582522559053745E-2</v>
      </c>
      <c r="G45" s="28">
        <f>IF(C45=0,"",(E45-C45)/ABS(C45)+1)</f>
        <v>0.51147598870056532</v>
      </c>
      <c r="H45" s="59">
        <v>-1282.0500000000002</v>
      </c>
      <c r="I45" s="28">
        <f>+H45/$H$20</f>
        <v>-0.15950756138375505</v>
      </c>
      <c r="J45" s="28">
        <f>IF(H45=0,"",(E45-H45)/ABS(H45))</f>
        <v>1.2937560937560935</v>
      </c>
      <c r="K45" s="59">
        <v>4424.8000000000038</v>
      </c>
      <c r="L45" s="28">
        <f>+K45/$K$20</f>
        <v>6.9372488465224688E-2</v>
      </c>
      <c r="M45" s="59">
        <v>4573.0300000000079</v>
      </c>
      <c r="N45" s="28">
        <f>+M45/$M$20</f>
        <v>7.9079939558628715E-2</v>
      </c>
      <c r="O45" s="28">
        <f>IF(K45=0,"",(M45-K45)/ABS(K45)+1)</f>
        <v>1.0334998192008686</v>
      </c>
      <c r="P45" s="59">
        <v>6542.6799999999967</v>
      </c>
      <c r="Q45" s="28">
        <f>+P45/$P$20</f>
        <v>0.10625682408268002</v>
      </c>
      <c r="R45" s="28">
        <f>IF(P45=0,"",(M45-P45)/ABS(P45))</f>
        <v>-0.30104636020713066</v>
      </c>
      <c r="S45" s="28"/>
      <c r="T45" s="55"/>
    </row>
    <row r="46" spans="1:29" x14ac:dyDescent="0.2">
      <c r="B46" s="3" t="s">
        <v>20</v>
      </c>
      <c r="C46" s="59">
        <v>6346.89</v>
      </c>
      <c r="D46" s="28">
        <f>+C46/$C$20</f>
        <v>0.68583960346610562</v>
      </c>
      <c r="E46" s="59">
        <v>5506.46</v>
      </c>
      <c r="F46" s="28">
        <f>+E46/$E$20</f>
        <v>0.72495201181733682</v>
      </c>
      <c r="G46" s="28">
        <f>IF(C46=0,"",(E46-C46)/ABS(C46)+1)</f>
        <v>0.86758396632051282</v>
      </c>
      <c r="H46" s="59">
        <v>5912.81</v>
      </c>
      <c r="I46" s="28">
        <f>+H46/$H$20</f>
        <v>0.73564830078817567</v>
      </c>
      <c r="J46" s="28">
        <f>IF(H46=0,"",(E46-H46)/ABS(H46))</f>
        <v>-6.872366945665434E-2</v>
      </c>
      <c r="K46" s="59">
        <v>43228.23</v>
      </c>
      <c r="L46" s="28">
        <f>+K46/$K$20</f>
        <v>0.67773682133589708</v>
      </c>
      <c r="M46" s="59">
        <v>38678.83</v>
      </c>
      <c r="N46" s="28">
        <f>+M46/$M$20</f>
        <v>0.66886058884338606</v>
      </c>
      <c r="O46" s="28">
        <f>IF(K46=0,"",(M46-K46)/ABS(K46)+1)</f>
        <v>0.89475858715473655</v>
      </c>
      <c r="P46" s="59">
        <v>40529.25</v>
      </c>
      <c r="Q46" s="28">
        <f>+P46/$P$20</f>
        <v>0.65821794546775347</v>
      </c>
      <c r="R46" s="28">
        <f>IF(P46=0,"",(M46-P46)/ABS(P46))</f>
        <v>-4.5656408643140405E-2</v>
      </c>
      <c r="S46" s="28"/>
    </row>
    <row r="47" spans="1:29" x14ac:dyDescent="0.2">
      <c r="B47" s="3"/>
      <c r="C47" s="2" t="s">
        <v>46</v>
      </c>
      <c r="E47" s="2" t="s">
        <v>46</v>
      </c>
      <c r="H47" s="2" t="s">
        <v>46</v>
      </c>
      <c r="J47" s="2" t="s">
        <v>46</v>
      </c>
      <c r="K47" s="2" t="s">
        <v>46</v>
      </c>
      <c r="M47" s="2" t="s">
        <v>46</v>
      </c>
    </row>
    <row r="50" spans="2:20" x14ac:dyDescent="0.2"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2:20" x14ac:dyDescent="0.2"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2:20" x14ac:dyDescent="0.2"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2:20" x14ac:dyDescent="0.2"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2:20" x14ac:dyDescent="0.2"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2:20" x14ac:dyDescent="0.2">
      <c r="B55" s="127"/>
      <c r="C55" s="127"/>
      <c r="D55" s="127"/>
      <c r="E55" s="127"/>
      <c r="F55" s="127"/>
      <c r="G55" s="127"/>
      <c r="H55" s="128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2:20" x14ac:dyDescent="0.2">
      <c r="B56" s="127" t="s">
        <v>104</v>
      </c>
      <c r="C56" s="128" t="s">
        <v>105</v>
      </c>
      <c r="D56" s="127"/>
      <c r="E56" s="128" t="s">
        <v>106</v>
      </c>
      <c r="F56" s="127"/>
      <c r="G56" s="127"/>
      <c r="H56" s="127"/>
      <c r="I56" s="127"/>
      <c r="J56" s="127"/>
      <c r="K56" s="127"/>
      <c r="L56" s="127"/>
      <c r="M56" s="127"/>
      <c r="N56" s="128" t="s">
        <v>107</v>
      </c>
      <c r="O56" s="127"/>
      <c r="P56" s="127"/>
      <c r="Q56" s="127"/>
      <c r="R56" s="128" t="s">
        <v>108</v>
      </c>
      <c r="S56" s="128"/>
      <c r="T56" s="127"/>
    </row>
    <row r="57" spans="2:20" x14ac:dyDescent="0.2">
      <c r="B57" s="127" t="s">
        <v>98</v>
      </c>
      <c r="C57" s="128">
        <f>+C36</f>
        <v>277.53999999999905</v>
      </c>
      <c r="D57" s="127"/>
      <c r="E57" s="128">
        <f>+E36</f>
        <v>32.989999999999782</v>
      </c>
      <c r="F57" s="127"/>
      <c r="G57" s="127"/>
      <c r="H57" s="127"/>
      <c r="I57" s="127"/>
      <c r="J57" s="127"/>
      <c r="K57" s="127"/>
      <c r="L57" s="127"/>
      <c r="M57" s="127"/>
      <c r="N57" s="128">
        <f>+K36</f>
        <v>1213.3400000000038</v>
      </c>
      <c r="O57" s="127"/>
      <c r="P57" s="127"/>
      <c r="Q57" s="127"/>
      <c r="R57" s="128">
        <f>+M36</f>
        <v>2141.0400000000081</v>
      </c>
      <c r="S57" s="128"/>
      <c r="T57" s="127"/>
    </row>
    <row r="58" spans="2:20" x14ac:dyDescent="0.2">
      <c r="B58" s="127" t="s">
        <v>109</v>
      </c>
      <c r="C58" s="128">
        <f>+'VENEZUELA USD'!C36</f>
        <v>0</v>
      </c>
      <c r="D58" s="127"/>
      <c r="E58" s="128">
        <f>+'VENEZUELA USD'!E36</f>
        <v>2907.353637901861</v>
      </c>
      <c r="F58" s="127"/>
      <c r="G58" s="127"/>
      <c r="H58" s="127"/>
      <c r="I58" s="127"/>
      <c r="J58" s="127"/>
      <c r="K58" s="127"/>
      <c r="L58" s="127"/>
      <c r="M58" s="127"/>
      <c r="N58" s="128">
        <f>+'VENEZUELA USD'!K36</f>
        <v>0</v>
      </c>
      <c r="O58" s="127"/>
      <c r="P58" s="127"/>
      <c r="Q58" s="127"/>
      <c r="R58" s="128" t="str">
        <f>+'VENEZUELA USD'!O36</f>
        <v/>
      </c>
      <c r="S58" s="128"/>
      <c r="T58" s="127"/>
    </row>
    <row r="59" spans="2:20" x14ac:dyDescent="0.2">
      <c r="B59" s="127" t="s">
        <v>110</v>
      </c>
      <c r="C59" s="128">
        <f>+'PANAMA USD'!C36</f>
        <v>0</v>
      </c>
      <c r="D59" s="127"/>
      <c r="E59" s="128">
        <f>+'PANAMA USD'!E36</f>
        <v>0</v>
      </c>
      <c r="F59" s="127"/>
      <c r="G59" s="127"/>
      <c r="H59" s="127"/>
      <c r="I59" s="127"/>
      <c r="J59" s="127"/>
      <c r="K59" s="127"/>
      <c r="L59" s="127"/>
      <c r="M59" s="127"/>
      <c r="N59" s="128">
        <f>+'PANAMA USD'!K36</f>
        <v>0</v>
      </c>
      <c r="O59" s="127"/>
      <c r="P59" s="127"/>
      <c r="Q59" s="127"/>
      <c r="R59" s="128">
        <f>+'PANAMA USD'!M36</f>
        <v>-3795</v>
      </c>
      <c r="S59" s="128"/>
      <c r="T59" s="127"/>
    </row>
    <row r="60" spans="2:20" x14ac:dyDescent="0.2">
      <c r="B60" s="127" t="s">
        <v>111</v>
      </c>
      <c r="C60" s="128">
        <f>SUM(C57:C59)</f>
        <v>277.53999999999905</v>
      </c>
      <c r="D60" s="127"/>
      <c r="E60" s="128">
        <f>SUM(E57:E59)</f>
        <v>2940.3436379018608</v>
      </c>
      <c r="F60" s="127"/>
      <c r="G60" s="127"/>
      <c r="H60" s="127"/>
      <c r="I60" s="127"/>
      <c r="J60" s="127"/>
      <c r="K60" s="127"/>
      <c r="L60" s="127"/>
      <c r="M60" s="127"/>
      <c r="N60" s="128">
        <f>SUM(N57:N59)</f>
        <v>1213.3400000000038</v>
      </c>
      <c r="O60" s="127"/>
      <c r="P60" s="127"/>
      <c r="Q60" s="127"/>
      <c r="R60" s="128">
        <f>SUM(R57:R59)</f>
        <v>-1653.9599999999919</v>
      </c>
      <c r="S60" s="128"/>
      <c r="T60" s="127"/>
    </row>
    <row r="61" spans="2:20" x14ac:dyDescent="0.2">
      <c r="B61" s="127" t="s">
        <v>112</v>
      </c>
      <c r="C61" s="128">
        <f>+C60-C58</f>
        <v>277.53999999999905</v>
      </c>
      <c r="D61" s="127"/>
      <c r="E61" s="128">
        <f>+E60-E58</f>
        <v>32.989999999999782</v>
      </c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2:20" x14ac:dyDescent="0.2">
      <c r="B62" s="127" t="s">
        <v>113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2:20" x14ac:dyDescent="0.2">
      <c r="B63" s="127" t="s">
        <v>98</v>
      </c>
      <c r="C63" s="128">
        <f>+C43</f>
        <v>120.76999999999903</v>
      </c>
      <c r="D63" s="127"/>
      <c r="E63" s="128">
        <f>+E43</f>
        <v>20.629999999999779</v>
      </c>
      <c r="F63" s="127"/>
      <c r="G63" s="127"/>
      <c r="H63" s="127"/>
      <c r="I63" s="127"/>
      <c r="J63" s="127"/>
      <c r="K63" s="127">
        <f>+E63/C63</f>
        <v>0.17082056802185927</v>
      </c>
      <c r="L63" s="127"/>
      <c r="M63" s="127"/>
      <c r="N63" s="127"/>
      <c r="O63" s="127"/>
      <c r="P63" s="127"/>
      <c r="Q63" s="127"/>
      <c r="R63" s="127"/>
      <c r="S63" s="127"/>
      <c r="T63" s="127"/>
    </row>
    <row r="64" spans="2:20" x14ac:dyDescent="0.2">
      <c r="B64" s="127" t="s">
        <v>114</v>
      </c>
      <c r="C64" s="128">
        <f>+'VENEZUELA USD'!C43</f>
        <v>0</v>
      </c>
      <c r="D64" s="127"/>
      <c r="E64" s="128">
        <f>+'VENEZUELA USD'!E43</f>
        <v>2861.670050761421</v>
      </c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2:20" x14ac:dyDescent="0.2">
      <c r="B65" s="127" t="s">
        <v>110</v>
      </c>
      <c r="C65" s="128">
        <f>+'PANAMA USD'!C43</f>
        <v>0</v>
      </c>
      <c r="D65" s="127"/>
      <c r="E65" s="128">
        <f>+'PANAMA USD'!E43</f>
        <v>0</v>
      </c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2:20" x14ac:dyDescent="0.2">
      <c r="B66" s="127" t="s">
        <v>115</v>
      </c>
      <c r="C66" s="128">
        <f>SUM(C63:C65)</f>
        <v>120.76999999999903</v>
      </c>
      <c r="D66" s="127"/>
      <c r="E66" s="128">
        <f>SUM(E63:E65)</f>
        <v>2882.3000507614206</v>
      </c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2:20" x14ac:dyDescent="0.2"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2:20" x14ac:dyDescent="0.2">
      <c r="B68" s="127" t="s">
        <v>116</v>
      </c>
      <c r="C68" s="128">
        <f>+C66-C64</f>
        <v>120.76999999999903</v>
      </c>
      <c r="D68" s="127"/>
      <c r="E68" s="128">
        <f>+E66-E64</f>
        <v>20.629999999999654</v>
      </c>
      <c r="F68" s="129">
        <f>+E68/C68</f>
        <v>0.17082056802185824</v>
      </c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2:20" x14ac:dyDescent="0.2"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2:20" x14ac:dyDescent="0.2"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2:20" x14ac:dyDescent="0.2"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2:20" x14ac:dyDescent="0.2"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2:20" x14ac:dyDescent="0.2"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2:20" x14ac:dyDescent="0.2"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</sheetData>
  <conditionalFormatting sqref="R10:S46">
    <cfRule type="cellIs" dxfId="60" priority="3" operator="lessThan">
      <formula>0</formula>
    </cfRule>
  </conditionalFormatting>
  <conditionalFormatting sqref="J10:J46">
    <cfRule type="cellIs" dxfId="59" priority="2" operator="lessThan">
      <formula>0</formula>
    </cfRule>
  </conditionalFormatting>
  <conditionalFormatting sqref="AD19:AD28 AD30 AD10:AD11 AD13:AD17">
    <cfRule type="cellIs" dxfId="58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5088C-98E4-47E5-B3AA-57676487B95C}">
  <sheetPr>
    <tabColor theme="0" tint="-0.14999847407452621"/>
  </sheetPr>
  <dimension ref="A1:AH48"/>
  <sheetViews>
    <sheetView showGridLines="0" topLeftCell="K1" zoomScale="98" zoomScaleNormal="98" workbookViewId="0">
      <selection activeCell="O3" sqref="O3"/>
    </sheetView>
  </sheetViews>
  <sheetFormatPr baseColWidth="10" defaultRowHeight="12.75" x14ac:dyDescent="0.2"/>
  <cols>
    <col min="1" max="1" width="4.28515625" style="2" customWidth="1"/>
    <col min="2" max="2" width="35.7109375" style="2" customWidth="1"/>
    <col min="3" max="3" width="11.5703125" style="2" customWidth="1"/>
    <col min="4" max="4" width="6.7109375" style="2" bestFit="1" customWidth="1"/>
    <col min="5" max="6" width="8.85546875" style="2" customWidth="1"/>
    <col min="7" max="7" width="7.5703125" style="2" customWidth="1"/>
    <col min="8" max="8" width="13.42578125" style="2" customWidth="1"/>
    <col min="9" max="9" width="7.7109375" style="2" customWidth="1"/>
    <col min="10" max="10" width="8.140625" style="2" customWidth="1"/>
    <col min="11" max="11" width="9.5703125" style="2" bestFit="1" customWidth="1"/>
    <col min="12" max="12" width="8.42578125" style="2" customWidth="1"/>
    <col min="13" max="13" width="9.42578125" style="2" bestFit="1" customWidth="1"/>
    <col min="14" max="14" width="5.7109375" style="2" customWidth="1"/>
    <col min="15" max="15" width="6" style="2" bestFit="1" customWidth="1"/>
    <col min="16" max="16" width="14.28515625" style="2" customWidth="1"/>
    <col min="17" max="17" width="5.85546875" style="2" bestFit="1" customWidth="1"/>
    <col min="18" max="18" width="6.42578125" style="2" bestFit="1" customWidth="1"/>
    <col min="19" max="19" width="14.140625" style="55" customWidth="1"/>
    <col min="20" max="20" width="23.28515625" style="2" customWidth="1"/>
    <col min="21" max="21" width="11.42578125" style="2"/>
    <col min="22" max="23" width="14.28515625" style="2" customWidth="1"/>
    <col min="24" max="24" width="14.42578125" style="2" customWidth="1"/>
    <col min="25" max="25" width="14.5703125" style="2" customWidth="1"/>
    <col min="26" max="26" width="16.5703125" style="2" customWidth="1"/>
    <col min="27" max="27" width="10" style="2" customWidth="1"/>
    <col min="28" max="28" width="14" style="2" bestFit="1" customWidth="1"/>
    <col min="29" max="29" width="9.42578125" style="2" customWidth="1"/>
    <col min="30" max="31" width="13.140625" style="2" customWidth="1"/>
    <col min="32" max="32" width="18.5703125" style="2" customWidth="1"/>
    <col min="33" max="16384" width="11.42578125" style="2"/>
  </cols>
  <sheetData>
    <row r="1" spans="1:34" s="46" customFormat="1" ht="19.5" customHeight="1" x14ac:dyDescent="0.2">
      <c r="B1" s="41"/>
      <c r="S1" s="55"/>
    </row>
    <row r="2" spans="1:34" ht="13.5" customHeight="1" x14ac:dyDescent="0.2">
      <c r="A2" s="46"/>
      <c r="X2" s="46"/>
      <c r="Y2" s="46"/>
    </row>
    <row r="3" spans="1:34" ht="25.5" customHeight="1" x14ac:dyDescent="0.25">
      <c r="B3" s="13" t="s">
        <v>117</v>
      </c>
      <c r="T3" s="15" t="s">
        <v>117</v>
      </c>
    </row>
    <row r="4" spans="1:34" x14ac:dyDescent="0.2">
      <c r="B4" s="3" t="s">
        <v>91</v>
      </c>
      <c r="C4" s="84"/>
      <c r="S4" s="89"/>
      <c r="T4" s="3" t="s">
        <v>6</v>
      </c>
    </row>
    <row r="5" spans="1:34" ht="15.75" customHeight="1" thickBot="1" x14ac:dyDescent="0.25">
      <c r="B5" s="3" t="s">
        <v>118</v>
      </c>
      <c r="T5" s="3" t="s">
        <v>118</v>
      </c>
      <c r="X5" s="18" t="s">
        <v>8</v>
      </c>
      <c r="Y5" s="18"/>
      <c r="Z5" s="18"/>
      <c r="AA5" s="18"/>
      <c r="AB5" s="18"/>
      <c r="AC5" s="18"/>
      <c r="AD5" s="2" t="s">
        <v>92</v>
      </c>
    </row>
    <row r="6" spans="1:34" ht="13.5" thickBot="1" x14ac:dyDescent="0.25">
      <c r="B6" s="72" t="str">
        <f>+'COL. CONS.$'!B6</f>
        <v>JULIO de 2022</v>
      </c>
      <c r="K6" s="90" t="s">
        <v>8</v>
      </c>
      <c r="L6" s="90"/>
      <c r="M6" s="90"/>
      <c r="N6" s="90"/>
      <c r="O6" s="90"/>
      <c r="P6" s="90"/>
      <c r="Q6" s="90"/>
      <c r="R6" s="90"/>
      <c r="T6" s="17" t="str">
        <f>+B6</f>
        <v>JULIO de 2022</v>
      </c>
      <c r="Z6" s="2" t="s">
        <v>11</v>
      </c>
      <c r="AA6" s="2" t="s">
        <v>9</v>
      </c>
      <c r="AC6" s="2" t="s">
        <v>10</v>
      </c>
      <c r="AD6" s="2" t="s">
        <v>49</v>
      </c>
      <c r="AE6" s="2" t="s">
        <v>119</v>
      </c>
      <c r="AF6" s="2" t="s">
        <v>93</v>
      </c>
    </row>
    <row r="7" spans="1:34" x14ac:dyDescent="0.2">
      <c r="C7" s="53" t="str">
        <f>+'COL. CONS.$'!C7:C7</f>
        <v>Ppto 2022</v>
      </c>
      <c r="D7" s="53"/>
      <c r="E7" s="53" t="s">
        <v>50</v>
      </c>
      <c r="F7" s="53"/>
      <c r="G7" s="53" t="s">
        <v>9</v>
      </c>
      <c r="H7" s="53" t="s">
        <v>51</v>
      </c>
      <c r="I7" s="53"/>
      <c r="J7" s="53" t="s">
        <v>10</v>
      </c>
      <c r="K7" s="53" t="str">
        <f>+C7</f>
        <v>Ppto 2022</v>
      </c>
      <c r="L7" s="53"/>
      <c r="M7" s="53" t="str">
        <f>+E7</f>
        <v>Real 2022</v>
      </c>
      <c r="N7" s="53"/>
      <c r="O7" s="53" t="s">
        <v>9</v>
      </c>
      <c r="P7" s="53" t="str">
        <f>+H7</f>
        <v>Real 2021</v>
      </c>
      <c r="Q7" s="53"/>
      <c r="R7" s="53" t="s">
        <v>10</v>
      </c>
      <c r="U7" s="46" t="str">
        <f>+C7</f>
        <v>Ppto 2022</v>
      </c>
      <c r="V7" s="46" t="str">
        <f>+M7</f>
        <v>Real 2022</v>
      </c>
      <c r="W7" s="46" t="str">
        <f>+H7</f>
        <v>Real 2021</v>
      </c>
      <c r="X7" s="46" t="str">
        <f>+U7</f>
        <v>Ppto 2022</v>
      </c>
      <c r="Y7" s="46" t="str">
        <f>+V7</f>
        <v>Real 2022</v>
      </c>
      <c r="Z7" s="46" t="s">
        <v>11</v>
      </c>
      <c r="AA7" s="46" t="s">
        <v>9</v>
      </c>
      <c r="AB7" s="46" t="str">
        <f>+W7</f>
        <v>Real 2021</v>
      </c>
      <c r="AC7" s="46" t="s">
        <v>10</v>
      </c>
      <c r="AD7" s="60"/>
      <c r="AE7" s="60"/>
      <c r="AG7" s="60"/>
    </row>
    <row r="8" spans="1:34" ht="13.5" thickBot="1" x14ac:dyDescent="0.25">
      <c r="B8" s="24"/>
      <c r="C8" s="25" t="s">
        <v>13</v>
      </c>
      <c r="D8" s="25" t="s">
        <v>14</v>
      </c>
      <c r="E8" s="25" t="s">
        <v>13</v>
      </c>
      <c r="F8" s="25" t="s">
        <v>14</v>
      </c>
      <c r="G8" s="25" t="s">
        <v>15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14</v>
      </c>
      <c r="M8" s="25" t="s">
        <v>13</v>
      </c>
      <c r="N8" s="25" t="s">
        <v>14</v>
      </c>
      <c r="O8" s="25" t="s">
        <v>15</v>
      </c>
      <c r="P8" s="25" t="s">
        <v>13</v>
      </c>
      <c r="Q8" s="25" t="s">
        <v>14</v>
      </c>
      <c r="R8" s="25" t="s">
        <v>15</v>
      </c>
      <c r="T8" s="24"/>
      <c r="U8" s="25"/>
      <c r="V8" s="25"/>
      <c r="W8" s="25"/>
      <c r="X8" s="24"/>
      <c r="Y8" s="24"/>
      <c r="Z8" s="25"/>
      <c r="AA8" s="25" t="s">
        <v>15</v>
      </c>
      <c r="AB8" s="24"/>
      <c r="AC8" s="25" t="s">
        <v>15</v>
      </c>
      <c r="AD8" s="60"/>
      <c r="AE8" s="60"/>
      <c r="AG8" s="60"/>
      <c r="AH8" s="60"/>
    </row>
    <row r="9" spans="1:34" x14ac:dyDescent="0.2">
      <c r="AD9" s="60"/>
      <c r="AE9" s="60"/>
      <c r="AG9" s="60"/>
      <c r="AH9" s="60"/>
    </row>
    <row r="10" spans="1:34" x14ac:dyDescent="0.2">
      <c r="B10" s="3" t="str">
        <f>+'COLOMB$ '!B10</f>
        <v>Musical Experience  (Ambiental)</v>
      </c>
      <c r="C10" s="59"/>
      <c r="D10" s="61" t="str">
        <f t="shared" ref="D10:D20" si="0">IF($C$20=0," ",C10/$C$20)</f>
        <v xml:space="preserve"> </v>
      </c>
      <c r="E10" s="59">
        <v>18213</v>
      </c>
      <c r="F10" s="61">
        <f t="shared" ref="F10:F15" si="1">+E10/$E$20</f>
        <v>0.5575363219010786</v>
      </c>
      <c r="G10" s="61" t="str">
        <f t="shared" ref="G10:G15" si="2">IF(C10=0,"",(E10-C10)/ABS(C10)+1)</f>
        <v/>
      </c>
      <c r="H10" s="59">
        <v>3369846703</v>
      </c>
      <c r="I10" s="61">
        <f t="shared" ref="I10:I15" si="3">+H10/$H$20</f>
        <v>0.50398048864961298</v>
      </c>
      <c r="J10" s="61">
        <f t="shared" ref="J10:J15" si="4">IF(H10=0,"",(E10-H10)/ABS(H10))</f>
        <v>-0.99999459530310864</v>
      </c>
      <c r="K10" s="59"/>
      <c r="L10" s="61" t="str">
        <f t="shared" ref="L10:L20" si="5">IF($K$20=0," ",K10/$K$20)</f>
        <v xml:space="preserve"> </v>
      </c>
      <c r="M10" s="59">
        <v>76152</v>
      </c>
      <c r="N10" s="61">
        <f t="shared" ref="N10:N15" si="6">+M10/$M$20</f>
        <v>0.37335453153473508</v>
      </c>
      <c r="O10" s="61" t="str">
        <f>IF(K10=0,"",(M10-K10)/ABS(K10)+1)</f>
        <v/>
      </c>
      <c r="P10" s="59">
        <v>14707945627</v>
      </c>
      <c r="Q10" s="61">
        <f t="shared" ref="Q10:Q15" si="7">+P10/$P$20</f>
        <v>0.49433868473908327</v>
      </c>
      <c r="R10" s="61">
        <f t="shared" ref="R10:R15" si="8">IF(P10=0,"",(M10-P10)/ABS(P10))</f>
        <v>-0.99999482239043225</v>
      </c>
      <c r="T10" s="3" t="s">
        <v>16</v>
      </c>
      <c r="U10" s="59">
        <v>236652</v>
      </c>
      <c r="V10" s="59">
        <v>25705</v>
      </c>
      <c r="W10" s="59">
        <v>1612386078.9000015</v>
      </c>
      <c r="X10" s="59">
        <v>236652</v>
      </c>
      <c r="Y10" s="59">
        <v>14767</v>
      </c>
      <c r="Z10" s="55">
        <f>+Y10-X10</f>
        <v>-221885</v>
      </c>
      <c r="AA10" s="61">
        <f>IF(X10=0,"",(Y10-X10)/ABS(X10)+1)</f>
        <v>6.2399641667934325E-2</v>
      </c>
      <c r="AB10" s="59">
        <v>458570656.94</v>
      </c>
      <c r="AC10" s="61">
        <f>IF(W10=0,"",(Y10-AB10)/ABS(AB10))</f>
        <v>-0.99996779776512845</v>
      </c>
      <c r="AD10" s="60"/>
      <c r="AE10" s="60"/>
      <c r="AF10" s="60">
        <v>14767</v>
      </c>
      <c r="AG10" s="60"/>
      <c r="AH10" s="60"/>
    </row>
    <row r="11" spans="1:34" ht="13.5" customHeight="1" x14ac:dyDescent="0.2">
      <c r="B11" s="3" t="str">
        <f>+'COLOMB$ '!B11</f>
        <v>Instalaciones</v>
      </c>
      <c r="C11" s="59"/>
      <c r="D11" s="61" t="str">
        <f t="shared" si="0"/>
        <v xml:space="preserve"> </v>
      </c>
      <c r="E11" s="59">
        <v>2965.85</v>
      </c>
      <c r="F11" s="61">
        <f t="shared" si="1"/>
        <v>9.0790594647247244E-2</v>
      </c>
      <c r="G11" s="61" t="str">
        <f t="shared" si="2"/>
        <v/>
      </c>
      <c r="H11" s="59">
        <v>793681893.79999995</v>
      </c>
      <c r="I11" s="61">
        <f t="shared" si="3"/>
        <v>0.1186998175061123</v>
      </c>
      <c r="J11" s="61">
        <f t="shared" si="4"/>
        <v>-0.99999626317543189</v>
      </c>
      <c r="K11" s="59"/>
      <c r="L11" s="61" t="str">
        <f t="shared" si="5"/>
        <v xml:space="preserve"> </v>
      </c>
      <c r="M11" s="59">
        <v>18122.55</v>
      </c>
      <c r="N11" s="61">
        <f t="shared" si="6"/>
        <v>8.8850406627072345E-2</v>
      </c>
      <c r="O11" s="61" t="str">
        <f>IF(K11=0,"",(M11-K11)/ABS(K11)+1)</f>
        <v/>
      </c>
      <c r="P11" s="59">
        <v>4863904584.8000002</v>
      </c>
      <c r="Q11" s="61">
        <f t="shared" si="7"/>
        <v>0.16347736496472628</v>
      </c>
      <c r="R11" s="61">
        <f t="shared" si="8"/>
        <v>-0.99999627407370273</v>
      </c>
      <c r="T11" s="3" t="s">
        <v>17</v>
      </c>
      <c r="U11" s="59"/>
      <c r="V11" s="59">
        <v>27923.94</v>
      </c>
      <c r="W11" s="59">
        <v>7399379264.4300003</v>
      </c>
      <c r="X11" s="59">
        <f>+AD8+U11</f>
        <v>0</v>
      </c>
      <c r="Y11" s="59">
        <f>+V11+AF11</f>
        <v>191139.94</v>
      </c>
      <c r="Z11" s="55">
        <f>+Y11-X11</f>
        <v>191139.94</v>
      </c>
      <c r="AA11" s="61" t="str">
        <f>IF(X11=0,"",(Y11-X11)/ABS(X11)+1)</f>
        <v/>
      </c>
      <c r="AB11" s="59">
        <v>27988541594.52</v>
      </c>
      <c r="AC11" s="61">
        <f>IF(AB11=0,"",(Y11-AB11)/ABS(AB11))</f>
        <v>-0.99999317077885774</v>
      </c>
      <c r="AD11" s="60"/>
      <c r="AE11" s="60"/>
      <c r="AF11" s="60">
        <v>163216</v>
      </c>
      <c r="AG11" s="60"/>
      <c r="AH11" s="60"/>
    </row>
    <row r="12" spans="1:34" x14ac:dyDescent="0.2">
      <c r="B12" s="3" t="str">
        <f>+'COLOMB$ '!B12</f>
        <v>Voice Experience (Publihold)</v>
      </c>
      <c r="C12" s="59"/>
      <c r="D12" s="61" t="str">
        <f t="shared" si="0"/>
        <v xml:space="preserve"> </v>
      </c>
      <c r="E12" s="59">
        <v>5376.6</v>
      </c>
      <c r="F12" s="61">
        <f t="shared" si="1"/>
        <v>0.16458846913376926</v>
      </c>
      <c r="G12" s="61" t="str">
        <f t="shared" si="2"/>
        <v/>
      </c>
      <c r="H12" s="59">
        <v>823162821</v>
      </c>
      <c r="I12" s="61">
        <f t="shared" si="3"/>
        <v>0.12310886438734656</v>
      </c>
      <c r="J12" s="61">
        <f t="shared" si="4"/>
        <v>-0.99999346836389735</v>
      </c>
      <c r="K12" s="59"/>
      <c r="L12" s="61" t="str">
        <f t="shared" si="5"/>
        <v xml:space="preserve"> </v>
      </c>
      <c r="M12" s="59">
        <v>26204.049999999996</v>
      </c>
      <c r="N12" s="61">
        <f t="shared" si="6"/>
        <v>0.12847201402540673</v>
      </c>
      <c r="O12" s="61" t="str">
        <f>IF(K12=0,"",(M12-K12)/ABS(K12)+1)</f>
        <v/>
      </c>
      <c r="P12" s="59">
        <v>4315722293.9400005</v>
      </c>
      <c r="Q12" s="61">
        <f t="shared" si="7"/>
        <v>0.14505278552084214</v>
      </c>
      <c r="R12" s="61">
        <f t="shared" si="8"/>
        <v>-0.9999939282353647</v>
      </c>
      <c r="AF12" s="60">
        <v>0</v>
      </c>
      <c r="AG12" s="60"/>
      <c r="AH12" s="60"/>
    </row>
    <row r="13" spans="1:34" x14ac:dyDescent="0.2">
      <c r="B13" s="3" t="str">
        <f>+'COLOMB$ '!B13</f>
        <v>Service &amp; Equipment Experience</v>
      </c>
      <c r="C13" s="59"/>
      <c r="D13" s="61" t="str">
        <f t="shared" si="0"/>
        <v xml:space="preserve"> </v>
      </c>
      <c r="E13" s="59">
        <v>1653</v>
      </c>
      <c r="F13" s="61">
        <f t="shared" si="1"/>
        <v>5.0601632905204134E-2</v>
      </c>
      <c r="G13" s="61" t="str">
        <f t="shared" si="2"/>
        <v/>
      </c>
      <c r="H13" s="59">
        <v>598326450</v>
      </c>
      <c r="I13" s="61">
        <f t="shared" si="3"/>
        <v>8.9483256426631658E-2</v>
      </c>
      <c r="J13" s="61">
        <f t="shared" si="4"/>
        <v>-0.9999972372941226</v>
      </c>
      <c r="K13" s="59"/>
      <c r="L13" s="61" t="str">
        <f t="shared" si="5"/>
        <v xml:space="preserve"> </v>
      </c>
      <c r="M13" s="59">
        <v>59519.07</v>
      </c>
      <c r="N13" s="61">
        <f t="shared" si="6"/>
        <v>0.29180736549575986</v>
      </c>
      <c r="O13" s="61" t="str">
        <f>IF(K13=0,"",(M13-K13)/ABS(K13)+1)</f>
        <v/>
      </c>
      <c r="P13" s="59">
        <v>928562114</v>
      </c>
      <c r="Q13" s="61">
        <f t="shared" si="7"/>
        <v>3.1209265098903583E-2</v>
      </c>
      <c r="R13" s="61">
        <f t="shared" si="8"/>
        <v>-0.99993590189702697</v>
      </c>
      <c r="T13" s="3" t="s">
        <v>18</v>
      </c>
      <c r="U13" s="59"/>
      <c r="V13" s="59"/>
      <c r="W13" s="59"/>
      <c r="X13" s="59">
        <f>+AD9+U13</f>
        <v>0</v>
      </c>
      <c r="Y13" s="59">
        <f>+V13+AF12</f>
        <v>0</v>
      </c>
      <c r="Z13" s="55">
        <f>+X13-Y13</f>
        <v>0</v>
      </c>
      <c r="AA13" s="61" t="str">
        <f>IF(X13=0,"",(Y13-X13)/ABS(X13)+1)</f>
        <v/>
      </c>
      <c r="AB13" s="59">
        <v>0</v>
      </c>
      <c r="AC13" s="61" t="str">
        <f>IF(AB13=0,"",(Y13-AB13)/ABS(AB13))</f>
        <v/>
      </c>
      <c r="AD13" s="60"/>
      <c r="AE13" s="60"/>
      <c r="AG13" s="60"/>
      <c r="AH13" s="60"/>
    </row>
    <row r="14" spans="1:34" x14ac:dyDescent="0.2">
      <c r="B14" s="3" t="str">
        <f>+'COLOMB$ '!B14</f>
        <v>POP Satelital</v>
      </c>
      <c r="C14" s="59"/>
      <c r="D14" s="61" t="str">
        <f t="shared" si="0"/>
        <v xml:space="preserve"> </v>
      </c>
      <c r="E14" s="59"/>
      <c r="F14" s="61">
        <f t="shared" si="1"/>
        <v>0</v>
      </c>
      <c r="G14" s="61" t="str">
        <f t="shared" si="2"/>
        <v/>
      </c>
      <c r="H14" s="59"/>
      <c r="I14" s="61">
        <f t="shared" si="3"/>
        <v>0</v>
      </c>
      <c r="J14" s="61" t="str">
        <f t="shared" si="4"/>
        <v/>
      </c>
      <c r="K14" s="59"/>
      <c r="L14" s="61" t="str">
        <f t="shared" si="5"/>
        <v xml:space="preserve"> </v>
      </c>
      <c r="M14" s="59"/>
      <c r="N14" s="61">
        <f t="shared" si="6"/>
        <v>0</v>
      </c>
      <c r="O14" s="61" t="str">
        <f>IF(K14=0,"",(M14-K14)/ABS(K14)+1)</f>
        <v/>
      </c>
      <c r="P14" s="59"/>
      <c r="Q14" s="61">
        <f t="shared" si="7"/>
        <v>0</v>
      </c>
      <c r="R14" s="61" t="str">
        <f t="shared" si="8"/>
        <v/>
      </c>
      <c r="T14" s="3" t="s">
        <v>19</v>
      </c>
      <c r="U14" s="59"/>
      <c r="V14" s="59">
        <v>0</v>
      </c>
      <c r="W14" s="59">
        <v>0</v>
      </c>
      <c r="X14" s="59">
        <f>+AD10+U14</f>
        <v>0</v>
      </c>
      <c r="Y14" s="59">
        <f>+V14+AF14</f>
        <v>0</v>
      </c>
      <c r="Z14" s="55">
        <f>+X14-Y14</f>
        <v>0</v>
      </c>
      <c r="AA14" s="61" t="str">
        <f>IF(X14=0,"",(Y14-X14)/ABS(X14)+1)</f>
        <v/>
      </c>
      <c r="AB14" s="59">
        <v>0</v>
      </c>
      <c r="AC14" s="61" t="str">
        <f>IF(AB14=0,"",(Y14-AB14)/ABS(AB14))</f>
        <v/>
      </c>
      <c r="AD14" s="60"/>
      <c r="AE14" s="60"/>
      <c r="AF14" s="60">
        <v>0</v>
      </c>
      <c r="AG14" s="60"/>
      <c r="AH14" s="60"/>
    </row>
    <row r="15" spans="1:34" x14ac:dyDescent="0.2">
      <c r="B15" s="3" t="str">
        <f>+'COLOMB$ '!B15</f>
        <v>Voice Experience (Audicóm)</v>
      </c>
      <c r="C15" s="59"/>
      <c r="D15" s="61" t="str">
        <f t="shared" si="0"/>
        <v xml:space="preserve"> </v>
      </c>
      <c r="E15" s="59">
        <v>4458.4799999999996</v>
      </c>
      <c r="F15" s="61">
        <f t="shared" si="1"/>
        <v>0.13648298141270085</v>
      </c>
      <c r="G15" s="61" t="str">
        <f t="shared" si="2"/>
        <v/>
      </c>
      <c r="H15" s="59">
        <v>1101444761</v>
      </c>
      <c r="I15" s="61">
        <f t="shared" si="3"/>
        <v>0.16472757303029645</v>
      </c>
      <c r="J15" s="61">
        <f t="shared" si="4"/>
        <v>-0.99999595215288328</v>
      </c>
      <c r="K15" s="59"/>
      <c r="L15" s="61" t="str">
        <f t="shared" si="5"/>
        <v xml:space="preserve"> </v>
      </c>
      <c r="M15" s="59">
        <v>23969.319999999996</v>
      </c>
      <c r="N15" s="61">
        <f t="shared" si="6"/>
        <v>0.11751568231702587</v>
      </c>
      <c r="O15" s="61"/>
      <c r="P15" s="59">
        <v>4936636266</v>
      </c>
      <c r="Q15" s="61">
        <f t="shared" si="7"/>
        <v>0.1659218996764448</v>
      </c>
      <c r="R15" s="61">
        <f t="shared" si="8"/>
        <v>-0.99999514460480621</v>
      </c>
      <c r="T15" s="3" t="s">
        <v>20</v>
      </c>
      <c r="U15" s="59"/>
      <c r="V15" s="59">
        <v>6561.31</v>
      </c>
      <c r="W15" s="59">
        <v>1249317460</v>
      </c>
      <c r="X15" s="59">
        <f>+AD11+U15</f>
        <v>0</v>
      </c>
      <c r="Y15" s="59">
        <f>+V15+AF15</f>
        <v>43099.31</v>
      </c>
      <c r="Z15" s="55">
        <f>+X15-Y15</f>
        <v>-43099.31</v>
      </c>
      <c r="AA15" s="61" t="str">
        <f>IF(X15=0,"",(Y15-X15)/ABS(X15)+1)</f>
        <v/>
      </c>
      <c r="AB15" s="59">
        <v>4588521297.5</v>
      </c>
      <c r="AC15" s="61">
        <f>IF(AB15=0,"",(Y15-AB15)/ABS(AB15))</f>
        <v>-0.99999060714613575</v>
      </c>
      <c r="AD15" s="60"/>
      <c r="AE15" s="60"/>
      <c r="AF15" s="60">
        <v>36538</v>
      </c>
      <c r="AG15" s="60"/>
      <c r="AH15" s="60"/>
    </row>
    <row r="16" spans="1:34" x14ac:dyDescent="0.2">
      <c r="B16" s="3" t="str">
        <f>+'COLOMB$ '!B16</f>
        <v>Fact. Servicio Satelital</v>
      </c>
      <c r="C16" s="59"/>
      <c r="D16" s="61" t="str">
        <f t="shared" si="0"/>
        <v xml:space="preserve"> </v>
      </c>
      <c r="E16" s="59"/>
      <c r="F16" s="61"/>
      <c r="G16" s="61"/>
      <c r="H16" s="59"/>
      <c r="I16" s="61"/>
      <c r="J16" s="61"/>
      <c r="K16" s="59"/>
      <c r="L16" s="61" t="str">
        <f t="shared" si="5"/>
        <v xml:space="preserve"> </v>
      </c>
      <c r="M16" s="59"/>
      <c r="N16" s="61"/>
      <c r="O16" s="61"/>
      <c r="P16" s="59"/>
      <c r="Q16" s="61"/>
      <c r="R16" s="61"/>
      <c r="T16" s="3" t="s">
        <v>21</v>
      </c>
      <c r="U16" s="59"/>
      <c r="V16" s="59">
        <v>8504.51</v>
      </c>
      <c r="W16" s="59">
        <v>5343996949.6999998</v>
      </c>
      <c r="X16" s="59">
        <f>+AD13+U16</f>
        <v>0</v>
      </c>
      <c r="Y16" s="59">
        <f>+V16+AF16</f>
        <v>93696.51</v>
      </c>
      <c r="Z16" s="55">
        <f>+X16-Y16</f>
        <v>-93696.51</v>
      </c>
      <c r="AA16" s="61" t="str">
        <f>IF(X16=0,"",(Y16-X16)/ABS(X16)+1)</f>
        <v/>
      </c>
      <c r="AB16" s="59">
        <v>19246100965.869999</v>
      </c>
      <c r="AC16" s="61">
        <f>IF(AB16=0,"",(Y16-AB16)/ABS(AB16))</f>
        <v>-0.99999513166276299</v>
      </c>
      <c r="AD16" s="60"/>
      <c r="AE16" s="60"/>
      <c r="AF16" s="60">
        <v>85192</v>
      </c>
      <c r="AG16" s="60"/>
      <c r="AH16" s="60"/>
    </row>
    <row r="17" spans="2:34" x14ac:dyDescent="0.2">
      <c r="B17" s="3" t="str">
        <f>+'COLOMB$ '!B17</f>
        <v>Visual Experience</v>
      </c>
      <c r="C17" s="59"/>
      <c r="D17" s="61" t="str">
        <f t="shared" si="0"/>
        <v xml:space="preserve"> </v>
      </c>
      <c r="E17" s="59"/>
      <c r="F17" s="61"/>
      <c r="G17" s="61"/>
      <c r="H17" s="59"/>
      <c r="I17" s="61"/>
      <c r="J17" s="61"/>
      <c r="K17" s="59"/>
      <c r="L17" s="61" t="str">
        <f t="shared" si="5"/>
        <v xml:space="preserve"> </v>
      </c>
      <c r="M17" s="59"/>
      <c r="N17" s="61"/>
      <c r="O17" s="61"/>
      <c r="P17" s="59"/>
      <c r="Q17" s="61"/>
      <c r="R17" s="61"/>
      <c r="T17" s="3" t="s">
        <v>22</v>
      </c>
      <c r="U17" s="59">
        <f t="shared" ref="U17:Y17" si="9">U13+U14+U15+U16</f>
        <v>0</v>
      </c>
      <c r="V17" s="59">
        <f>V13+V14+V15+V16</f>
        <v>15065.82</v>
      </c>
      <c r="W17" s="59">
        <v>6593314409.6999998</v>
      </c>
      <c r="X17" s="59">
        <f>X13+X14+X15+X16</f>
        <v>0</v>
      </c>
      <c r="Y17" s="59">
        <f t="shared" si="9"/>
        <v>136795.82</v>
      </c>
      <c r="Z17" s="55">
        <f>+Y17-X17</f>
        <v>136795.82</v>
      </c>
      <c r="AA17" s="61" t="str">
        <f>IF(X17=0,"",(Y17-X17)/ABS(X17)+1)</f>
        <v/>
      </c>
      <c r="AB17" s="59">
        <v>23834622263.369999</v>
      </c>
      <c r="AC17" s="61">
        <f>IF(AB17=0,"",(Y17-AB17)/ABS(AB17))</f>
        <v>-0.99999426062563579</v>
      </c>
      <c r="AD17" s="60"/>
      <c r="AE17" s="60"/>
      <c r="AF17" s="60">
        <v>35488.600000000006</v>
      </c>
      <c r="AG17" s="60"/>
      <c r="AH17" s="60"/>
    </row>
    <row r="18" spans="2:34" x14ac:dyDescent="0.2">
      <c r="B18" s="3" t="s">
        <v>120</v>
      </c>
      <c r="C18" s="59"/>
      <c r="D18" s="61" t="str">
        <f t="shared" si="0"/>
        <v xml:space="preserve"> </v>
      </c>
      <c r="E18" s="59"/>
      <c r="F18" s="61"/>
      <c r="G18" s="61"/>
      <c r="H18" s="59"/>
      <c r="I18" s="61"/>
      <c r="J18" s="61"/>
      <c r="K18" s="59"/>
      <c r="L18" s="61" t="str">
        <f t="shared" si="5"/>
        <v xml:space="preserve"> </v>
      </c>
      <c r="M18" s="59"/>
      <c r="N18" s="61"/>
      <c r="O18" s="61"/>
      <c r="P18" s="59"/>
      <c r="Q18" s="61"/>
      <c r="R18" s="61"/>
      <c r="AF18" s="60">
        <v>2685.6999999999971</v>
      </c>
      <c r="AG18" s="60"/>
      <c r="AH18" s="60"/>
    </row>
    <row r="19" spans="2:34" x14ac:dyDescent="0.2">
      <c r="B19" s="3" t="str">
        <f>+'COLOMB$ '!B19</f>
        <v>Locutor virtual</v>
      </c>
      <c r="C19" s="59"/>
      <c r="D19" s="61" t="str">
        <f t="shared" si="0"/>
        <v xml:space="preserve"> </v>
      </c>
      <c r="E19" s="59"/>
      <c r="F19" s="61"/>
      <c r="G19" s="61"/>
      <c r="H19" s="59"/>
      <c r="I19" s="61"/>
      <c r="J19" s="61"/>
      <c r="K19" s="59"/>
      <c r="L19" s="61" t="str">
        <f t="shared" si="5"/>
        <v xml:space="preserve"> </v>
      </c>
      <c r="M19" s="59"/>
      <c r="N19" s="61"/>
      <c r="O19" s="61"/>
      <c r="P19" s="59"/>
      <c r="Q19" s="61"/>
      <c r="R19" s="61"/>
      <c r="T19" s="3" t="s">
        <v>23</v>
      </c>
      <c r="U19" s="59">
        <f>+U11-U17</f>
        <v>0</v>
      </c>
      <c r="V19" s="59">
        <f>+V11-V17</f>
        <v>12858.119999999999</v>
      </c>
      <c r="W19" s="59">
        <v>806064854.7300005</v>
      </c>
      <c r="X19" s="59">
        <f>X11-X17</f>
        <v>0</v>
      </c>
      <c r="Y19" s="59">
        <f>Y11-Y17</f>
        <v>54344.119999999995</v>
      </c>
      <c r="Z19" s="55">
        <f>+Y19-X19</f>
        <v>54344.119999999995</v>
      </c>
      <c r="AA19" s="61" t="str">
        <f>IF(X19=0,"",(Y19-X19)/ABS(X19)+1)</f>
        <v/>
      </c>
      <c r="AB19" s="2">
        <v>4153919331.1500015</v>
      </c>
      <c r="AC19" s="61">
        <f>IF(AB19=0,"",(Y19-AB19)/ABS(AB19))</f>
        <v>-0.99998691738676959</v>
      </c>
      <c r="AD19" s="60"/>
      <c r="AE19" s="60"/>
      <c r="AF19" s="60"/>
      <c r="AG19" s="60"/>
      <c r="AH19" s="60"/>
    </row>
    <row r="20" spans="2:34" x14ac:dyDescent="0.2">
      <c r="B20" s="3" t="s">
        <v>24</v>
      </c>
      <c r="C20" s="59">
        <f>SUM(C10:C16)</f>
        <v>0</v>
      </c>
      <c r="D20" s="61" t="str">
        <f t="shared" si="0"/>
        <v xml:space="preserve"> </v>
      </c>
      <c r="E20" s="59">
        <f>SUM(E10:E16)</f>
        <v>32666.929999999997</v>
      </c>
      <c r="F20" s="61">
        <f>+E20/$E$20</f>
        <v>1</v>
      </c>
      <c r="G20" s="61" t="str">
        <f>IF(C20=0,"",(E20-C20)/ABS(C20)+1)</f>
        <v/>
      </c>
      <c r="H20" s="59">
        <f>SUM(H10:H16)</f>
        <v>6686462628.8000002</v>
      </c>
      <c r="I20" s="61">
        <f>+H20/$H$20</f>
        <v>1</v>
      </c>
      <c r="J20" s="61">
        <f>IF(H20=0,"",(E20-H20)/ABS(H20))</f>
        <v>-0.99999511446757217</v>
      </c>
      <c r="K20" s="59">
        <f>SUM(K10:K16)</f>
        <v>0</v>
      </c>
      <c r="L20" s="61" t="str">
        <f t="shared" si="5"/>
        <v xml:space="preserve"> </v>
      </c>
      <c r="M20" s="59">
        <f>SUM(M10:M19)</f>
        <v>203966.99000000002</v>
      </c>
      <c r="N20" s="61">
        <f>+M20/$M$20</f>
        <v>1</v>
      </c>
      <c r="O20" s="61" t="str">
        <f>IF(K20=0,"",(M20-K20)/ABS(K20)+1)</f>
        <v/>
      </c>
      <c r="P20" s="59">
        <f>SUM(P10:P16)</f>
        <v>29752770885.739998</v>
      </c>
      <c r="Q20" s="61">
        <f>+P20/$P$20</f>
        <v>1</v>
      </c>
      <c r="R20" s="61">
        <f>IF(P20=0,"",(M20-P20)/ABS(P20))</f>
        <v>-0.99999314460522737</v>
      </c>
      <c r="T20" s="3"/>
      <c r="U20" s="59"/>
      <c r="V20" s="59"/>
      <c r="W20" s="59"/>
      <c r="X20" s="59"/>
      <c r="Y20" s="59"/>
      <c r="Z20" s="55"/>
      <c r="AA20" s="61"/>
      <c r="AB20" s="59"/>
      <c r="AC20" s="61" t="str">
        <f>IF(AB20=0,"",(Y20-AB20)/ABS(AB20))</f>
        <v/>
      </c>
      <c r="AD20" s="60"/>
      <c r="AE20" s="60"/>
      <c r="AF20" s="60"/>
      <c r="AG20" s="60"/>
      <c r="AH20" s="60"/>
    </row>
    <row r="21" spans="2:34" x14ac:dyDescent="0.2">
      <c r="T21" s="3" t="s">
        <v>25</v>
      </c>
      <c r="U21" s="59">
        <f>+U10+U19</f>
        <v>236652</v>
      </c>
      <c r="V21" s="59">
        <f>+V10+V19</f>
        <v>38563.119999999995</v>
      </c>
      <c r="W21" s="59">
        <f>+W10+W19</f>
        <v>2418450933.630002</v>
      </c>
      <c r="X21" s="59">
        <f>+X10+X19</f>
        <v>236652</v>
      </c>
      <c r="Y21" s="59">
        <f>+Y10+Y19</f>
        <v>69111.12</v>
      </c>
      <c r="Z21" s="55">
        <f>+Y21-X21</f>
        <v>-167540.88</v>
      </c>
      <c r="AA21" s="61">
        <f>IF(X21=0,"",(Y21-X21)/ABS(X21)+1)</f>
        <v>0.29203691496374418</v>
      </c>
      <c r="AB21" s="59">
        <f>+AB10+AB19</f>
        <v>4612489988.0900011</v>
      </c>
      <c r="AC21" s="61">
        <f>IF(AB21=0,"",(Y21-AB21)/ABS(AB21))</f>
        <v>-0.99998501652682648</v>
      </c>
      <c r="AD21" s="60"/>
      <c r="AE21" s="60"/>
      <c r="AG21" s="60"/>
      <c r="AH21" s="60"/>
    </row>
    <row r="22" spans="2:34" x14ac:dyDescent="0.2">
      <c r="B22" s="3" t="s">
        <v>26</v>
      </c>
      <c r="C22" s="59"/>
      <c r="D22" s="61" t="str">
        <f>IF($C$20=0," ",C22/$C$20)</f>
        <v xml:space="preserve"> </v>
      </c>
      <c r="E22" s="59">
        <v>0</v>
      </c>
      <c r="F22" s="61">
        <f>+E22/$E$20</f>
        <v>0</v>
      </c>
      <c r="G22" s="61" t="str">
        <f>IF(C22=0,"",(E22-C22)/ABS(C22)+1)</f>
        <v/>
      </c>
      <c r="H22" s="59"/>
      <c r="I22" s="61">
        <f>+H22/$H$20</f>
        <v>0</v>
      </c>
      <c r="J22" s="61" t="str">
        <f>IF(H22=0,"",(E22-H22)/ABS(H22))</f>
        <v/>
      </c>
      <c r="K22" s="59">
        <f>+S18+C22</f>
        <v>0</v>
      </c>
      <c r="L22" s="61" t="str">
        <f>IF($K$20=0," ",K22/$K$20)</f>
        <v xml:space="preserve"> </v>
      </c>
      <c r="M22" s="59">
        <v>54617.06</v>
      </c>
      <c r="N22" s="61">
        <f>+M22/$M$20</f>
        <v>0.26777401578559351</v>
      </c>
      <c r="O22" s="61" t="str">
        <f>IF(K22=0,"",(M22-K22)/ABS(K22)+1)</f>
        <v/>
      </c>
      <c r="P22" s="59"/>
      <c r="Q22" s="61">
        <f>+P22/$P$20</f>
        <v>0</v>
      </c>
      <c r="R22" s="61" t="str">
        <f>IF(P22=0,"",(M22-P22)/ABS(P22))</f>
        <v/>
      </c>
      <c r="AF22" s="60">
        <v>17452.699999999997</v>
      </c>
      <c r="AG22" s="60"/>
      <c r="AH22" s="60"/>
    </row>
    <row r="23" spans="2:34" x14ac:dyDescent="0.2">
      <c r="T23" s="3" t="s">
        <v>27</v>
      </c>
      <c r="U23" s="59"/>
      <c r="V23" s="59"/>
      <c r="W23" s="59"/>
      <c r="X23" s="59"/>
      <c r="Y23" s="59"/>
      <c r="Z23" s="55">
        <f>+Y23-X23</f>
        <v>0</v>
      </c>
      <c r="AA23" s="61" t="str">
        <f>IF(X23=0,"",(Y23-X23)/ABS(X23)+1)</f>
        <v/>
      </c>
      <c r="AB23" s="59">
        <v>0</v>
      </c>
      <c r="AC23" s="61" t="str">
        <f>IF(AB23=0,"",(Y23-AB23)/ABS(AB23))</f>
        <v/>
      </c>
      <c r="AD23" s="60"/>
      <c r="AE23" s="60"/>
      <c r="AG23" s="47"/>
    </row>
    <row r="24" spans="2:34" x14ac:dyDescent="0.2">
      <c r="B24" s="3" t="s">
        <v>28</v>
      </c>
      <c r="C24" s="59">
        <f>+C20-C22</f>
        <v>0</v>
      </c>
      <c r="D24" s="61" t="str">
        <f>IF($C$20=0," ",C24/$C$20)</f>
        <v xml:space="preserve"> </v>
      </c>
      <c r="E24" s="59">
        <f>+E20-E22</f>
        <v>32666.929999999997</v>
      </c>
      <c r="F24" s="61">
        <f>+E24/$E$20</f>
        <v>1</v>
      </c>
      <c r="G24" s="61" t="str">
        <f>IF(C24=0,"",(E24-C24)/ABS(C24)+1)</f>
        <v/>
      </c>
      <c r="H24" s="59">
        <f>+H20-H22</f>
        <v>6686462628.8000002</v>
      </c>
      <c r="I24" s="61">
        <f>+H24/$H$20</f>
        <v>1</v>
      </c>
      <c r="J24" s="61">
        <f>IF(H24=0,"",(E24-H24)/ABS(H24))</f>
        <v>-0.99999511446757217</v>
      </c>
      <c r="K24" s="59">
        <f>+K20-K22</f>
        <v>0</v>
      </c>
      <c r="L24" s="61" t="str">
        <f>IF($K$20=0," ",K24/$K$20)</f>
        <v xml:space="preserve"> </v>
      </c>
      <c r="M24" s="59">
        <f>+M20-M22</f>
        <v>149349.93000000002</v>
      </c>
      <c r="N24" s="61">
        <f>+M24/$M$20</f>
        <v>0.73222598421440654</v>
      </c>
      <c r="O24" s="61" t="str">
        <f>IF(K24=0,"",(M24-K24)/ABS(K24)+1)</f>
        <v/>
      </c>
      <c r="P24" s="59">
        <f>+P20-P22</f>
        <v>29752770885.739998</v>
      </c>
      <c r="Q24" s="61">
        <f>+P24/$P$20</f>
        <v>1</v>
      </c>
      <c r="R24" s="61">
        <f>IF(P24=0,"",(M24-P24)/ABS(P24))</f>
        <v>-0.99999498030181544</v>
      </c>
    </row>
    <row r="25" spans="2:34" x14ac:dyDescent="0.2">
      <c r="T25" s="3" t="s">
        <v>29</v>
      </c>
      <c r="U25" s="59"/>
      <c r="V25" s="59">
        <v>733.54</v>
      </c>
      <c r="W25" s="59">
        <v>488641372.30000001</v>
      </c>
      <c r="X25" s="59">
        <f>+AD22+U25</f>
        <v>0</v>
      </c>
      <c r="Y25" s="59">
        <f>+V25+AF25</f>
        <v>31281.54</v>
      </c>
      <c r="Z25" s="55">
        <f>+Y25-X25</f>
        <v>31281.54</v>
      </c>
      <c r="AA25" s="61" t="str">
        <f>IF(X25=0,"",(Y25-X25)/ABS(X25)+1)</f>
        <v/>
      </c>
      <c r="AB25" s="59">
        <v>2682680426.7600002</v>
      </c>
      <c r="AC25" s="61">
        <f>IF(AB25=0,"",(Y25-AB25)/ABS(AB25))</f>
        <v>-0.99998833944599297</v>
      </c>
      <c r="AD25" s="60"/>
      <c r="AE25" s="60"/>
      <c r="AF25" s="60">
        <v>30548</v>
      </c>
    </row>
    <row r="26" spans="2:34" x14ac:dyDescent="0.2">
      <c r="B26" s="3" t="s">
        <v>30</v>
      </c>
      <c r="C26" s="59"/>
      <c r="D26" s="61" t="str">
        <f>IF($C$20=0," ",C26/$C$20)</f>
        <v xml:space="preserve"> </v>
      </c>
      <c r="E26" s="59">
        <v>626.24</v>
      </c>
      <c r="F26" s="61">
        <f>+E26/$E$20</f>
        <v>1.917045770753481E-2</v>
      </c>
      <c r="G26" s="61" t="str">
        <f>IF(C26=0,"",(E26-C26)/ABS(C26)+1)</f>
        <v/>
      </c>
      <c r="H26" s="59">
        <v>102686101.57000001</v>
      </c>
      <c r="I26" s="61">
        <f>+H26/$H$20</f>
        <v>1.5357313316567325E-2</v>
      </c>
      <c r="J26" s="61">
        <f>IF(H26=0,"",(E26-H26)/ABS(H26))</f>
        <v>-0.99999390141420874</v>
      </c>
      <c r="K26" s="59"/>
      <c r="L26" s="61" t="str">
        <f>IF($K$20=0," ",K26/$K$20)</f>
        <v xml:space="preserve"> </v>
      </c>
      <c r="M26" s="59">
        <v>3224.8</v>
      </c>
      <c r="N26" s="61">
        <f>+M26/$M$20</f>
        <v>1.5810401477219425E-2</v>
      </c>
      <c r="O26" s="61" t="str">
        <f>IF(K26=0,"",(M26-K26)/ABS(K26)+1)</f>
        <v/>
      </c>
      <c r="P26" s="59">
        <v>438478296.08999997</v>
      </c>
      <c r="Q26" s="61">
        <f>+P26/$P$20</f>
        <v>1.4737393628778126E-2</v>
      </c>
      <c r="R26" s="61">
        <f>IF(P26=0,"",(M26-P26)/ABS(P26))</f>
        <v>-0.99999264547406619</v>
      </c>
      <c r="AF26" s="60">
        <v>0</v>
      </c>
    </row>
    <row r="27" spans="2:34" x14ac:dyDescent="0.2">
      <c r="B27" s="3" t="s">
        <v>31</v>
      </c>
      <c r="C27" s="59"/>
      <c r="D27" s="61" t="str">
        <f>IF($C$20=0," ",C27/$C$20)</f>
        <v xml:space="preserve"> </v>
      </c>
      <c r="E27" s="59">
        <v>2102.6</v>
      </c>
      <c r="F27" s="61">
        <f>+E27/$E$20</f>
        <v>6.4364787263449616E-2</v>
      </c>
      <c r="G27" s="61" t="str">
        <f>IF(C27=0,"",(E27-C27)/ABS(C27)+1)</f>
        <v/>
      </c>
      <c r="H27" s="59">
        <v>2225981139.3600001</v>
      </c>
      <c r="I27" s="61">
        <f>+H27/$H$20</f>
        <v>0.33290863389742603</v>
      </c>
      <c r="J27" s="61">
        <f>IF(H27=0,"",(E27-H27)/ABS(H27))</f>
        <v>-0.99999905542775602</v>
      </c>
      <c r="K27" s="59"/>
      <c r="L27" s="61" t="str">
        <f>IF($K$20=0," ",K27/$K$20)</f>
        <v xml:space="preserve"> </v>
      </c>
      <c r="M27" s="59">
        <v>19452.95</v>
      </c>
      <c r="N27" s="61">
        <f>+M27/$M$20</f>
        <v>9.5373030704625286E-2</v>
      </c>
      <c r="O27" s="61" t="str">
        <f>IF(K27=0,"",(M27-K27)/ABS(K27)+1)</f>
        <v/>
      </c>
      <c r="P27" s="59">
        <v>8346031289.8199997</v>
      </c>
      <c r="Q27" s="61">
        <f>+P27/$P$20</f>
        <v>0.28051274020397582</v>
      </c>
      <c r="R27" s="61">
        <f>IF(P27=0,"",(M27-P27)/ABS(P27))</f>
        <v>-0.99999766919757138</v>
      </c>
      <c r="T27" s="3" t="s">
        <v>32</v>
      </c>
      <c r="U27" s="59"/>
      <c r="V27" s="59"/>
      <c r="W27" s="59"/>
      <c r="X27" s="59">
        <f>+AD21+U27</f>
        <v>0</v>
      </c>
      <c r="Y27" s="59">
        <f>+V27+AF26</f>
        <v>0</v>
      </c>
      <c r="Z27" s="55">
        <f>+Y27-X27</f>
        <v>0</v>
      </c>
      <c r="AA27" s="61" t="str">
        <f>IF(X27=0,"",(Y27-X27)/ABS(X27)+1)</f>
        <v/>
      </c>
      <c r="AB27" s="59">
        <v>0</v>
      </c>
      <c r="AC27" s="61" t="str">
        <f>IF(AB27=0,"",(Y27-AB27)/ABS(AB27))</f>
        <v/>
      </c>
      <c r="AD27" s="47"/>
      <c r="AE27" s="47"/>
    </row>
    <row r="28" spans="2:34" x14ac:dyDescent="0.2">
      <c r="B28" s="3" t="s">
        <v>33</v>
      </c>
      <c r="C28" s="59">
        <f>SUM(C26:C27)</f>
        <v>0</v>
      </c>
      <c r="D28" s="61" t="str">
        <f>IF($C$20=0," ",C28/$C$20)</f>
        <v xml:space="preserve"> </v>
      </c>
      <c r="E28" s="59">
        <f>SUM(E26:E27)</f>
        <v>2728.84</v>
      </c>
      <c r="F28" s="61">
        <f>+E28/$E$20</f>
        <v>8.3535244970984426E-2</v>
      </c>
      <c r="G28" s="61" t="str">
        <f>IF(C28=0,"",(E28-C28)/ABS(C28)+1)</f>
        <v/>
      </c>
      <c r="H28" s="59">
        <v>2328667240.9300003</v>
      </c>
      <c r="I28" s="61">
        <f>+H28/$H$20</f>
        <v>0.3482659472139934</v>
      </c>
      <c r="J28" s="61">
        <f>IF(H28=0,"",(E28-H28)/ABS(H28))</f>
        <v>-0.99999882815373864</v>
      </c>
      <c r="K28" s="59">
        <f>+K26+K27</f>
        <v>0</v>
      </c>
      <c r="L28" s="61" t="str">
        <f>IF($K$20=0," ",K28/$K$20)</f>
        <v xml:space="preserve"> </v>
      </c>
      <c r="M28" s="59">
        <f>SUM(M26:M27)</f>
        <v>22677.75</v>
      </c>
      <c r="N28" s="61">
        <f>+M28/$M$20</f>
        <v>0.1111834321818447</v>
      </c>
      <c r="O28" s="61" t="str">
        <f>IF(K28=0,"",(M28-K28)/ABS(K28)+1)</f>
        <v/>
      </c>
      <c r="P28" s="59">
        <v>8784509585.9099998</v>
      </c>
      <c r="Q28" s="61">
        <f>+P28/$P$20</f>
        <v>0.29525013383275395</v>
      </c>
      <c r="R28" s="61">
        <f>IF(P28=0,"",(M28-P28)/ABS(P28))</f>
        <v>-0.99999741843869849</v>
      </c>
      <c r="T28" s="3" t="s">
        <v>34</v>
      </c>
      <c r="U28" s="59"/>
      <c r="V28" s="59"/>
      <c r="W28" s="59"/>
      <c r="X28" s="59"/>
      <c r="Y28" s="59">
        <f>+X28</f>
        <v>0</v>
      </c>
      <c r="Z28" s="55">
        <f>+Y28-X28</f>
        <v>0</v>
      </c>
      <c r="AA28" s="61" t="str">
        <f>IF(X28=0,"",(Y28-X28)/ABS(X28)+1)</f>
        <v/>
      </c>
      <c r="AB28" s="59">
        <v>0</v>
      </c>
      <c r="AC28" s="61" t="str">
        <f>IF(AB28=0,"",(Y28-AB28)/ABS(AB28))</f>
        <v/>
      </c>
      <c r="AD28" s="47"/>
      <c r="AF28" s="60">
        <v>0</v>
      </c>
    </row>
    <row r="29" spans="2:34" x14ac:dyDescent="0.2">
      <c r="AD29" s="47"/>
    </row>
    <row r="30" spans="2:34" x14ac:dyDescent="0.2">
      <c r="B30" s="3" t="s">
        <v>35</v>
      </c>
      <c r="C30" s="59"/>
      <c r="D30" s="61" t="str">
        <f>IF($C$20=0," ",C30/$C$20)</f>
        <v xml:space="preserve"> </v>
      </c>
      <c r="E30" s="59">
        <v>10369.14</v>
      </c>
      <c r="F30" s="61">
        <f>+E30/$E$20</f>
        <v>0.31742009426658707</v>
      </c>
      <c r="G30" s="61" t="str">
        <f>IF(C30=0,"",(E30-C30)/ABS(C30)+1)</f>
        <v/>
      </c>
      <c r="H30" s="59">
        <v>2182595048.8099999</v>
      </c>
      <c r="I30" s="61">
        <f>+H30/$H$20</f>
        <v>0.32641998766419544</v>
      </c>
      <c r="J30" s="61">
        <f>IF(H30=0,"",(E30-H30)/ABS(H30))</f>
        <v>-0.9999952491691001</v>
      </c>
      <c r="K30" s="59"/>
      <c r="L30" s="61" t="str">
        <f>IF($K$20=0," ",K30/$K$20)</f>
        <v xml:space="preserve"> </v>
      </c>
      <c r="M30" s="59">
        <v>78109.100000000006</v>
      </c>
      <c r="N30" s="61">
        <f>+M30/$M$20</f>
        <v>0.38294971161755142</v>
      </c>
      <c r="O30" s="61" t="str">
        <f>IF(K30=0,"",(M30-K30)/ABS(K30)+1)</f>
        <v/>
      </c>
      <c r="P30" s="59">
        <v>11055573085.25</v>
      </c>
      <c r="Q30" s="61">
        <f>+P30/$P$20</f>
        <v>0.37158129330901246</v>
      </c>
      <c r="R30" s="61">
        <f>IF(P30=0,"",(M30-P30)/ABS(P30))</f>
        <v>-0.99999293486647878</v>
      </c>
      <c r="T30" s="3" t="s">
        <v>36</v>
      </c>
      <c r="U30" s="59">
        <f>+U21-U25-U23+U27</f>
        <v>236652</v>
      </c>
      <c r="V30" s="59">
        <f>+V21-V25-V23+V27</f>
        <v>37829.579999999994</v>
      </c>
      <c r="W30" s="59">
        <f>+W21-W25-W23+W27</f>
        <v>1929809561.3300021</v>
      </c>
      <c r="X30" s="59">
        <f>+X21-X25-X23-X27</f>
        <v>236652</v>
      </c>
      <c r="Y30" s="59">
        <f>+Y21-Y25-Y23+Y27</f>
        <v>37829.579999999994</v>
      </c>
      <c r="Z30" s="55">
        <f>+Y30-X30</f>
        <v>-198822.42</v>
      </c>
      <c r="AA30" s="61">
        <f>IF(U30=0,"",(V30-U30)/ABS(U30)+1)</f>
        <v>0.15985320217027532</v>
      </c>
      <c r="AB30" s="59">
        <f>+AB21-AB25-AB23+AB27</f>
        <v>1929809561.3300009</v>
      </c>
      <c r="AC30" s="61">
        <f>IF(AB30=0,"",(Y30-AB30)/ABS(AB30))</f>
        <v>-0.99998039724708698</v>
      </c>
      <c r="AD30" s="47"/>
      <c r="AF30" s="60">
        <v>10685.76</v>
      </c>
    </row>
    <row r="31" spans="2:34" x14ac:dyDescent="0.2">
      <c r="B31" s="3" t="s">
        <v>37</v>
      </c>
      <c r="C31" s="59"/>
      <c r="D31" s="61" t="str">
        <f>IF($C$20=0," ",C31/$C$20)</f>
        <v xml:space="preserve"> </v>
      </c>
      <c r="E31" s="59">
        <v>2386.4899999999998</v>
      </c>
      <c r="F31" s="61">
        <f>+E31/$E$20</f>
        <v>7.3055227411942286E-2</v>
      </c>
      <c r="G31" s="61" t="str">
        <f>IF(C31=0,"",(E31-C31)/ABS(C31)+1)</f>
        <v/>
      </c>
      <c r="H31" s="59">
        <v>1243127476.6099999</v>
      </c>
      <c r="I31" s="61">
        <f>+H31/$H$20</f>
        <v>0.18591706042827316</v>
      </c>
      <c r="J31" s="61">
        <f>IF(H31=0,"",(E31-H31)/ABS(H31))</f>
        <v>-0.99999808025319614</v>
      </c>
      <c r="K31" s="59"/>
      <c r="L31" s="61" t="str">
        <f>IF($K$20=0," ",K31/$K$20)</f>
        <v xml:space="preserve"> </v>
      </c>
      <c r="M31" s="59">
        <v>15874.229999999998</v>
      </c>
      <c r="N31" s="61">
        <f>+M31/$M$20</f>
        <v>7.7827446490238428E-2</v>
      </c>
      <c r="O31" s="61" t="str">
        <f>IF(K31=0,"",(M31-K31)/ABS(K31)+1)</f>
        <v/>
      </c>
      <c r="P31" s="59">
        <v>5334061798.7399998</v>
      </c>
      <c r="Q31" s="61">
        <f>+P31/$P$20</f>
        <v>0.17927949699960638</v>
      </c>
      <c r="R31" s="61">
        <f>IF(P31=0,"",(M31-P31)/ABS(P31))</f>
        <v>-0.99999702398836032</v>
      </c>
      <c r="V31" s="46" t="s">
        <v>46</v>
      </c>
      <c r="W31" s="46" t="s">
        <v>46</v>
      </c>
      <c r="X31" s="47"/>
      <c r="Y31" s="91" t="s">
        <v>46</v>
      </c>
      <c r="AB31" s="47" t="s">
        <v>46</v>
      </c>
      <c r="AD31" s="47"/>
    </row>
    <row r="32" spans="2:34" x14ac:dyDescent="0.2">
      <c r="B32" s="3" t="s">
        <v>38</v>
      </c>
      <c r="C32" s="59">
        <f>SUM(C30:C31)</f>
        <v>0</v>
      </c>
      <c r="D32" s="61" t="str">
        <f>IF($C$20=0," ",C32/$C$20)</f>
        <v xml:space="preserve"> </v>
      </c>
      <c r="E32" s="59">
        <f>SUM(E30:E31)</f>
        <v>12755.63</v>
      </c>
      <c r="F32" s="61">
        <f>+E32/$E$20</f>
        <v>0.39047532167852933</v>
      </c>
      <c r="G32" s="61" t="str">
        <f>IF(C32=0,"",(E32-C32)/ABS(C32)+1)</f>
        <v/>
      </c>
      <c r="H32" s="59">
        <v>3425722525.4200001</v>
      </c>
      <c r="I32" s="61">
        <f>+H32/$H$20</f>
        <v>0.51233704809246861</v>
      </c>
      <c r="J32" s="61">
        <f>IF(H32=0,"",(E32-H32)/ABS(H32))</f>
        <v>-0.99999627651396006</v>
      </c>
      <c r="K32" s="59">
        <f>+K30+K31</f>
        <v>0</v>
      </c>
      <c r="L32" s="61" t="str">
        <f>IF($K$20=0," ",K32/$K$20)</f>
        <v xml:space="preserve"> </v>
      </c>
      <c r="M32" s="59">
        <f>+M30+M31</f>
        <v>93983.33</v>
      </c>
      <c r="N32" s="61">
        <f>+M32/$M$20</f>
        <v>0.46077715810778985</v>
      </c>
      <c r="O32" s="61" t="str">
        <f>IF(K32=0,"",(M32-K32)/ABS(K32)+1)</f>
        <v/>
      </c>
      <c r="P32" s="59">
        <v>16389634883.99</v>
      </c>
      <c r="Q32" s="61">
        <f>+P32/$P$20</f>
        <v>0.55086079030861879</v>
      </c>
      <c r="R32" s="61">
        <f>IF(P32=0,"",(M32-P32)/ABS(P32))</f>
        <v>-0.99999426568494876</v>
      </c>
      <c r="AD32" s="47"/>
    </row>
    <row r="33" spans="2:30" x14ac:dyDescent="0.2">
      <c r="Y33" s="47"/>
      <c r="AD33" s="47"/>
    </row>
    <row r="34" spans="2:30" x14ac:dyDescent="0.2">
      <c r="B34" s="3" t="s">
        <v>39</v>
      </c>
      <c r="C34" s="59">
        <f>C28+C32</f>
        <v>0</v>
      </c>
      <c r="D34" s="61" t="str">
        <f>IF($C$20=0," ",C34/$C$20)</f>
        <v xml:space="preserve"> </v>
      </c>
      <c r="E34" s="59">
        <f>E28+E32</f>
        <v>15484.47</v>
      </c>
      <c r="F34" s="61">
        <f>+E34/$E$20</f>
        <v>0.4740105666495138</v>
      </c>
      <c r="G34" s="61" t="str">
        <f>IF(C34=0,"",(E34-C34)/ABS(C34)+1)</f>
        <v/>
      </c>
      <c r="H34" s="59">
        <f>H28+H32</f>
        <v>5754389766.3500004</v>
      </c>
      <c r="I34" s="61">
        <f>+H34/$H$20</f>
        <v>0.860602995306462</v>
      </c>
      <c r="J34" s="61">
        <f>IF(H34=0,"",(E34-H34)/ABS(H34))</f>
        <v>-0.99999730910302764</v>
      </c>
      <c r="K34" s="59">
        <f>K28+K32</f>
        <v>0</v>
      </c>
      <c r="L34" s="61" t="str">
        <f>IF($K$20=0," ",K34/$K$20)</f>
        <v xml:space="preserve"> </v>
      </c>
      <c r="M34" s="59">
        <f>M28+M32</f>
        <v>116661.08</v>
      </c>
      <c r="N34" s="61">
        <f>+M34/$M$20</f>
        <v>0.57196059028963453</v>
      </c>
      <c r="O34" s="61" t="str">
        <f>IF(K34=0,"",(M34-K34)/ABS(K34)+1)</f>
        <v/>
      </c>
      <c r="P34" s="59">
        <f>P28+P32</f>
        <v>25174144469.900002</v>
      </c>
      <c r="Q34" s="61">
        <f>+P34/$P$20</f>
        <v>0.84611092414137279</v>
      </c>
      <c r="R34" s="61">
        <f>IF(P34=0,"",(M34-P34)/ABS(P34))</f>
        <v>-0.99999536583735182</v>
      </c>
      <c r="AD34" s="47"/>
    </row>
    <row r="35" spans="2:30" x14ac:dyDescent="0.2">
      <c r="T35" s="55"/>
      <c r="AD35" s="47"/>
    </row>
    <row r="36" spans="2:30" x14ac:dyDescent="0.2">
      <c r="B36" s="3" t="s">
        <v>40</v>
      </c>
      <c r="C36" s="59">
        <f>C24-C34</f>
        <v>0</v>
      </c>
      <c r="D36" s="61" t="str">
        <f>IF($C$20=0," ",C36/$C$20)</f>
        <v xml:space="preserve"> </v>
      </c>
      <c r="E36" s="59">
        <f>E24-E34</f>
        <v>17182.46</v>
      </c>
      <c r="F36" s="61">
        <f>+E36/$E$20</f>
        <v>0.52598943335048631</v>
      </c>
      <c r="G36" s="61" t="str">
        <f>IF(C36=0,"",(E36-C36)/ABS(C36)+1)</f>
        <v/>
      </c>
      <c r="H36" s="59">
        <f>H24-H34</f>
        <v>932072862.44999981</v>
      </c>
      <c r="I36" s="61">
        <f>+H36/$H$20</f>
        <v>0.13939700469353797</v>
      </c>
      <c r="J36" s="61">
        <f>IF(H36=0,"",(E36-H36)/ABS(H36))</f>
        <v>-0.99998156532531712</v>
      </c>
      <c r="K36" s="59">
        <f>K24-K34</f>
        <v>0</v>
      </c>
      <c r="L36" s="61" t="str">
        <f>IF($K$20=0," ",K36/$K$20)</f>
        <v xml:space="preserve"> </v>
      </c>
      <c r="M36" s="59">
        <f>M24-M34</f>
        <v>32688.85000000002</v>
      </c>
      <c r="N36" s="61">
        <f>+M36/$M$20</f>
        <v>0.16026539392477193</v>
      </c>
      <c r="O36" s="61" t="str">
        <f>IF(K36=0,"",(M36-K36)/ABS(K36)+1)</f>
        <v/>
      </c>
      <c r="P36" s="59">
        <f>P24-P34</f>
        <v>4578626415.8399963</v>
      </c>
      <c r="Q36" s="61">
        <f>+P36/$P$20</f>
        <v>0.15388907585862716</v>
      </c>
      <c r="R36" s="61">
        <f>IF(P36=0,"",(M36-P36)/ABS(P36))</f>
        <v>-0.99999286055532133</v>
      </c>
      <c r="AD36" s="47"/>
    </row>
    <row r="37" spans="2:30" x14ac:dyDescent="0.2">
      <c r="AD37" s="47"/>
    </row>
    <row r="38" spans="2:30" x14ac:dyDescent="0.2">
      <c r="B38" s="3" t="s">
        <v>41</v>
      </c>
      <c r="C38" s="59"/>
      <c r="D38" s="61" t="str">
        <f>IF($C$20=0," ",C38/$C$20)</f>
        <v xml:space="preserve"> </v>
      </c>
      <c r="E38" s="59"/>
      <c r="F38" s="61">
        <f>+E38/$E$20</f>
        <v>0</v>
      </c>
      <c r="G38" s="61" t="str">
        <f>IF(C38=0,"",(E38-C38)/ABS(C38)+1)</f>
        <v/>
      </c>
      <c r="H38" s="59"/>
      <c r="I38" s="61">
        <f>+H38/$H$20</f>
        <v>0</v>
      </c>
      <c r="J38" s="61" t="str">
        <f>IF(H38=0,"",(E38-H38)/ABS(H38))</f>
        <v/>
      </c>
      <c r="K38" s="59">
        <f>+S28+C38</f>
        <v>0</v>
      </c>
      <c r="L38" s="61" t="str">
        <f>IF($K$20=0," ",K38/$K$20)</f>
        <v xml:space="preserve"> </v>
      </c>
      <c r="M38" s="59"/>
      <c r="N38" s="61">
        <f>+M38/$M$20</f>
        <v>0</v>
      </c>
      <c r="O38" s="61" t="str">
        <f>IF(K38=0,"",(M38-K38)/ABS(K38)+1)</f>
        <v/>
      </c>
      <c r="P38" s="59"/>
      <c r="Q38" s="61">
        <f>+P38/$P$20</f>
        <v>0</v>
      </c>
      <c r="R38" s="61" t="str">
        <f>IF(P38=0,"",(M38-P38)/ABS(P38))</f>
        <v/>
      </c>
      <c r="AD38" s="47"/>
    </row>
    <row r="39" spans="2:30" x14ac:dyDescent="0.2">
      <c r="B39" s="3" t="s">
        <v>42</v>
      </c>
      <c r="C39" s="59"/>
      <c r="D39" s="61" t="str">
        <f>IF($C$20=0," ",C39/$C$20)</f>
        <v xml:space="preserve"> </v>
      </c>
      <c r="E39" s="59">
        <v>269.99</v>
      </c>
      <c r="F39" s="61">
        <f>+E39/$E$20</f>
        <v>8.2649333745166767E-3</v>
      </c>
      <c r="G39" s="61" t="str">
        <f>IF(C39=0,"",(E39-C39)/ABS(C39)+1)</f>
        <v/>
      </c>
      <c r="H39" s="59">
        <v>122148254.23999999</v>
      </c>
      <c r="I39" s="61">
        <f>+H39/$H$20</f>
        <v>1.8267993260574253E-2</v>
      </c>
      <c r="J39" s="61">
        <f>IF(H39=0,"",(E39-H39)/ABS(H39))</f>
        <v>-0.99999778965322361</v>
      </c>
      <c r="K39" s="59"/>
      <c r="L39" s="61" t="str">
        <f>IF($K$20=0," ",K39/$K$20)</f>
        <v xml:space="preserve"> </v>
      </c>
      <c r="M39" s="59">
        <v>3033.81</v>
      </c>
      <c r="N39" s="61">
        <f>+M39/$M$20</f>
        <v>1.4874024468371081E-2</v>
      </c>
      <c r="O39" s="61" t="str">
        <f>IF(K39=0,"",(M39-K39)/ABS(K39)+1)</f>
        <v/>
      </c>
      <c r="P39" s="59">
        <v>442063769.88</v>
      </c>
      <c r="Q39" s="61">
        <f>+P39/$P$20</f>
        <v>1.4857902532092354E-2</v>
      </c>
      <c r="R39" s="61">
        <f>IF(P39=0,"",(M39-P39)/ABS(P39))</f>
        <v>-0.99999313716661098</v>
      </c>
    </row>
    <row r="41" spans="2:30" x14ac:dyDescent="0.2">
      <c r="B41" s="3" t="s">
        <v>43</v>
      </c>
      <c r="C41" s="59">
        <f>C36+C38-C39</f>
        <v>0</v>
      </c>
      <c r="D41" s="61" t="str">
        <f>IF($C$20=0," ",C41/$C$20)</f>
        <v xml:space="preserve"> </v>
      </c>
      <c r="E41" s="59">
        <f>E36+E38-E39</f>
        <v>16912.469999999998</v>
      </c>
      <c r="F41" s="61">
        <f>+E41/$E$20</f>
        <v>0.51772449997596959</v>
      </c>
      <c r="G41" s="61" t="str">
        <f>IF(C41=0,"",(E41-C41)/ABS(C41)+1)</f>
        <v/>
      </c>
      <c r="H41" s="59">
        <f>H36+H38-H39</f>
        <v>809924608.2099998</v>
      </c>
      <c r="I41" s="61">
        <f>+H41/$H$20</f>
        <v>0.12112901143296372</v>
      </c>
      <c r="J41" s="61">
        <f>IF(H41=0,"",(E41-H41)/ABS(H41))</f>
        <v>-0.99997911846383158</v>
      </c>
      <c r="K41" s="59">
        <f>K36+K38-K39</f>
        <v>0</v>
      </c>
      <c r="L41" s="61" t="str">
        <f>IF($K$20=0," ",K41/$K$20)</f>
        <v xml:space="preserve"> </v>
      </c>
      <c r="M41" s="59">
        <f>M36+M38-M39</f>
        <v>29655.040000000019</v>
      </c>
      <c r="N41" s="61">
        <f>+M41/$M$20</f>
        <v>0.14539136945640085</v>
      </c>
      <c r="O41" s="61" t="str">
        <f>IF(K41=0,"",(M41-K41)/ABS(K41)+1)</f>
        <v/>
      </c>
      <c r="P41" s="59">
        <f>P36+P38-P39</f>
        <v>4136562645.9599962</v>
      </c>
      <c r="Q41" s="61">
        <f>+P41/$P$20</f>
        <v>0.13903117332653481</v>
      </c>
      <c r="R41" s="61">
        <f>IF(P41=0,"",(M41-P41)/ABS(P41))</f>
        <v>-0.99999283099458702</v>
      </c>
    </row>
    <row r="42" spans="2:30" x14ac:dyDescent="0.2">
      <c r="B42" s="3" t="s">
        <v>29</v>
      </c>
      <c r="C42" s="59"/>
      <c r="D42" s="61" t="str">
        <f>IF($C$20=0," ",C42/$C$20)</f>
        <v xml:space="preserve"> </v>
      </c>
      <c r="E42" s="59"/>
      <c r="F42" s="61">
        <f>+E42/$E$20</f>
        <v>0</v>
      </c>
      <c r="G42" s="61" t="str">
        <f>IF(C42=0,"",(E42-C42)/ABS(C42)+1)</f>
        <v/>
      </c>
      <c r="H42" s="59"/>
      <c r="I42" s="61">
        <f>+H42/$H$20</f>
        <v>0</v>
      </c>
      <c r="J42" s="61" t="str">
        <f>IF(H42=0,"",(E42-H42)/ABS(H42))</f>
        <v/>
      </c>
      <c r="K42" s="59">
        <f>+S31+C42</f>
        <v>0</v>
      </c>
      <c r="L42" s="61" t="str">
        <f>IF($K$20=0," ",K42/$K$20)</f>
        <v xml:space="preserve"> </v>
      </c>
      <c r="M42" s="59"/>
      <c r="N42" s="61">
        <f>+M42/$M$20</f>
        <v>0</v>
      </c>
      <c r="O42" s="61" t="str">
        <f>IF(K42=0,"",(M42-K42)/ABS(K42)+1)</f>
        <v/>
      </c>
      <c r="P42" s="59">
        <v>19797676.789999999</v>
      </c>
      <c r="Q42" s="61">
        <f>+P42/$P$20</f>
        <v>6.6540615212039604E-4</v>
      </c>
      <c r="R42" s="61">
        <f>IF(P42=0,"",(M42-P42)/ABS(P42))</f>
        <v>-1</v>
      </c>
    </row>
    <row r="43" spans="2:30" x14ac:dyDescent="0.2">
      <c r="B43" s="17" t="s">
        <v>44</v>
      </c>
      <c r="C43" s="63">
        <f>C41-C42</f>
        <v>0</v>
      </c>
      <c r="D43" s="66" t="str">
        <f>IF($C$20=0," ",C43/$C$20)</f>
        <v xml:space="preserve"> </v>
      </c>
      <c r="E43" s="63">
        <f>+E41-E42</f>
        <v>16912.469999999998</v>
      </c>
      <c r="F43" s="66">
        <f>+E43/$E$20</f>
        <v>0.51772449997596959</v>
      </c>
      <c r="G43" s="66" t="str">
        <f>IF(C43=0,"",(E43-C43)/ABS(C43)+1)</f>
        <v/>
      </c>
      <c r="H43" s="63">
        <f>+H41-H42</f>
        <v>809924608.2099998</v>
      </c>
      <c r="I43" s="66">
        <f>+H43/$H$20</f>
        <v>0.12112901143296372</v>
      </c>
      <c r="J43" s="66">
        <f>IF(H43=0,"",(E43-H43)/ABS(H43))</f>
        <v>-0.99997911846383158</v>
      </c>
      <c r="K43" s="63">
        <f>+K41-K42</f>
        <v>0</v>
      </c>
      <c r="L43" s="66" t="str">
        <f>IF($K$20=0," ",K43/$K$20)</f>
        <v xml:space="preserve"> </v>
      </c>
      <c r="M43" s="63">
        <f>+M41-M42</f>
        <v>29655.040000000019</v>
      </c>
      <c r="N43" s="66">
        <f>+M43/$M$20</f>
        <v>0.14539136945640085</v>
      </c>
      <c r="O43" s="66" t="str">
        <f>IF(K43=0,"",(M43-K43)/ABS(K43)+1)</f>
        <v/>
      </c>
      <c r="P43" s="63">
        <f>+P41-P42</f>
        <v>4116764969.1699963</v>
      </c>
      <c r="Q43" s="66">
        <f>+P43/$P$20</f>
        <v>0.1383657671744144</v>
      </c>
      <c r="R43" s="66">
        <f>IF(P43=0,"",(M43-P43)/ABS(P43))</f>
        <v>-0.99999279651857176</v>
      </c>
    </row>
    <row r="45" spans="2:30" x14ac:dyDescent="0.2">
      <c r="B45" s="3" t="s">
        <v>45</v>
      </c>
      <c r="C45" s="59">
        <f>+C43</f>
        <v>0</v>
      </c>
      <c r="D45" s="61" t="str">
        <f>IF($C$20=0," ",C45/$C$20)</f>
        <v xml:space="preserve"> </v>
      </c>
      <c r="E45" s="59">
        <f>+E43</f>
        <v>16912.469999999998</v>
      </c>
      <c r="F45" s="61">
        <f>+E45/$E$20</f>
        <v>0.51772449997596959</v>
      </c>
      <c r="G45" s="61" t="str">
        <f>IF(C45=0,"",(E45-C45)/ABS(C45)+1)</f>
        <v/>
      </c>
      <c r="H45" s="59">
        <v>809924608.2099998</v>
      </c>
      <c r="I45" s="61">
        <f>+H45/$H$20</f>
        <v>0.12112901143296372</v>
      </c>
      <c r="J45" s="61">
        <f>IF(H45=0,"",(E45-H45)/ABS(H45))</f>
        <v>-0.99997911846383158</v>
      </c>
      <c r="K45" s="59">
        <f>+K43</f>
        <v>0</v>
      </c>
      <c r="L45" s="61" t="str">
        <f>IF($K$20=0," ",K45/$K$20)</f>
        <v xml:space="preserve"> </v>
      </c>
      <c r="M45" s="59">
        <f>+M43</f>
        <v>29655.040000000019</v>
      </c>
      <c r="N45" s="61">
        <f>+M45/$M$20</f>
        <v>0.14539136945640085</v>
      </c>
      <c r="O45" s="61" t="str">
        <f>IF(K45=0,"",(M45-K45)/ABS(K45)+1)</f>
        <v/>
      </c>
      <c r="P45" s="59">
        <v>4116764969.1699963</v>
      </c>
      <c r="Q45" s="61">
        <f>+P45/$P$20</f>
        <v>0.1383657671744144</v>
      </c>
      <c r="R45" s="61">
        <f>IF(P45=0,"",(M45-P45)/ABS(P45))</f>
        <v>-0.99999279651857176</v>
      </c>
    </row>
    <row r="46" spans="2:30" x14ac:dyDescent="0.2">
      <c r="B46" s="3" t="s">
        <v>20</v>
      </c>
      <c r="C46" s="59"/>
      <c r="D46" s="61"/>
      <c r="E46" s="59">
        <v>5983.14</v>
      </c>
      <c r="F46" s="61">
        <f>+E46/$E$20</f>
        <v>0.18315587047818699</v>
      </c>
      <c r="G46" s="61"/>
      <c r="H46" s="59">
        <v>1664078482.8099999</v>
      </c>
      <c r="I46" s="61">
        <f>+H46/$H$20</f>
        <v>0.2488727710288044</v>
      </c>
      <c r="J46" s="61"/>
      <c r="K46" s="59"/>
      <c r="L46" s="61"/>
      <c r="M46" s="59">
        <v>52108.22</v>
      </c>
      <c r="N46" s="61">
        <f>+M46/$M$20</f>
        <v>0.2554737901461408</v>
      </c>
      <c r="O46" s="61" t="str">
        <f>IF(K46=0,"",(M46-K46)/ABS(K46)+1)</f>
        <v/>
      </c>
      <c r="P46" s="59">
        <v>7248659424.1300001</v>
      </c>
      <c r="Q46" s="61"/>
      <c r="R46" s="61">
        <f>IF(P46=0,"",(M46-P46)/ABS(P46))</f>
        <v>-0.99999281133007478</v>
      </c>
    </row>
    <row r="47" spans="2:30" x14ac:dyDescent="0.2">
      <c r="B47" s="3"/>
      <c r="C47" s="59"/>
      <c r="E47" s="2" t="s">
        <v>46</v>
      </c>
      <c r="H47" s="2" t="s">
        <v>46</v>
      </c>
      <c r="M47" s="47"/>
      <c r="P47" s="47" t="s">
        <v>46</v>
      </c>
    </row>
    <row r="48" spans="2:30" x14ac:dyDescent="0.2">
      <c r="H48" s="60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36F6F-C847-4D37-A0C7-E702B9421066}">
  <sheetPr>
    <tabColor theme="2" tint="-0.249977111117893"/>
  </sheetPr>
  <dimension ref="A1:AQ47"/>
  <sheetViews>
    <sheetView showGridLines="0" zoomScaleNormal="100" workbookViewId="0">
      <selection activeCell="A27" sqref="A27"/>
    </sheetView>
  </sheetViews>
  <sheetFormatPr baseColWidth="10" defaultRowHeight="12.75" x14ac:dyDescent="0.2"/>
  <cols>
    <col min="1" max="1" width="2.85546875" style="2" customWidth="1"/>
    <col min="2" max="2" width="29.140625" style="2" customWidth="1"/>
    <col min="3" max="3" width="9.42578125" style="2" bestFit="1" customWidth="1"/>
    <col min="4" max="4" width="8.5703125" style="2" customWidth="1"/>
    <col min="5" max="5" width="9.28515625" style="2" bestFit="1" customWidth="1"/>
    <col min="6" max="6" width="8.5703125" style="2" customWidth="1"/>
    <col min="7" max="7" width="8.7109375" style="2" customWidth="1"/>
    <col min="8" max="8" width="13.28515625" style="2" bestFit="1" customWidth="1"/>
    <col min="9" max="9" width="10.28515625" style="2" customWidth="1"/>
    <col min="10" max="10" width="7.85546875" style="2" customWidth="1"/>
    <col min="11" max="11" width="12.7109375" style="2" bestFit="1" customWidth="1"/>
    <col min="12" max="12" width="9.85546875" style="2" customWidth="1"/>
    <col min="13" max="13" width="10.42578125" style="2" customWidth="1"/>
    <col min="14" max="14" width="6.7109375" style="2" customWidth="1"/>
    <col min="15" max="15" width="12.5703125" style="2" customWidth="1"/>
    <col min="16" max="16" width="13.28515625" style="2" bestFit="1" customWidth="1"/>
    <col min="17" max="17" width="9.28515625" style="2" customWidth="1"/>
    <col min="18" max="18" width="11.42578125" style="2" customWidth="1"/>
    <col min="19" max="19" width="9.7109375" style="2" customWidth="1"/>
    <col min="20" max="20" width="33.85546875" style="2" customWidth="1"/>
    <col min="21" max="22" width="9.7109375" style="2" customWidth="1"/>
    <col min="23" max="23" width="12.7109375" style="2" bestFit="1" customWidth="1"/>
    <col min="24" max="27" width="11.42578125" style="2"/>
    <col min="28" max="28" width="13.7109375" style="2" bestFit="1" customWidth="1"/>
    <col min="29" max="29" width="11.42578125" style="2"/>
    <col min="30" max="30" width="10.42578125" style="2" customWidth="1"/>
    <col min="31" max="31" width="10" style="2" customWidth="1"/>
    <col min="32" max="33" width="11.42578125" style="2"/>
    <col min="34" max="34" width="12.85546875" style="2" bestFit="1" customWidth="1"/>
    <col min="35" max="35" width="18.85546875" style="2" customWidth="1"/>
    <col min="36" max="16384" width="11.42578125" style="2"/>
  </cols>
  <sheetData>
    <row r="1" spans="1:35" s="42" customFormat="1" ht="18.75" customHeight="1" x14ac:dyDescent="0.2">
      <c r="B1" s="41"/>
    </row>
    <row r="2" spans="1:35" ht="18.75" customHeight="1" x14ac:dyDescent="0.2">
      <c r="A2" s="42"/>
      <c r="Y2" s="46"/>
      <c r="Z2" s="46"/>
      <c r="AA2" s="46"/>
      <c r="AB2" s="46"/>
    </row>
    <row r="3" spans="1:35" ht="18" x14ac:dyDescent="0.25">
      <c r="B3" s="13" t="s">
        <v>117</v>
      </c>
      <c r="S3" s="46"/>
      <c r="T3" s="15" t="s">
        <v>117</v>
      </c>
      <c r="AF3" s="2" t="str">
        <f>+B6</f>
        <v>JULIO de 2022</v>
      </c>
      <c r="AG3" s="2" t="s">
        <v>121</v>
      </c>
      <c r="AH3" s="2">
        <v>5.91</v>
      </c>
      <c r="AI3" s="2" t="s">
        <v>122</v>
      </c>
    </row>
    <row r="4" spans="1:35" x14ac:dyDescent="0.2">
      <c r="B4" s="2" t="s">
        <v>75</v>
      </c>
      <c r="S4" s="46"/>
      <c r="T4" s="3" t="s">
        <v>6</v>
      </c>
      <c r="AG4" s="2" t="s">
        <v>123</v>
      </c>
      <c r="AH4" s="92">
        <f>+AM41</f>
        <v>4139112</v>
      </c>
    </row>
    <row r="5" spans="1:35" ht="13.5" thickBot="1" x14ac:dyDescent="0.25">
      <c r="B5" s="3" t="s">
        <v>124</v>
      </c>
      <c r="S5" s="46"/>
      <c r="T5" s="3" t="s">
        <v>125</v>
      </c>
      <c r="X5" s="18" t="s">
        <v>8</v>
      </c>
      <c r="Y5" s="18"/>
      <c r="Z5" s="18"/>
      <c r="AA5" s="18"/>
      <c r="AB5" s="18"/>
      <c r="AC5" s="18"/>
    </row>
    <row r="6" spans="1:35" ht="13.5" thickBot="1" x14ac:dyDescent="0.25">
      <c r="B6" s="17" t="str">
        <f>+'VZLA BFS'!B6</f>
        <v>JULIO de 2022</v>
      </c>
      <c r="C6" s="84"/>
      <c r="K6" s="90" t="s">
        <v>8</v>
      </c>
      <c r="L6" s="90"/>
      <c r="M6" s="90"/>
      <c r="N6" s="90"/>
      <c r="O6" s="90"/>
      <c r="P6" s="90"/>
      <c r="Q6" s="90"/>
      <c r="R6" s="90"/>
      <c r="T6" s="17" t="str">
        <f>+B6</f>
        <v>JULIO de 2022</v>
      </c>
      <c r="Z6" s="2" t="s">
        <v>11</v>
      </c>
      <c r="AA6" s="2" t="s">
        <v>9</v>
      </c>
      <c r="AC6" s="2" t="s">
        <v>10</v>
      </c>
    </row>
    <row r="7" spans="1:35" ht="15.75" customHeight="1" x14ac:dyDescent="0.2">
      <c r="C7" s="2" t="str">
        <f>+'VZLA BFS'!C7</f>
        <v>Ppto 2022</v>
      </c>
      <c r="E7" s="2" t="str">
        <f>+'VZLA BFS'!E7</f>
        <v>Real 2022</v>
      </c>
      <c r="G7" s="2" t="str">
        <f>+'VZLA BFS'!G7</f>
        <v>Cump</v>
      </c>
      <c r="H7" s="2" t="str">
        <f>+'VZLA BFS'!H7</f>
        <v>Real 2021</v>
      </c>
      <c r="J7" s="42" t="s">
        <v>10</v>
      </c>
      <c r="K7" s="2" t="str">
        <f>+C7</f>
        <v>Ppto 2022</v>
      </c>
      <c r="M7" s="2" t="str">
        <f>+E7</f>
        <v>Real 2022</v>
      </c>
      <c r="O7" s="2" t="str">
        <f>+G7</f>
        <v>Cump</v>
      </c>
      <c r="P7" s="2" t="str">
        <f>+H7</f>
        <v>Real 2021</v>
      </c>
      <c r="Q7" s="42"/>
      <c r="R7" s="42" t="s">
        <v>10</v>
      </c>
      <c r="S7" s="42"/>
      <c r="U7" s="46" t="str">
        <f>+C7</f>
        <v>Ppto 2022</v>
      </c>
      <c r="V7" s="46" t="str">
        <f>+M7</f>
        <v>Real 2022</v>
      </c>
      <c r="W7" s="46" t="str">
        <f>+H7</f>
        <v>Real 2021</v>
      </c>
      <c r="X7" s="46" t="str">
        <f>+U7</f>
        <v>Ppto 2022</v>
      </c>
      <c r="Y7" s="46" t="str">
        <f>+V7</f>
        <v>Real 2022</v>
      </c>
      <c r="Z7" s="46" t="s">
        <v>11</v>
      </c>
      <c r="AA7" s="46" t="s">
        <v>9</v>
      </c>
      <c r="AB7" s="46" t="str">
        <f>+W7</f>
        <v>Real 2021</v>
      </c>
      <c r="AC7" s="46" t="s">
        <v>10</v>
      </c>
      <c r="AD7" s="46"/>
      <c r="AE7" s="46"/>
      <c r="AH7" s="2">
        <v>2819322440</v>
      </c>
      <c r="AI7" s="93">
        <f>1/AH4</f>
        <v>2.4159771467889729E-7</v>
      </c>
    </row>
    <row r="8" spans="1:35" ht="13.5" thickBot="1" x14ac:dyDescent="0.25">
      <c r="B8" s="24"/>
      <c r="C8" s="25" t="s">
        <v>13</v>
      </c>
      <c r="D8" s="25" t="s">
        <v>14</v>
      </c>
      <c r="E8" s="25" t="s">
        <v>13</v>
      </c>
      <c r="F8" s="25" t="s">
        <v>14</v>
      </c>
      <c r="G8" s="25" t="s">
        <v>15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14</v>
      </c>
      <c r="M8" s="25" t="s">
        <v>13</v>
      </c>
      <c r="N8" s="25" t="s">
        <v>14</v>
      </c>
      <c r="O8" s="25" t="s">
        <v>15</v>
      </c>
      <c r="P8" s="25" t="s">
        <v>13</v>
      </c>
      <c r="Q8" s="25" t="s">
        <v>14</v>
      </c>
      <c r="R8" s="25" t="s">
        <v>15</v>
      </c>
      <c r="S8" s="46"/>
      <c r="T8" s="24"/>
      <c r="U8" s="25"/>
      <c r="V8" s="25"/>
      <c r="W8" s="25"/>
      <c r="X8" s="24"/>
      <c r="Y8" s="24"/>
      <c r="Z8" s="25"/>
      <c r="AA8" s="25" t="s">
        <v>15</v>
      </c>
      <c r="AB8" s="24"/>
      <c r="AC8" s="25" t="s">
        <v>15</v>
      </c>
      <c r="AD8" s="46"/>
      <c r="AE8" s="46"/>
      <c r="AI8" s="94">
        <f>+AI7*AH7</f>
        <v>681.14185844693247</v>
      </c>
    </row>
    <row r="9" spans="1:35" x14ac:dyDescent="0.2">
      <c r="S9" s="61"/>
      <c r="AD9" s="61"/>
      <c r="AE9" s="61"/>
      <c r="AH9" s="2">
        <f>+AH7/AH4</f>
        <v>681.14185844693259</v>
      </c>
    </row>
    <row r="10" spans="1:35" x14ac:dyDescent="0.2">
      <c r="B10" s="3" t="s">
        <v>54</v>
      </c>
      <c r="C10" s="59">
        <f>'VZLA BFS'!C10/'VENEZUELA USD'!$AH$3</f>
        <v>0</v>
      </c>
      <c r="D10" s="28" t="str">
        <f t="shared" ref="D10:D20" si="0">IF(DD19&lt;=0," ",C10/$C$20)</f>
        <v xml:space="preserve"> </v>
      </c>
      <c r="E10" s="59">
        <f>'VZLA BFS'!E10/'VENEZUELA USD'!$AH$3</f>
        <v>3081.7258883248728</v>
      </c>
      <c r="F10" s="28">
        <f t="shared" ref="F10:F20" si="1">+E10/$E$20</f>
        <v>0.5575363219010786</v>
      </c>
      <c r="G10" s="28" t="str">
        <f>IF(C10=0,"",(E10-C10)/ABS(C10)+1)</f>
        <v/>
      </c>
      <c r="H10" s="55">
        <f>+'VZLA BFS'!H10/'VENEZUELA USD'!$AH$4</f>
        <v>814.14726226301684</v>
      </c>
      <c r="I10" s="28">
        <f t="shared" ref="I10:I20" si="2">IF($H$20&lt;=0," ",H10/$H$20)</f>
        <v>0.50398048864961309</v>
      </c>
      <c r="J10" s="28">
        <f>IF(E10=0,"",(E10-H10)/ABS(H10))</f>
        <v>2.7852192486146277</v>
      </c>
      <c r="K10" s="59">
        <f>'VZLA BFS'!K10/'VENEZUELA USD'!$AH$3</f>
        <v>0</v>
      </c>
      <c r="L10" s="28" t="str">
        <f t="shared" ref="L10:L22" si="3">IF($K$20&lt;=0," ",K10/$K$20)</f>
        <v xml:space="preserve"> </v>
      </c>
      <c r="M10" s="59">
        <f>'VZLA BFS'!M10/'VENEZUELA USD'!$AH$3</f>
        <v>12885.279187817259</v>
      </c>
      <c r="N10" s="28">
        <f t="shared" ref="N10:N15" si="4">+M10/$M$20</f>
        <v>0.37335453153473508</v>
      </c>
      <c r="O10" s="28" t="str">
        <f>IF(K10=0,"",(M10-K10)/ABS(K10)+1)</f>
        <v/>
      </c>
      <c r="P10" s="55">
        <f>+'VZLA BFS'!P10/'VENEZUELA USD'!$AH$4</f>
        <v>3553.4060511046814</v>
      </c>
      <c r="Q10" s="28">
        <f t="shared" ref="Q10:Q22" si="5">IF($P$20&lt;=0," ",P10/$P$20)</f>
        <v>0.49433868473908327</v>
      </c>
      <c r="R10" s="28">
        <f>IF(M10=0,"",(M10-P10)/ABS(P10))</f>
        <v>2.6261769700683346</v>
      </c>
      <c r="S10" s="61"/>
      <c r="T10" s="3" t="s">
        <v>16</v>
      </c>
      <c r="U10" s="59">
        <f>+'VZLA BFS'!U10/'VENEZUELA USD'!$AH$3</f>
        <v>40042.639593908629</v>
      </c>
      <c r="V10" s="59">
        <f>+'VZLA BFS'!V10/'VENEZUELA USD'!$AH$3</f>
        <v>4349.4077834179352</v>
      </c>
      <c r="W10" s="59">
        <f>+'VZLA BFS'!W10/'VENEZUELA USD'!$AH$3</f>
        <v>272823363.60406119</v>
      </c>
      <c r="X10" s="59">
        <f>+'VZLA BFS'!X10/'VENEZUELA USD'!$AH$3</f>
        <v>40042.639593908629</v>
      </c>
      <c r="Y10" s="59">
        <f>+'VZLA BFS'!Y10/'VENEZUELA USD'!$AH$3</f>
        <v>2498.6463620981385</v>
      </c>
      <c r="Z10" s="55">
        <f>+Y10-X10</f>
        <v>-37543.993231810491</v>
      </c>
      <c r="AA10" s="61">
        <f>IF(X10=0,"",(Y10-X10)/ABS(X10)+1)</f>
        <v>6.2399641667934325E-2</v>
      </c>
      <c r="AB10" s="59">
        <f>+'VZLA BFS'!AB10/'VENEZUELA USD'!$AH$3</f>
        <v>77592327.739424706</v>
      </c>
      <c r="AC10" s="61">
        <f>IF(W10=0,"",(Y10-AB10)/ABS(AB10))</f>
        <v>-0.99996779776512845</v>
      </c>
      <c r="AD10" s="61"/>
      <c r="AE10" s="61"/>
    </row>
    <row r="11" spans="1:35" x14ac:dyDescent="0.2">
      <c r="B11" s="3" t="s">
        <v>56</v>
      </c>
      <c r="C11" s="59">
        <f>'VZLA BFS'!C11/'VENEZUELA USD'!$AH$3</f>
        <v>0</v>
      </c>
      <c r="D11" s="28" t="str">
        <f t="shared" si="0"/>
        <v xml:space="preserve"> </v>
      </c>
      <c r="E11" s="59">
        <f>'VZLA BFS'!E11/'VENEZUELA USD'!$AH$3</f>
        <v>501.83587140439931</v>
      </c>
      <c r="F11" s="28">
        <f t="shared" si="1"/>
        <v>9.0790594647247244E-2</v>
      </c>
      <c r="G11" s="28" t="str">
        <f t="shared" ref="G11:G22" si="6">IF(C11=0,"",(E11-C11)/ABS(C11)+1)</f>
        <v/>
      </c>
      <c r="H11" s="55">
        <f>+'VZLA BFS'!H11/'VENEZUELA USD'!$AH$4</f>
        <v>191.75173172409927</v>
      </c>
      <c r="I11" s="28">
        <f t="shared" si="2"/>
        <v>0.11869981750611232</v>
      </c>
      <c r="J11" s="28">
        <f t="shared" ref="J11:J20" si="7">IF(E11=0,"",(E11-H11)/ABS(H11))</f>
        <v>1.617112590808111</v>
      </c>
      <c r="K11" s="59">
        <f>'VZLA BFS'!K11/'VENEZUELA USD'!$AH$3</f>
        <v>0</v>
      </c>
      <c r="L11" s="28" t="str">
        <f t="shared" si="3"/>
        <v xml:space="preserve"> </v>
      </c>
      <c r="M11" s="59">
        <f>'VZLA BFS'!M11/'VENEZUELA USD'!$AH$3</f>
        <v>3066.4213197969543</v>
      </c>
      <c r="N11" s="28">
        <f t="shared" si="4"/>
        <v>8.8850406627072345E-2</v>
      </c>
      <c r="O11" s="28" t="str">
        <f t="shared" ref="O11:O22" si="8">IF(K11=0,"",(M11-K11)/ABS(K11)+1)</f>
        <v/>
      </c>
      <c r="P11" s="55">
        <f>+'VZLA BFS'!P11/'VENEZUELA USD'!$AH$4</f>
        <v>1175.1082321038909</v>
      </c>
      <c r="Q11" s="28">
        <f t="shared" si="5"/>
        <v>0.16347736496472628</v>
      </c>
      <c r="R11" s="28">
        <f t="shared" ref="R11:R22" si="9">IF(M11=0,"",(M11-P11)/ABS(P11))</f>
        <v>1.6094799066354026</v>
      </c>
      <c r="S11" s="61"/>
      <c r="T11" s="3" t="s">
        <v>17</v>
      </c>
      <c r="U11" s="59">
        <f>+'VZLA BFS'!U11/'VENEZUELA USD'!$AH$3</f>
        <v>0</v>
      </c>
      <c r="V11" s="59">
        <f>+'VZLA BFS'!V11/'VENEZUELA USD'!$AH$3</f>
        <v>4724.8629441624362</v>
      </c>
      <c r="W11" s="59">
        <f>+'VZLA BFS'!W11/'VENEZUELA USD'!$AH$3</f>
        <v>1252010027.822335</v>
      </c>
      <c r="X11" s="59">
        <f>+'VZLA BFS'!X11/'VENEZUELA USD'!$AH$3</f>
        <v>0</v>
      </c>
      <c r="Y11" s="59">
        <f>+'VZLA BFS'!Y11/'VENEZUELA USD'!$AH$3</f>
        <v>32341.783417935701</v>
      </c>
      <c r="Z11" s="55">
        <f>+Y11-X11</f>
        <v>32341.783417935701</v>
      </c>
      <c r="AA11" s="61" t="str">
        <f>IF(X11=0,"",(Y11-X11)/ABS(X11)+1)</f>
        <v/>
      </c>
      <c r="AB11" s="59">
        <f>+'VZLA BFS'!AB11/'VENEZUELA USD'!$AH$3</f>
        <v>4735793840.0203047</v>
      </c>
      <c r="AC11" s="61">
        <f>IF(AB11=0,"",(Y11-AB11)/ABS(AB11))</f>
        <v>-0.99999317077885774</v>
      </c>
      <c r="AD11" s="61"/>
      <c r="AE11" s="61"/>
    </row>
    <row r="12" spans="1:35" x14ac:dyDescent="0.2">
      <c r="B12" s="3" t="s">
        <v>58</v>
      </c>
      <c r="C12" s="59">
        <f>'VZLA BFS'!C12/'VENEZUELA USD'!$AH$3</f>
        <v>0</v>
      </c>
      <c r="D12" s="28" t="str">
        <f t="shared" si="0"/>
        <v xml:space="preserve"> </v>
      </c>
      <c r="E12" s="59">
        <f>'VZLA BFS'!E12/'VENEZUELA USD'!$AH$3</f>
        <v>909.74619289340103</v>
      </c>
      <c r="F12" s="28">
        <f t="shared" si="1"/>
        <v>0.16458846913376926</v>
      </c>
      <c r="G12" s="28" t="str">
        <f t="shared" si="6"/>
        <v/>
      </c>
      <c r="H12" s="55">
        <f>+'VZLA BFS'!H12/'VENEZUELA USD'!$AH$4</f>
        <v>198.87425636223421</v>
      </c>
      <c r="I12" s="28">
        <f t="shared" si="2"/>
        <v>0.12310886438734656</v>
      </c>
      <c r="J12" s="28">
        <f t="shared" si="7"/>
        <v>3.5744794199826857</v>
      </c>
      <c r="K12" s="59">
        <f>'VZLA BFS'!K12/'VENEZUELA USD'!$AH$3</f>
        <v>0</v>
      </c>
      <c r="L12" s="28" t="str">
        <f t="shared" si="3"/>
        <v xml:space="preserve"> </v>
      </c>
      <c r="M12" s="59">
        <f>'VZLA BFS'!M12/'VENEZUELA USD'!$AH$3</f>
        <v>4433.8494077834175</v>
      </c>
      <c r="N12" s="28">
        <f t="shared" si="4"/>
        <v>0.12847201402540676</v>
      </c>
      <c r="O12" s="28" t="str">
        <f t="shared" si="8"/>
        <v/>
      </c>
      <c r="P12" s="55">
        <f>+'VZLA BFS'!P12/'VENEZUELA USD'!$AH$4</f>
        <v>1042.6686434046724</v>
      </c>
      <c r="Q12" s="28">
        <f t="shared" si="5"/>
        <v>0.14505278552084214</v>
      </c>
      <c r="R12" s="28">
        <f t="shared" si="9"/>
        <v>3.2524050529661768</v>
      </c>
      <c r="S12" s="61"/>
      <c r="U12" s="59">
        <f>+'VZLA BFS'!U12/'VENEZUELA USD'!$AH$3</f>
        <v>0</v>
      </c>
      <c r="AD12" s="61"/>
      <c r="AE12" s="61"/>
    </row>
    <row r="13" spans="1:35" x14ac:dyDescent="0.2">
      <c r="B13" s="3" t="s">
        <v>60</v>
      </c>
      <c r="C13" s="59">
        <f>'VZLA BFS'!C13/'VENEZUELA USD'!$AH$3</f>
        <v>0</v>
      </c>
      <c r="D13" s="28" t="str">
        <f t="shared" si="0"/>
        <v xml:space="preserve"> </v>
      </c>
      <c r="E13" s="59">
        <f>'VZLA BFS'!E13/'VENEZUELA USD'!$AH$3</f>
        <v>279.69543147208122</v>
      </c>
      <c r="F13" s="28">
        <f t="shared" si="1"/>
        <v>5.0601632905204141E-2</v>
      </c>
      <c r="G13" s="28" t="str">
        <f t="shared" si="6"/>
        <v/>
      </c>
      <c r="H13" s="55">
        <f>+'VZLA BFS'!H13/'VENEZUELA USD'!$AH$4</f>
        <v>144.55430295193753</v>
      </c>
      <c r="I13" s="28">
        <f t="shared" si="2"/>
        <v>8.9483256426631672E-2</v>
      </c>
      <c r="J13" s="28">
        <f t="shared" si="7"/>
        <v>0.93488139585216223</v>
      </c>
      <c r="K13" s="59">
        <f>'VZLA BFS'!K13/'VENEZUELA USD'!$AH$3</f>
        <v>0</v>
      </c>
      <c r="L13" s="28" t="str">
        <f t="shared" si="3"/>
        <v xml:space="preserve"> </v>
      </c>
      <c r="M13" s="59">
        <f>'VZLA BFS'!M13/'VENEZUELA USD'!$AH$3</f>
        <v>10070.908629441625</v>
      </c>
      <c r="N13" s="28">
        <f t="shared" si="4"/>
        <v>0.29180736549575986</v>
      </c>
      <c r="O13" s="28" t="str">
        <f t="shared" si="8"/>
        <v/>
      </c>
      <c r="P13" s="55">
        <f>+'VZLA BFS'!P13/'VENEZUELA USD'!$AH$4</f>
        <v>224.3384846798057</v>
      </c>
      <c r="Q13" s="28">
        <f t="shared" si="5"/>
        <v>3.120926509890358E-2</v>
      </c>
      <c r="R13" s="28">
        <f t="shared" si="9"/>
        <v>43.891578205209207</v>
      </c>
      <c r="S13" s="61"/>
      <c r="T13" s="3" t="s">
        <v>18</v>
      </c>
      <c r="U13" s="59">
        <f>+'VZLA BFS'!U13/'VENEZUELA USD'!$AH$3</f>
        <v>0</v>
      </c>
      <c r="V13" s="59">
        <f>+'VZLA BFS'!V13/'VENEZUELA USD'!$AH$3</f>
        <v>0</v>
      </c>
      <c r="W13" s="59">
        <f>+'VZLA BFS'!W13/'VENEZUELA USD'!$AH$3</f>
        <v>0</v>
      </c>
      <c r="X13" s="59">
        <f>+'VZLA BFS'!X13/'VENEZUELA USD'!$AH$3</f>
        <v>0</v>
      </c>
      <c r="Y13" s="59">
        <f>+'VZLA BFS'!Y13/'VENEZUELA USD'!$AH$3</f>
        <v>0</v>
      </c>
      <c r="Z13" s="55">
        <f>+X13-Y13</f>
        <v>0</v>
      </c>
      <c r="AA13" s="61" t="str">
        <f>IF(X13=0,"",(Y13-X13)/ABS(X13)+1)</f>
        <v/>
      </c>
      <c r="AB13" s="59">
        <f>+'VZLA BFS'!AB13/'VENEZUELA USD'!$AH$3</f>
        <v>0</v>
      </c>
      <c r="AC13" s="61" t="str">
        <f>IF(AB13=0,"",(Y13-AB13)/ABS(AB13))</f>
        <v/>
      </c>
      <c r="AD13" s="61"/>
      <c r="AE13" s="61"/>
    </row>
    <row r="14" spans="1:35" x14ac:dyDescent="0.2">
      <c r="B14" s="3" t="s">
        <v>61</v>
      </c>
      <c r="C14" s="59">
        <f>'VZLA BFS'!C14/'VENEZUELA USD'!$AH$3</f>
        <v>0</v>
      </c>
      <c r="D14" s="28" t="str">
        <f t="shared" si="0"/>
        <v xml:space="preserve"> </v>
      </c>
      <c r="E14" s="59">
        <f>'VZLA BFS'!E14/'VENEZUELA USD'!$AH$3</f>
        <v>0</v>
      </c>
      <c r="F14" s="28">
        <f t="shared" si="1"/>
        <v>0</v>
      </c>
      <c r="G14" s="28" t="str">
        <f t="shared" si="6"/>
        <v/>
      </c>
      <c r="H14" s="55">
        <f>+'VZLA BFS'!H14/'VENEZUELA USD'!$AH$4</f>
        <v>0</v>
      </c>
      <c r="I14" s="28">
        <f t="shared" si="2"/>
        <v>0</v>
      </c>
      <c r="J14" s="28" t="str">
        <f t="shared" si="7"/>
        <v/>
      </c>
      <c r="K14" s="59">
        <f>'VZLA BFS'!K14/'VENEZUELA USD'!$AH$3</f>
        <v>0</v>
      </c>
      <c r="L14" s="28" t="str">
        <f t="shared" si="3"/>
        <v xml:space="preserve"> </v>
      </c>
      <c r="M14" s="59">
        <f>'VZLA BFS'!M14/'VENEZUELA USD'!$AH$3</f>
        <v>0</v>
      </c>
      <c r="N14" s="28">
        <f t="shared" si="4"/>
        <v>0</v>
      </c>
      <c r="O14" s="28" t="str">
        <f t="shared" si="8"/>
        <v/>
      </c>
      <c r="P14" s="55">
        <f>+'VZLA BFS'!P14/'VENEZUELA USD'!$AH$4</f>
        <v>0</v>
      </c>
      <c r="Q14" s="28">
        <f t="shared" si="5"/>
        <v>0</v>
      </c>
      <c r="R14" s="28" t="str">
        <f t="shared" si="9"/>
        <v/>
      </c>
      <c r="S14" s="61"/>
      <c r="T14" s="3" t="s">
        <v>19</v>
      </c>
      <c r="U14" s="59">
        <f>+'VZLA BFS'!U14/'VENEZUELA USD'!$AH$3</f>
        <v>0</v>
      </c>
      <c r="V14" s="59">
        <f>+'VZLA BFS'!V14/'VENEZUELA USD'!$AH$3</f>
        <v>0</v>
      </c>
      <c r="W14" s="59">
        <f>+'VZLA BFS'!W14/'VENEZUELA USD'!$AH$3</f>
        <v>0</v>
      </c>
      <c r="X14" s="59">
        <f>+'VZLA BFS'!X14/'VENEZUELA USD'!$AH$3</f>
        <v>0</v>
      </c>
      <c r="Y14" s="59">
        <f>+'VZLA BFS'!Y14/'VENEZUELA USD'!$AH$3</f>
        <v>0</v>
      </c>
      <c r="Z14" s="55">
        <f>+X14-Y14</f>
        <v>0</v>
      </c>
      <c r="AA14" s="61" t="str">
        <f>IF(X14=0,"",(Y14-X14)/ABS(X14)+1)</f>
        <v/>
      </c>
      <c r="AB14" s="59">
        <f>+'VZLA BFS'!AB14/'VENEZUELA USD'!$AH$3</f>
        <v>0</v>
      </c>
      <c r="AC14" s="61" t="str">
        <f>IF(AB14=0,"",(Y14-AB14)/ABS(AB14))</f>
        <v/>
      </c>
      <c r="AD14" s="61"/>
      <c r="AE14" s="61"/>
    </row>
    <row r="15" spans="1:35" x14ac:dyDescent="0.2">
      <c r="B15" s="3" t="s">
        <v>63</v>
      </c>
      <c r="C15" s="59">
        <f>'VZLA BFS'!C15/'VENEZUELA USD'!$AH$3</f>
        <v>0</v>
      </c>
      <c r="D15" s="28" t="str">
        <f t="shared" si="0"/>
        <v xml:space="preserve"> </v>
      </c>
      <c r="E15" s="59">
        <f>'VZLA BFS'!E15/'VENEZUELA USD'!$AH$3</f>
        <v>754.39593908629433</v>
      </c>
      <c r="F15" s="28">
        <f t="shared" si="1"/>
        <v>0.13648298141270088</v>
      </c>
      <c r="G15" s="28" t="str">
        <f t="shared" si="6"/>
        <v/>
      </c>
      <c r="H15" s="55">
        <f>+'VZLA BFS'!H15/'VENEZUELA USD'!$AH$4</f>
        <v>266.10653710264421</v>
      </c>
      <c r="I15" s="28">
        <f t="shared" si="2"/>
        <v>0.16472757303029645</v>
      </c>
      <c r="J15" s="28">
        <f t="shared" si="7"/>
        <v>1.8349395219678659</v>
      </c>
      <c r="K15" s="59">
        <f>'VZLA BFS'!K15/'VENEZUELA USD'!$AH$3</f>
        <v>0</v>
      </c>
      <c r="L15" s="28" t="str">
        <f t="shared" si="3"/>
        <v xml:space="preserve"> </v>
      </c>
      <c r="M15" s="59">
        <f>'VZLA BFS'!M15/'VENEZUELA USD'!$AH$3</f>
        <v>4055.7225042301175</v>
      </c>
      <c r="N15" s="28">
        <f t="shared" si="4"/>
        <v>0.11751568231702587</v>
      </c>
      <c r="O15" s="28" t="str">
        <f t="shared" si="8"/>
        <v/>
      </c>
      <c r="P15" s="55">
        <f>+'VZLA BFS'!P15/'VENEZUELA USD'!$AH$4</f>
        <v>1192.680040066565</v>
      </c>
      <c r="Q15" s="28">
        <f t="shared" si="5"/>
        <v>0.1659218996764448</v>
      </c>
      <c r="R15" s="28">
        <f t="shared" si="9"/>
        <v>2.4005117617326461</v>
      </c>
      <c r="S15" s="61"/>
      <c r="T15" s="3" t="s">
        <v>20</v>
      </c>
      <c r="U15" s="59">
        <f>+'VZLA BFS'!U15/'VENEZUELA USD'!$AH$3</f>
        <v>0</v>
      </c>
      <c r="V15" s="59">
        <f>+'VZLA BFS'!V15/'VENEZUELA USD'!$AH$3</f>
        <v>1110.2047377326567</v>
      </c>
      <c r="W15" s="59">
        <f>+'VZLA BFS'!W15/'VENEZUELA USD'!$AH$3</f>
        <v>211390433.1641286</v>
      </c>
      <c r="X15" s="59">
        <f>+'VZLA BFS'!X15/'VENEZUELA USD'!$AH$3</f>
        <v>0</v>
      </c>
      <c r="Y15" s="59">
        <f>+'VZLA BFS'!Y15/'VENEZUELA USD'!$AH$3</f>
        <v>7292.6074450084598</v>
      </c>
      <c r="Z15" s="55">
        <f>+X15-Y15</f>
        <v>-7292.6074450084598</v>
      </c>
      <c r="AA15" s="61" t="str">
        <f>IF(X15=0,"",(Y15-X15)/ABS(X15)+1)</f>
        <v/>
      </c>
      <c r="AB15" s="59">
        <f>+'VZLA BFS'!AB15/'VENEZUELA USD'!$AH$3</f>
        <v>776399542.72419631</v>
      </c>
      <c r="AC15" s="61">
        <f>IF(AB15=0,"",(Y15-AB15)/ABS(AB15))</f>
        <v>-0.99999060714613586</v>
      </c>
      <c r="AD15" s="61"/>
      <c r="AE15" s="61"/>
      <c r="AG15" s="47"/>
    </row>
    <row r="16" spans="1:35" x14ac:dyDescent="0.2">
      <c r="B16" s="3" t="s">
        <v>64</v>
      </c>
      <c r="C16" s="59">
        <f>'VZLA BFS'!C16/'VENEZUELA USD'!$AH$3</f>
        <v>0</v>
      </c>
      <c r="D16" s="28" t="str">
        <f t="shared" si="0"/>
        <v xml:space="preserve"> </v>
      </c>
      <c r="E16" s="59">
        <f>'VZLA BFS'!E16/'VENEZUELA USD'!$AH$3</f>
        <v>0</v>
      </c>
      <c r="F16" s="28">
        <f t="shared" si="1"/>
        <v>0</v>
      </c>
      <c r="G16" s="28" t="str">
        <f t="shared" si="6"/>
        <v/>
      </c>
      <c r="H16" s="55">
        <f>+'VZLA BFS'!H16/'VENEZUELA USD'!$AH$4</f>
        <v>0</v>
      </c>
      <c r="I16" s="28">
        <f t="shared" si="2"/>
        <v>0</v>
      </c>
      <c r="J16" s="28" t="str">
        <f t="shared" si="7"/>
        <v/>
      </c>
      <c r="K16" s="59">
        <f>'VZLA BFS'!K16/'VENEZUELA USD'!$AH$3</f>
        <v>0</v>
      </c>
      <c r="L16" s="28" t="str">
        <f t="shared" si="3"/>
        <v xml:space="preserve"> </v>
      </c>
      <c r="M16" s="59">
        <f>'VZLA BFS'!M16/'VENEZUELA USD'!$AH$3</f>
        <v>0</v>
      </c>
      <c r="N16" s="28"/>
      <c r="O16" s="28" t="str">
        <f t="shared" si="8"/>
        <v/>
      </c>
      <c r="P16" s="55">
        <f>+'VZLA BFS'!P16/'VENEZUELA USD'!$AH$4</f>
        <v>0</v>
      </c>
      <c r="Q16" s="28">
        <f t="shared" si="5"/>
        <v>0</v>
      </c>
      <c r="R16" s="28" t="str">
        <f t="shared" si="9"/>
        <v/>
      </c>
      <c r="S16" s="61"/>
      <c r="T16" s="3" t="s">
        <v>21</v>
      </c>
      <c r="U16" s="59">
        <f>+'VZLA BFS'!U16/'VENEZUELA USD'!$AH$3</f>
        <v>0</v>
      </c>
      <c r="V16" s="59">
        <f>+'VZLA BFS'!V16/'VENEZUELA USD'!$AH$3</f>
        <v>1439.0033840947547</v>
      </c>
      <c r="W16" s="59">
        <f>+'VZLA BFS'!W16/'VENEZUELA USD'!$AH$3</f>
        <v>904229602.31810486</v>
      </c>
      <c r="X16" s="59">
        <f>+'VZLA BFS'!X16/'VENEZUELA USD'!$AH$3</f>
        <v>0</v>
      </c>
      <c r="Y16" s="59">
        <f>+'VZLA BFS'!Y16/'VENEZUELA USD'!$AH$3</f>
        <v>15853.893401015228</v>
      </c>
      <c r="Z16" s="55">
        <f>+X16-Y16</f>
        <v>-15853.893401015228</v>
      </c>
      <c r="AA16" s="61" t="str">
        <f>IF(X16=0,"",(Y16-X16)/ABS(X16)+1)</f>
        <v/>
      </c>
      <c r="AB16" s="59">
        <f>+'VZLA BFS'!AB16/'VENEZUELA USD'!$AH$3</f>
        <v>3256531466.3062601</v>
      </c>
      <c r="AC16" s="61">
        <f>IF(AB16=0,"",(Y16-AB16)/ABS(AB16))</f>
        <v>-0.99999513166276288</v>
      </c>
      <c r="AD16" s="61"/>
      <c r="AE16" s="61"/>
    </row>
    <row r="17" spans="2:33" x14ac:dyDescent="0.2">
      <c r="B17" s="3" t="s">
        <v>65</v>
      </c>
      <c r="C17" s="59">
        <f>'VZLA BFS'!C17/'VENEZUELA USD'!$AH$3</f>
        <v>0</v>
      </c>
      <c r="D17" s="28" t="str">
        <f t="shared" si="0"/>
        <v xml:space="preserve"> </v>
      </c>
      <c r="E17" s="59">
        <f>'VZLA BFS'!E17/'VENEZUELA USD'!$AH$3</f>
        <v>0</v>
      </c>
      <c r="F17" s="28">
        <f t="shared" si="1"/>
        <v>0</v>
      </c>
      <c r="G17" s="28" t="str">
        <f t="shared" si="6"/>
        <v/>
      </c>
      <c r="H17" s="55">
        <f>+'VZLA BFS'!H17/'VENEZUELA USD'!$AH$4</f>
        <v>0</v>
      </c>
      <c r="I17" s="28">
        <f t="shared" si="2"/>
        <v>0</v>
      </c>
      <c r="J17" s="28" t="str">
        <f t="shared" si="7"/>
        <v/>
      </c>
      <c r="K17" s="59">
        <f>'VZLA BFS'!K17/'VENEZUELA USD'!$AH$3</f>
        <v>0</v>
      </c>
      <c r="L17" s="28" t="str">
        <f t="shared" si="3"/>
        <v xml:space="preserve"> </v>
      </c>
      <c r="M17" s="59">
        <f>'VZLA BFS'!M17/'VENEZUELA USD'!$AH$3</f>
        <v>0</v>
      </c>
      <c r="N17" s="28"/>
      <c r="O17" s="28" t="str">
        <f t="shared" si="8"/>
        <v/>
      </c>
      <c r="P17" s="55">
        <f>+'VZLA BFS'!P17/'VENEZUELA USD'!$AH$4</f>
        <v>0</v>
      </c>
      <c r="Q17" s="28">
        <f t="shared" si="5"/>
        <v>0</v>
      </c>
      <c r="R17" s="28" t="str">
        <f t="shared" si="9"/>
        <v/>
      </c>
      <c r="S17" s="61"/>
      <c r="T17" s="3" t="s">
        <v>22</v>
      </c>
      <c r="U17" s="59">
        <f>+'VZLA BFS'!U17/'VENEZUELA USD'!$AH$3</f>
        <v>0</v>
      </c>
      <c r="V17" s="59">
        <f>+'VZLA BFS'!V17/'VENEZUELA USD'!$AH$3</f>
        <v>2549.2081218274111</v>
      </c>
      <c r="W17" s="59">
        <f>+'VZLA BFS'!W17/'VENEZUELA USD'!$AH$3</f>
        <v>1115620035.4822335</v>
      </c>
      <c r="X17" s="59">
        <f>+'VZLA BFS'!X17/'VENEZUELA USD'!$AH$3</f>
        <v>0</v>
      </c>
      <c r="Y17" s="59">
        <f>+'VZLA BFS'!Y17/'VENEZUELA USD'!$AH$3</f>
        <v>23146.50084602369</v>
      </c>
      <c r="Z17" s="55">
        <f>+Y17-X17</f>
        <v>23146.50084602369</v>
      </c>
      <c r="AA17" s="61" t="str">
        <f>IF(X17=0,"",(Y17-X17)/ABS(X17)+1)</f>
        <v/>
      </c>
      <c r="AB17" s="59">
        <f>+'VZLA BFS'!AB17/'VENEZUELA USD'!$AH$3</f>
        <v>4032931009.0304565</v>
      </c>
      <c r="AC17" s="61">
        <f>IF(AB17=0,"",(Y17-AB17)/ABS(AB17))</f>
        <v>-0.99999426062563579</v>
      </c>
      <c r="AD17" s="61"/>
      <c r="AE17" s="61"/>
    </row>
    <row r="18" spans="2:33" x14ac:dyDescent="0.2">
      <c r="B18" s="3" t="s">
        <v>120</v>
      </c>
      <c r="C18" s="59">
        <f>'VZLA BFS'!C18/'VENEZUELA USD'!$AH$3</f>
        <v>0</v>
      </c>
      <c r="D18" s="28" t="str">
        <f t="shared" si="0"/>
        <v xml:space="preserve"> </v>
      </c>
      <c r="E18" s="59">
        <f>'VZLA BFS'!E18/'VENEZUELA USD'!$AH$3</f>
        <v>0</v>
      </c>
      <c r="F18" s="28">
        <f t="shared" si="1"/>
        <v>0</v>
      </c>
      <c r="G18" s="28" t="str">
        <f t="shared" si="6"/>
        <v/>
      </c>
      <c r="H18" s="55">
        <f>+'VZLA BFS'!H18/'VENEZUELA USD'!$AH$4</f>
        <v>0</v>
      </c>
      <c r="I18" s="28">
        <f t="shared" si="2"/>
        <v>0</v>
      </c>
      <c r="J18" s="28" t="str">
        <f t="shared" si="7"/>
        <v/>
      </c>
      <c r="K18" s="59">
        <f>'VZLA BFS'!K18/'VENEZUELA USD'!$AH$3</f>
        <v>0</v>
      </c>
      <c r="L18" s="28" t="str">
        <f t="shared" si="3"/>
        <v xml:space="preserve"> </v>
      </c>
      <c r="M18" s="59">
        <f>'VZLA BFS'!M18/'VENEZUELA USD'!$AH$3</f>
        <v>0</v>
      </c>
      <c r="N18" s="28"/>
      <c r="O18" s="28" t="str">
        <f t="shared" si="8"/>
        <v/>
      </c>
      <c r="P18" s="55">
        <f>+'VZLA BFS'!P18/'VENEZUELA USD'!$AH$4</f>
        <v>0</v>
      </c>
      <c r="Q18" s="28">
        <f t="shared" si="5"/>
        <v>0</v>
      </c>
      <c r="R18" s="28" t="str">
        <f t="shared" si="9"/>
        <v/>
      </c>
      <c r="S18" s="61"/>
      <c r="U18" s="59">
        <f>+'VZLA BFS'!U18/'VENEZUELA USD'!$AH$3</f>
        <v>0</v>
      </c>
      <c r="AD18" s="61"/>
      <c r="AE18" s="61"/>
    </row>
    <row r="19" spans="2:33" x14ac:dyDescent="0.2">
      <c r="B19" s="3" t="s">
        <v>69</v>
      </c>
      <c r="C19" s="59">
        <f>'VZLA BFS'!C19/'VENEZUELA USD'!$AH$3</f>
        <v>0</v>
      </c>
      <c r="D19" s="28" t="str">
        <f t="shared" si="0"/>
        <v xml:space="preserve"> </v>
      </c>
      <c r="E19" s="59">
        <f>'VZLA BFS'!E19/'VENEZUELA USD'!$AH$3</f>
        <v>0</v>
      </c>
      <c r="F19" s="28">
        <f t="shared" si="1"/>
        <v>0</v>
      </c>
      <c r="G19" s="28" t="str">
        <f t="shared" si="6"/>
        <v/>
      </c>
      <c r="H19" s="55">
        <f>+'VZLA BFS'!H19/'VENEZUELA USD'!$AH$4</f>
        <v>0</v>
      </c>
      <c r="I19" s="28">
        <f t="shared" si="2"/>
        <v>0</v>
      </c>
      <c r="J19" s="28" t="str">
        <f t="shared" si="7"/>
        <v/>
      </c>
      <c r="K19" s="59">
        <f>'VZLA BFS'!K19/'VENEZUELA USD'!$AH$3</f>
        <v>0</v>
      </c>
      <c r="L19" s="28" t="str">
        <f t="shared" si="3"/>
        <v xml:space="preserve"> </v>
      </c>
      <c r="M19" s="59">
        <f>'VZLA BFS'!M19/'VENEZUELA USD'!$AH$3</f>
        <v>0</v>
      </c>
      <c r="N19" s="28"/>
      <c r="O19" s="28" t="str">
        <f t="shared" si="8"/>
        <v/>
      </c>
      <c r="P19" s="55">
        <f>+'VZLA BFS'!P19/'VENEZUELA USD'!$AH$4</f>
        <v>0</v>
      </c>
      <c r="Q19" s="28">
        <f t="shared" si="5"/>
        <v>0</v>
      </c>
      <c r="R19" s="28" t="str">
        <f t="shared" si="9"/>
        <v/>
      </c>
      <c r="S19" s="61"/>
      <c r="T19" s="3" t="s">
        <v>23</v>
      </c>
      <c r="U19" s="59">
        <f>+'VZLA BFS'!U19/'VENEZUELA USD'!$AH$3</f>
        <v>0</v>
      </c>
      <c r="V19" s="59">
        <f>+V11-V17</f>
        <v>2175.6548223350251</v>
      </c>
      <c r="W19" s="59">
        <f>+'VZLA BFS'!W19/'VENEZUELA USD'!$AH$3</f>
        <v>136389992.3401016</v>
      </c>
      <c r="X19" s="59">
        <f>+'VZLA BFS'!X19/'VENEZUELA USD'!$AH$3</f>
        <v>0</v>
      </c>
      <c r="Y19" s="59">
        <f>Y11-Y17</f>
        <v>9195.2825719120119</v>
      </c>
      <c r="Z19" s="55">
        <f>+Y19-X19</f>
        <v>9195.2825719120119</v>
      </c>
      <c r="AA19" s="61" t="str">
        <f>IF(X19=0,"",(Y19-X19)/ABS(X19)+1)</f>
        <v/>
      </c>
      <c r="AB19" s="59">
        <f>+'VZLA BFS'!AB19/'VENEZUELA USD'!$AH$3</f>
        <v>702862830.9898479</v>
      </c>
      <c r="AC19" s="61">
        <f>IF(AB19=0,"",(Y19-AB19)/ABS(AB19))</f>
        <v>-0.99998691738676948</v>
      </c>
      <c r="AD19" s="61"/>
      <c r="AE19" s="61"/>
      <c r="AG19" s="47"/>
    </row>
    <row r="20" spans="2:33" x14ac:dyDescent="0.2">
      <c r="B20" s="3" t="s">
        <v>24</v>
      </c>
      <c r="C20" s="59">
        <f>'VZLA BFS'!C20/'VENEZUELA USD'!$AH$3</f>
        <v>0</v>
      </c>
      <c r="D20" s="28" t="str">
        <f t="shared" si="0"/>
        <v xml:space="preserve"> </v>
      </c>
      <c r="E20" s="59">
        <f>'VZLA BFS'!E20/'VENEZUELA USD'!$AH$3</f>
        <v>5527.3993231810482</v>
      </c>
      <c r="F20" s="28">
        <f t="shared" si="1"/>
        <v>1</v>
      </c>
      <c r="G20" s="28" t="str">
        <f t="shared" si="6"/>
        <v/>
      </c>
      <c r="H20" s="55">
        <f>+'VZLA BFS'!H20/'VENEZUELA USD'!$AH$4</f>
        <v>1615.434090403932</v>
      </c>
      <c r="I20" s="28">
        <f t="shared" si="2"/>
        <v>1</v>
      </c>
      <c r="J20" s="28">
        <f t="shared" si="7"/>
        <v>2.4216185952835421</v>
      </c>
      <c r="K20" s="59">
        <f>'VZLA BFS'!K20/'VENEZUELA USD'!$AH$3</f>
        <v>0</v>
      </c>
      <c r="L20" s="28" t="str">
        <f t="shared" si="3"/>
        <v xml:space="preserve"> </v>
      </c>
      <c r="M20" s="59">
        <f>'VZLA BFS'!M20/'VENEZUELA USD'!$AH$3</f>
        <v>34512.181049069375</v>
      </c>
      <c r="N20" s="28">
        <f>+M20/$M$20</f>
        <v>1</v>
      </c>
      <c r="O20" s="28" t="str">
        <f t="shared" si="8"/>
        <v/>
      </c>
      <c r="P20" s="55">
        <f>+'VZLA BFS'!P20/'VENEZUELA USD'!$AH$4</f>
        <v>7188.201451359615</v>
      </c>
      <c r="Q20" s="28">
        <f t="shared" si="5"/>
        <v>1</v>
      </c>
      <c r="R20" s="28">
        <f t="shared" si="9"/>
        <v>3.8012261874688495</v>
      </c>
      <c r="S20" s="61"/>
      <c r="T20" s="3"/>
      <c r="U20" s="59">
        <f>+'VZLA BFS'!U20/'VENEZUELA USD'!$AH$3</f>
        <v>0</v>
      </c>
      <c r="V20" s="59"/>
      <c r="W20" s="59"/>
      <c r="X20" s="59"/>
      <c r="Y20" s="59"/>
      <c r="Z20" s="55"/>
      <c r="AA20" s="61"/>
      <c r="AB20" s="59"/>
      <c r="AC20" s="61" t="str">
        <f>IF(AB20=0,"",(Y20-AB20)/ABS(AB20))</f>
        <v/>
      </c>
      <c r="AD20" s="61"/>
      <c r="AE20" s="61"/>
    </row>
    <row r="21" spans="2:33" x14ac:dyDescent="0.2">
      <c r="E21" s="59">
        <f>'VZLA BFS'!E21/'VENEZUELA USD'!$AH$3</f>
        <v>0</v>
      </c>
      <c r="G21" s="28" t="str">
        <f t="shared" si="6"/>
        <v/>
      </c>
      <c r="H21" s="55">
        <f>+'VZLA BFS'!H21/'VENEZUELA USD'!$AH$4</f>
        <v>0</v>
      </c>
      <c r="L21" s="28" t="str">
        <f t="shared" si="3"/>
        <v xml:space="preserve"> </v>
      </c>
      <c r="M21" s="59">
        <f>'VZLA BFS'!M21/'VENEZUELA USD'!$AH$3</f>
        <v>0</v>
      </c>
      <c r="O21" s="28" t="str">
        <f t="shared" si="8"/>
        <v/>
      </c>
      <c r="P21" s="55">
        <f>+'VZLA BFS'!P21/'VENEZUELA USD'!$AH$4</f>
        <v>0</v>
      </c>
      <c r="Q21" s="28">
        <f t="shared" si="5"/>
        <v>0</v>
      </c>
      <c r="R21" s="28" t="str">
        <f t="shared" si="9"/>
        <v/>
      </c>
      <c r="S21" s="61"/>
      <c r="T21" s="3" t="s">
        <v>25</v>
      </c>
      <c r="U21" s="59">
        <f>+'VZLA BFS'!U21/'VENEZUELA USD'!$AH$3</f>
        <v>40042.639593908629</v>
      </c>
      <c r="V21" s="59">
        <f>+V10+V19</f>
        <v>6525.0626057529607</v>
      </c>
      <c r="W21" s="59">
        <f>+'VZLA BFS'!W21/'VENEZUELA USD'!$AH$3</f>
        <v>409213355.94416279</v>
      </c>
      <c r="X21" s="59">
        <f>+'VZLA BFS'!X21/'VENEZUELA USD'!$AH$3</f>
        <v>40042.639593908629</v>
      </c>
      <c r="Y21" s="59">
        <f>+Y10+Y19</f>
        <v>11693.92893401015</v>
      </c>
      <c r="Z21" s="55">
        <f>+Y21-X21</f>
        <v>-28348.710659898479</v>
      </c>
      <c r="AA21" s="61">
        <f>IF(X21=0,"",(Y21-X21)/ABS(X21)+1)</f>
        <v>0.29203691496374418</v>
      </c>
      <c r="AB21" s="59">
        <f>+'VZLA BFS'!AB21/'VENEZUELA USD'!$AH$3</f>
        <v>780455158.7292726</v>
      </c>
      <c r="AC21" s="61">
        <f>IF(AB21=0,"",(Y21-AB21)/ABS(AB21))</f>
        <v>-0.99998501652682648</v>
      </c>
      <c r="AD21" s="61"/>
      <c r="AE21" s="61"/>
      <c r="AG21" s="47"/>
    </row>
    <row r="22" spans="2:33" x14ac:dyDescent="0.2">
      <c r="B22" s="3" t="s">
        <v>26</v>
      </c>
      <c r="C22" s="59">
        <f>'VZLA BFS'!C21/'VENEZUELA USD'!$AH$3</f>
        <v>0</v>
      </c>
      <c r="D22" s="28" t="str">
        <f>IF(DD30&lt;=0," ",C22/$C$20)</f>
        <v xml:space="preserve"> </v>
      </c>
      <c r="E22" s="59">
        <f>'VZLA BFS'!E22/'VENEZUELA USD'!$AH$3</f>
        <v>0</v>
      </c>
      <c r="F22" s="28">
        <f>+E22/$E$20</f>
        <v>0</v>
      </c>
      <c r="G22" s="28" t="str">
        <f t="shared" si="6"/>
        <v/>
      </c>
      <c r="H22" s="55">
        <f>+'VZLA BFS'!H22/'VENEZUELA USD'!$AH$4</f>
        <v>0</v>
      </c>
      <c r="I22" s="28">
        <f>IF($H$20&lt;=0," ",H22/$H$20)</f>
        <v>0</v>
      </c>
      <c r="J22" s="28" t="str">
        <f>IF(E22=0,"",(E22-H22)/ABS(H22))</f>
        <v/>
      </c>
      <c r="K22" s="59">
        <f>'VZLA BFS'!K21/'VENEZUELA USD'!$AH$3</f>
        <v>0</v>
      </c>
      <c r="L22" s="28" t="str">
        <f t="shared" si="3"/>
        <v xml:space="preserve"> </v>
      </c>
      <c r="M22" s="59">
        <f>'VZLA BFS'!M22/'VENEZUELA USD'!$AH$3</f>
        <v>9241.4653130287643</v>
      </c>
      <c r="N22" s="28">
        <f>+M22/$M$20</f>
        <v>0.26777401578559351</v>
      </c>
      <c r="O22" s="28" t="str">
        <f t="shared" si="8"/>
        <v/>
      </c>
      <c r="P22" s="55">
        <f>+'VZLA BFS'!P22/'VENEZUELA USD'!$AH$4</f>
        <v>0</v>
      </c>
      <c r="Q22" s="28">
        <f t="shared" si="5"/>
        <v>0</v>
      </c>
      <c r="R22" s="28" t="e">
        <f t="shared" si="9"/>
        <v>#DIV/0!</v>
      </c>
      <c r="S22" s="61"/>
      <c r="U22" s="59">
        <f>+'VZLA BFS'!U22/'VENEZUELA USD'!$AH$3</f>
        <v>0</v>
      </c>
      <c r="AD22" s="61"/>
      <c r="AE22" s="61"/>
    </row>
    <row r="23" spans="2:33" x14ac:dyDescent="0.2">
      <c r="E23" s="59">
        <f>'VZLA BFS'!E23/'VENEZUELA USD'!$AH$3</f>
        <v>0</v>
      </c>
      <c r="H23" s="55">
        <f>+'VZLA BFS'!H23/'VENEZUELA USD'!$AH$4</f>
        <v>0</v>
      </c>
      <c r="M23" s="59">
        <f>'VZLA BFS'!M23/'VENEZUELA USD'!$AH$3</f>
        <v>0</v>
      </c>
      <c r="P23" s="55">
        <f>+'VZLA BFS'!P23/'VENEZUELA USD'!$AH$4</f>
        <v>0</v>
      </c>
      <c r="S23" s="61"/>
      <c r="T23" s="3" t="s">
        <v>27</v>
      </c>
      <c r="U23" s="59">
        <f>+'VZLA BFS'!U23/'VENEZUELA USD'!$AH$3</f>
        <v>0</v>
      </c>
      <c r="V23" s="59"/>
      <c r="W23" s="59"/>
      <c r="X23" s="59"/>
      <c r="Y23" s="59"/>
      <c r="Z23" s="55">
        <f>+Y23-X23</f>
        <v>0</v>
      </c>
      <c r="AA23" s="61" t="str">
        <f>IF(X23=0,"",(Y23-X23)/ABS(X23)+1)</f>
        <v/>
      </c>
      <c r="AB23" s="59">
        <v>0</v>
      </c>
      <c r="AC23" s="61" t="str">
        <f>IF(AB23=0,"",(Y23-AB23)/ABS(AB23))</f>
        <v/>
      </c>
      <c r="AD23" s="61"/>
      <c r="AE23" s="61"/>
    </row>
    <row r="24" spans="2:33" x14ac:dyDescent="0.2">
      <c r="B24" s="3" t="s">
        <v>28</v>
      </c>
      <c r="C24" s="59">
        <f>'VZLA BFS'!C22/'VENEZUELA USD'!$AH$3</f>
        <v>0</v>
      </c>
      <c r="D24" s="28" t="str">
        <f>IF(DD31&lt;=0," ",C24/$C$20)</f>
        <v xml:space="preserve"> </v>
      </c>
      <c r="E24" s="59">
        <f>'VZLA BFS'!E24/'VENEZUELA USD'!$AH$3</f>
        <v>5527.3993231810482</v>
      </c>
      <c r="F24" s="28">
        <f>+E24/$E$20</f>
        <v>1</v>
      </c>
      <c r="G24" s="28" t="str">
        <f>IF(C24=0,"",(E24-C24)/ABS(C24)+1)</f>
        <v/>
      </c>
      <c r="H24" s="55">
        <f>+'VZLA BFS'!H24/'VENEZUELA USD'!$AH$4</f>
        <v>1615.434090403932</v>
      </c>
      <c r="I24" s="28">
        <f>IF($H$20&lt;=0," ",H24/$H$20)</f>
        <v>1</v>
      </c>
      <c r="J24" s="28">
        <f>IF(E24=0,"",(E24-H24)/ABS(H24))</f>
        <v>2.4216185952835421</v>
      </c>
      <c r="K24" s="59">
        <f>'VZLA BFS'!K22/'VENEZUELA USD'!$AH$3</f>
        <v>0</v>
      </c>
      <c r="L24" s="28" t="str">
        <f>IF($K$20&lt;=0," ",K24/$K$20)</f>
        <v xml:space="preserve"> </v>
      </c>
      <c r="M24" s="59">
        <f>'VZLA BFS'!M24/'VENEZUELA USD'!$AH$3</f>
        <v>25270.715736040613</v>
      </c>
      <c r="N24" s="28">
        <f>+M24/$M$20</f>
        <v>0.73222598421440654</v>
      </c>
      <c r="O24" s="28" t="str">
        <f>IF(K24=0,"",(M24-K24)/ABS(K24)+1)</f>
        <v/>
      </c>
      <c r="P24" s="55">
        <f>+'VZLA BFS'!P24/'VENEZUELA USD'!$AH$4</f>
        <v>7188.201451359615</v>
      </c>
      <c r="Q24" s="28">
        <f>IF($P$20&lt;=0," ",P24/$P$20)</f>
        <v>1</v>
      </c>
      <c r="R24" s="28">
        <f>IF(M24=0,"",(M24-P24)/ABS(P24))</f>
        <v>2.5155825705553609</v>
      </c>
      <c r="S24" s="61"/>
      <c r="U24" s="59">
        <f>+'VZLA BFS'!U24/'VENEZUELA USD'!$AH$3</f>
        <v>0</v>
      </c>
      <c r="AD24" s="61"/>
      <c r="AE24" s="61"/>
    </row>
    <row r="25" spans="2:33" x14ac:dyDescent="0.2">
      <c r="E25" s="59">
        <f>'VZLA BFS'!E25/'VENEZUELA USD'!$AH$3</f>
        <v>0</v>
      </c>
      <c r="H25" s="55">
        <f>+'VZLA BFS'!H25/'VENEZUELA USD'!$AH$4</f>
        <v>0</v>
      </c>
      <c r="M25" s="59">
        <f>'VZLA BFS'!M25/'VENEZUELA USD'!$AH$3</f>
        <v>0</v>
      </c>
      <c r="P25" s="55">
        <f>+'VZLA BFS'!P25/'VENEZUELA USD'!$AH$4</f>
        <v>0</v>
      </c>
      <c r="S25" s="61"/>
      <c r="T25" s="3" t="s">
        <v>29</v>
      </c>
      <c r="U25" s="59">
        <f>+'VZLA BFS'!U25/'VENEZUELA USD'!$AH$3</f>
        <v>0</v>
      </c>
      <c r="V25" s="59">
        <v>1736.09</v>
      </c>
      <c r="W25" s="59">
        <f>+'VZLA BFS'!W25/'VENEZUELA USD'!$AH$3</f>
        <v>82680435.245346874</v>
      </c>
      <c r="X25" s="59">
        <f>+'VZLA BFS'!X25/'VENEZUELA USD'!$AH$3</f>
        <v>0</v>
      </c>
      <c r="Y25" s="59">
        <f>+'VZLA BFS'!Y25/'VENEZUELA USD'!$AH$3</f>
        <v>5292.9847715736041</v>
      </c>
      <c r="Z25" s="55">
        <f>+Y25-X25</f>
        <v>5292.9847715736041</v>
      </c>
      <c r="AA25" s="61" t="str">
        <f>IF(X25=0,"",(Y25-X25)/ABS(X25)+1)</f>
        <v/>
      </c>
      <c r="AB25" s="59">
        <f>+'VZLA BFS'!AB25/'VENEZUELA USD'!$AH$3</f>
        <v>453922238.0304569</v>
      </c>
      <c r="AC25" s="61">
        <f>IF(AB25=0,"",(Y25-AB25)/ABS(AB25))</f>
        <v>-0.99998833944599297</v>
      </c>
    </row>
    <row r="26" spans="2:33" x14ac:dyDescent="0.2">
      <c r="B26" s="3" t="s">
        <v>30</v>
      </c>
      <c r="C26" s="59">
        <f>'VZLA BFS'!C23/'VENEZUELA USD'!$AH$3</f>
        <v>0</v>
      </c>
      <c r="D26" s="28" t="str">
        <f>IF(DD32&lt;=0," ",C26/$C$20)</f>
        <v xml:space="preserve"> </v>
      </c>
      <c r="E26" s="59">
        <f>'VZLA BFS'!E26/'VENEZUELA USD'!$AH$3</f>
        <v>105.96277495769881</v>
      </c>
      <c r="F26" s="28">
        <f>+E26/$E$20</f>
        <v>1.917045770753481E-2</v>
      </c>
      <c r="G26" s="28" t="str">
        <f>IF(C26=0,"",(E26-C26)/ABS(C26)+1)</f>
        <v/>
      </c>
      <c r="H26" s="55">
        <f>+'VZLA BFS'!H26/'VENEZUELA USD'!$AH$4</f>
        <v>24.80872746859713</v>
      </c>
      <c r="I26" s="28">
        <f>IF($H$20&lt;=0," ",H26/$H$20)</f>
        <v>1.5357313316567325E-2</v>
      </c>
      <c r="J26" s="28">
        <f>IF(E26=0,"",(E26-H26)/ABS(H26))</f>
        <v>3.2711894470132101</v>
      </c>
      <c r="K26" s="59">
        <f>'VZLA BFS'!K23/'VENEZUELA USD'!$AH$3</f>
        <v>0</v>
      </c>
      <c r="L26" s="28" t="str">
        <f>IF($K$20&lt;=0," ",K26/$K$20)</f>
        <v xml:space="preserve"> </v>
      </c>
      <c r="M26" s="59">
        <f>'VZLA BFS'!M26/'VENEZUELA USD'!$AH$3</f>
        <v>545.65143824027075</v>
      </c>
      <c r="N26" s="28">
        <f>+M26/$M$20</f>
        <v>1.5810401477219425E-2</v>
      </c>
      <c r="O26" s="28" t="str">
        <f>IF(K26=0,"",(M26-K26)/ABS(K26)+1)</f>
        <v/>
      </c>
      <c r="P26" s="55">
        <f>+'VZLA BFS'!P26/'VENEZUELA USD'!$AH$4</f>
        <v>105.93535427164086</v>
      </c>
      <c r="Q26" s="28">
        <f>IF($P$20&lt;=0," ",P26/$P$20)</f>
        <v>1.4737393628778125E-2</v>
      </c>
      <c r="R26" s="28">
        <f>IF(M26=0,"",(M26-P26)/ABS(P26))</f>
        <v>4.1507963700305757</v>
      </c>
      <c r="S26" s="61"/>
      <c r="U26" s="59">
        <f>+'VZLA BFS'!U26/'VENEZUELA USD'!$AH$3</f>
        <v>0</v>
      </c>
    </row>
    <row r="27" spans="2:33" x14ac:dyDescent="0.2">
      <c r="B27" s="3" t="s">
        <v>31</v>
      </c>
      <c r="C27" s="59">
        <f>'VZLA BFS'!C24/'VENEZUELA USD'!$AH$3</f>
        <v>0</v>
      </c>
      <c r="D27" s="28" t="str">
        <f>IF(DD33&lt;=0," ",C27/$C$20)</f>
        <v xml:space="preserve"> </v>
      </c>
      <c r="E27" s="59">
        <f>'VZLA BFS'!E27/'VENEZUELA USD'!$AH$3</f>
        <v>355.76988155668357</v>
      </c>
      <c r="F27" s="28">
        <f>+E27/$E$20</f>
        <v>6.4364787263449616E-2</v>
      </c>
      <c r="G27" s="28" t="str">
        <f>IF(C27=0,"",(E27-C27)/ABS(C27)+1)</f>
        <v/>
      </c>
      <c r="H27" s="55">
        <f>+'VZLA BFS'!H27/'VENEZUELA USD'!$AH$4</f>
        <v>537.79195618770405</v>
      </c>
      <c r="I27" s="28">
        <f>IF($H$20&lt;=0," ",H27/$H$20)</f>
        <v>0.33290863389742603</v>
      </c>
      <c r="J27" s="28">
        <f>IF(E27=0,"",(E27-H27)/ABS(H27))</f>
        <v>-0.33846187645002596</v>
      </c>
      <c r="K27" s="59">
        <f>'VZLA BFS'!K24/'VENEZUELA USD'!$AH$3</f>
        <v>0</v>
      </c>
      <c r="L27" s="28" t="str">
        <f>IF($K$20&lt;=0," ",K27/$K$20)</f>
        <v xml:space="preserve"> </v>
      </c>
      <c r="M27" s="59">
        <f>'VZLA BFS'!M27/'VENEZUELA USD'!$AH$3</f>
        <v>3291.5313028764804</v>
      </c>
      <c r="N27" s="28">
        <f>+M27/$M$20</f>
        <v>9.5373030704625286E-2</v>
      </c>
      <c r="O27" s="28" t="str">
        <f>IF(K27=0,"",(M27-K27)/ABS(K27)+1)</f>
        <v/>
      </c>
      <c r="P27" s="55">
        <f>+'VZLA BFS'!P27/'VENEZUELA USD'!$AH$4</f>
        <v>2016.3820862590817</v>
      </c>
      <c r="Q27" s="28">
        <f>IF($P$20&lt;=0," ",P27/$P$20)</f>
        <v>0.28051274020397582</v>
      </c>
      <c r="R27" s="28">
        <f>IF(M27=0,"",(M27-P27)/ABS(P27))</f>
        <v>0.63239463656569939</v>
      </c>
      <c r="S27" s="61"/>
      <c r="T27" s="3" t="s">
        <v>32</v>
      </c>
      <c r="U27" s="59">
        <f>+'VZLA BFS'!U27/'VENEZUELA USD'!$AH$3</f>
        <v>0</v>
      </c>
      <c r="V27" s="59"/>
      <c r="W27" s="59"/>
      <c r="X27" s="59">
        <f>+'VZLA BFS'!X27/'VENEZUELA USD'!$AH$3</f>
        <v>0</v>
      </c>
      <c r="Y27" s="59">
        <f>+'VZLA BFS'!Y27/'VENEZUELA USD'!$AH$3</f>
        <v>0</v>
      </c>
      <c r="Z27" s="55">
        <f>+Y27-X27</f>
        <v>0</v>
      </c>
      <c r="AA27" s="61" t="str">
        <f>IF(X27=0,"",(Y27-X27)/ABS(X27)+1)</f>
        <v/>
      </c>
      <c r="AB27" s="59">
        <f>+'VZLA BFS'!AB27/'VENEZUELA USD'!$AH$3</f>
        <v>0</v>
      </c>
      <c r="AC27" s="61" t="str">
        <f>IF(AB27=0,"",(Y27-AB27)/ABS(AB27))</f>
        <v/>
      </c>
    </row>
    <row r="28" spans="2:33" x14ac:dyDescent="0.2">
      <c r="B28" s="3" t="s">
        <v>33</v>
      </c>
      <c r="C28" s="59">
        <f>'VZLA BFS'!C25/'VENEZUELA USD'!$AH$3</f>
        <v>0</v>
      </c>
      <c r="D28" s="28" t="str">
        <f>IF(DD34&lt;=0," ",C28/$C$20)</f>
        <v xml:space="preserve"> </v>
      </c>
      <c r="E28" s="59">
        <f>'VZLA BFS'!E28/'VENEZUELA USD'!$AH$3</f>
        <v>461.73265651438243</v>
      </c>
      <c r="F28" s="28">
        <f>+E28/$E$20</f>
        <v>8.353524497098444E-2</v>
      </c>
      <c r="G28" s="28" t="str">
        <f>IF(C28=0,"",(E28-C28)/ABS(C28)+1)</f>
        <v/>
      </c>
      <c r="H28" s="55">
        <f>+'VZLA BFS'!H28/'VENEZUELA USD'!$AH$4</f>
        <v>562.60068365630127</v>
      </c>
      <c r="I28" s="28">
        <f>IF($H$20&lt;=0," ",H28/$H$20)</f>
        <v>0.3482659472139934</v>
      </c>
      <c r="J28" s="28">
        <f>IF(E28=0,"",(E28-H28)/ABS(H28))</f>
        <v>-0.17928884566293948</v>
      </c>
      <c r="K28" s="59">
        <f>'VZLA BFS'!K25/'VENEZUELA USD'!$AH$3</f>
        <v>0</v>
      </c>
      <c r="L28" s="28" t="str">
        <f>IF($K$20&lt;=0," ",K28/$K$20)</f>
        <v xml:space="preserve"> </v>
      </c>
      <c r="M28" s="59">
        <f>'VZLA BFS'!M28/'VENEZUELA USD'!$AH$3</f>
        <v>3837.182741116751</v>
      </c>
      <c r="N28" s="28">
        <f>+M28/$M$20</f>
        <v>0.1111834321818447</v>
      </c>
      <c r="O28" s="28" t="str">
        <f>IF(K28=0,"",(M28-K28)/ABS(K28)+1)</f>
        <v/>
      </c>
      <c r="P28" s="55">
        <f>+'VZLA BFS'!P28/'VENEZUELA USD'!$AH$4</f>
        <v>2122.3174405307227</v>
      </c>
      <c r="Q28" s="28">
        <f>IF($P$20&lt;=0," ",P28/$P$20)</f>
        <v>0.295250133832754</v>
      </c>
      <c r="R28" s="28">
        <f>IF(M28=0,"",(M28-P28)/ABS(P28))</f>
        <v>0.80801545887367165</v>
      </c>
      <c r="S28" s="61"/>
      <c r="T28" s="3" t="s">
        <v>34</v>
      </c>
      <c r="U28" s="59">
        <f>+'VZLA BFS'!U28/'VENEZUELA USD'!$AH$3</f>
        <v>0</v>
      </c>
      <c r="V28" s="59"/>
      <c r="W28" s="59"/>
      <c r="X28" s="59"/>
      <c r="Y28" s="59">
        <f>+'VZLA BFS'!Y28/'VENEZUELA USD'!$AH$3</f>
        <v>0</v>
      </c>
      <c r="Z28" s="55">
        <f>+Y28-X28</f>
        <v>0</v>
      </c>
      <c r="AA28" s="61" t="str">
        <f>IF(X28=0,"",(Y28-X28)/ABS(X28)+1)</f>
        <v/>
      </c>
      <c r="AB28" s="59">
        <f>+'VZLA BFS'!AB28/'VENEZUELA USD'!$AH$3</f>
        <v>0</v>
      </c>
      <c r="AC28" s="61" t="str">
        <f>IF(AB28=0,"",(Y28-AB28)/ABS(AB28))</f>
        <v/>
      </c>
    </row>
    <row r="29" spans="2:33" x14ac:dyDescent="0.2">
      <c r="E29" s="59">
        <f>'VZLA BFS'!E29/'VENEZUELA USD'!$AH$3</f>
        <v>0</v>
      </c>
      <c r="H29" s="55">
        <f>+'VZLA BFS'!H29/'VENEZUELA USD'!$AH$4</f>
        <v>0</v>
      </c>
      <c r="M29" s="59">
        <f>'VZLA BFS'!M29/'VENEZUELA USD'!$AH$3</f>
        <v>0</v>
      </c>
      <c r="P29" s="55">
        <f>+'VZLA BFS'!P29/'VENEZUELA USD'!$AH$4</f>
        <v>0</v>
      </c>
      <c r="S29" s="61"/>
      <c r="U29" s="59">
        <f>+'VZLA BFS'!U29/'VENEZUELA USD'!$AH$3</f>
        <v>0</v>
      </c>
    </row>
    <row r="30" spans="2:33" x14ac:dyDescent="0.2">
      <c r="B30" s="3" t="s">
        <v>35</v>
      </c>
      <c r="C30" s="59">
        <f>'VZLA BFS'!C26/'VENEZUELA USD'!$AH$3</f>
        <v>0</v>
      </c>
      <c r="D30" s="28" t="str">
        <f>IF(DD35&lt;=0," ",C30/$C$20)</f>
        <v xml:space="preserve"> </v>
      </c>
      <c r="E30" s="59">
        <f>'VZLA BFS'!E30/'VENEZUELA USD'!$AH$3</f>
        <v>1754.5076142131979</v>
      </c>
      <c r="F30" s="28">
        <f>+E30/$E$20</f>
        <v>0.31742009426658707</v>
      </c>
      <c r="G30" s="28" t="str">
        <f>IF(C30=0,"",(E30-C30)/ABS(C30)+1)</f>
        <v/>
      </c>
      <c r="H30" s="55">
        <f>+'VZLA BFS'!H30/'VENEZUELA USD'!$AH$4</f>
        <v>527.30997586197236</v>
      </c>
      <c r="I30" s="28">
        <f>IF($H$20&lt;=0," ",H30/$H$20)</f>
        <v>0.3264199876641955</v>
      </c>
      <c r="J30" s="28">
        <f>IF(E30=0,"",(E30-H30)/ABS(H30))</f>
        <v>2.3272793888360921</v>
      </c>
      <c r="K30" s="59">
        <f>'VZLA BFS'!K26/'VENEZUELA USD'!$AH$3</f>
        <v>0</v>
      </c>
      <c r="L30" s="28" t="str">
        <f>IF($K$20&lt;=0," ",K30/$K$20)</f>
        <v xml:space="preserve"> </v>
      </c>
      <c r="M30" s="59">
        <f>'VZLA BFS'!M30/'VENEZUELA USD'!$AH$3</f>
        <v>13216.429780033841</v>
      </c>
      <c r="N30" s="28">
        <f>+M30/$M$20</f>
        <v>0.38294971161755142</v>
      </c>
      <c r="O30" s="28" t="str">
        <f>IF(K30=0,"",(M30-K30)/ABS(K30)+1)</f>
        <v/>
      </c>
      <c r="P30" s="55">
        <f>+'VZLA BFS'!P30/'VENEZUELA USD'!$AH$4</f>
        <v>2671.0011918619261</v>
      </c>
      <c r="Q30" s="28">
        <f>IF($P$20&lt;=0," ",P30/$P$20)</f>
        <v>0.37158129330901246</v>
      </c>
      <c r="R30" s="28">
        <f>IF(M30=0,"",(M30-P30)/ABS(P30))</f>
        <v>3.9481182637813839</v>
      </c>
      <c r="S30" s="61"/>
      <c r="T30" s="3" t="s">
        <v>36</v>
      </c>
      <c r="U30" s="59">
        <f>+'VZLA BFS'!U30/'VENEZUELA USD'!$AH$3</f>
        <v>40042.639593908629</v>
      </c>
      <c r="V30" s="59">
        <f>+V21-V25-V23+V27</f>
        <v>4788.9726057529606</v>
      </c>
      <c r="W30" s="59">
        <f>+W21-W25-W23+W27</f>
        <v>326532920.69881594</v>
      </c>
      <c r="X30" s="59">
        <f>+X21-X25-X23-X27</f>
        <v>40042.639593908629</v>
      </c>
      <c r="Y30" s="59">
        <f>+Y21-Y25-Y23+Y27</f>
        <v>6400.9441624365454</v>
      </c>
      <c r="Z30" s="55">
        <f>+Y30-X30</f>
        <v>-33641.695431472086</v>
      </c>
      <c r="AA30" s="61">
        <f>IF(U30=0,"",(V30-U30)/ABS(U30)+1)</f>
        <v>0.11959682614133837</v>
      </c>
      <c r="AB30" s="59">
        <f>+AB21-AB25-AB23-AB27</f>
        <v>326532920.6988157</v>
      </c>
      <c r="AC30" s="61">
        <f>IF(AB30=0,"",(Y30-AB30)/ABS(AB30))</f>
        <v>-0.99998039724708698</v>
      </c>
    </row>
    <row r="31" spans="2:33" x14ac:dyDescent="0.2">
      <c r="B31" s="3" t="s">
        <v>37</v>
      </c>
      <c r="C31" s="59">
        <f>'VZLA BFS'!C27/'VENEZUELA USD'!$AH$3</f>
        <v>0</v>
      </c>
      <c r="D31" s="28" t="str">
        <f>IF(DD36&lt;=0," ",C31/$C$20)</f>
        <v xml:space="preserve"> </v>
      </c>
      <c r="E31" s="59">
        <f>'VZLA BFS'!E31/'VENEZUELA USD'!$AH$3</f>
        <v>403.80541455160738</v>
      </c>
      <c r="F31" s="28">
        <f>+E31/$E$20</f>
        <v>7.3055227411942286E-2</v>
      </c>
      <c r="G31" s="28" t="str">
        <f>IF(C31=0,"",(E31-C31)/ABS(C31)+1)</f>
        <v/>
      </c>
      <c r="H31" s="55">
        <f>+'VZLA BFS'!H31/'VENEZUELA USD'!$AH$4</f>
        <v>300.33675740352032</v>
      </c>
      <c r="I31" s="28">
        <f>IF($H$20&lt;=0," ",H31/$H$20)</f>
        <v>0.18591706042827316</v>
      </c>
      <c r="J31" s="28">
        <f>IF(E31=0,"",(E31-H31)/ABS(H31))</f>
        <v>0.34450880419232455</v>
      </c>
      <c r="K31" s="59">
        <f>'VZLA BFS'!K27/'VENEZUELA USD'!$AH$3</f>
        <v>0</v>
      </c>
      <c r="L31" s="28" t="str">
        <f>IF($K$20&lt;=0," ",K31/$K$20)</f>
        <v xml:space="preserve"> </v>
      </c>
      <c r="M31" s="59">
        <f>'VZLA BFS'!M31/'VENEZUELA USD'!$AH$3</f>
        <v>2685.9949238578674</v>
      </c>
      <c r="N31" s="28">
        <f>+M31/$M$20</f>
        <v>7.7827446490238428E-2</v>
      </c>
      <c r="O31" s="28" t="str">
        <f>IF(K31=0,"",(M31-K31)/ABS(K31)+1)</f>
        <v/>
      </c>
      <c r="P31" s="55">
        <f>+'VZLA BFS'!P31/'VENEZUELA USD'!$AH$4</f>
        <v>1288.6971405315921</v>
      </c>
      <c r="Q31" s="28">
        <f>IF($P$20&lt;=0," ",P31/$P$20)</f>
        <v>0.17927949699960635</v>
      </c>
      <c r="R31" s="28">
        <f>IF(M31=0,"",(M31-P31)/ABS(P31))</f>
        <v>1.0842716565273707</v>
      </c>
      <c r="S31" s="61"/>
      <c r="T31" s="61"/>
      <c r="U31" s="50"/>
    </row>
    <row r="32" spans="2:33" x14ac:dyDescent="0.2">
      <c r="B32" s="3" t="s">
        <v>38</v>
      </c>
      <c r="C32" s="59">
        <f>'VZLA BFS'!C28/'VENEZUELA USD'!$AH$3</f>
        <v>0</v>
      </c>
      <c r="D32" s="28" t="str">
        <f>IF(DD37&lt;=0," ",C32/$C$20)</f>
        <v xml:space="preserve"> </v>
      </c>
      <c r="E32" s="59">
        <f>'VZLA BFS'!E32/'VENEZUELA USD'!$AH$3</f>
        <v>2158.313028764805</v>
      </c>
      <c r="F32" s="28">
        <f>+E32/$E$20</f>
        <v>0.39047532167852933</v>
      </c>
      <c r="G32" s="28" t="str">
        <f>IF(C32=0,"",(E32-C32)/ABS(C32)+1)</f>
        <v/>
      </c>
      <c r="H32" s="55">
        <f>+'VZLA BFS'!H32/'VENEZUELA USD'!$AH$4</f>
        <v>827.64673326549268</v>
      </c>
      <c r="I32" s="28">
        <f>IF($H$20&lt;=0," ",H32/$H$20)</f>
        <v>0.51233704809246861</v>
      </c>
      <c r="J32" s="28">
        <f>IF(E32=0,"",(E32-H32)/ABS(H32))</f>
        <v>1.607770854418948</v>
      </c>
      <c r="K32" s="59">
        <f>'VZLA BFS'!K28/'VENEZUELA USD'!$AH$3</f>
        <v>0</v>
      </c>
      <c r="L32" s="28" t="str">
        <f>IF($K$20&lt;=0," ",K32/$K$20)</f>
        <v xml:space="preserve"> </v>
      </c>
      <c r="M32" s="59">
        <f>'VZLA BFS'!M32/'VENEZUELA USD'!$AH$3</f>
        <v>15902.424703891709</v>
      </c>
      <c r="N32" s="28">
        <f>+M32/$M$20</f>
        <v>0.46077715810778991</v>
      </c>
      <c r="O32" s="28" t="str">
        <f>IF(K32=0,"",(M32-K32)/ABS(K32)+1)</f>
        <v/>
      </c>
      <c r="P32" s="55">
        <f>+'VZLA BFS'!P32/'VENEZUELA USD'!$AH$4</f>
        <v>3959.6983323935183</v>
      </c>
      <c r="Q32" s="28">
        <f>IF($P$20&lt;=0," ",P32/$P$20)</f>
        <v>0.55086079030861879</v>
      </c>
      <c r="R32" s="28">
        <f>IF(M32=0,"",(M32-P32)/ABS(P32))</f>
        <v>3.0160697530408012</v>
      </c>
      <c r="S32" s="61"/>
    </row>
    <row r="33" spans="2:43" x14ac:dyDescent="0.2">
      <c r="E33" s="59">
        <f>'VZLA BFS'!E33/'VENEZUELA USD'!$AH$3</f>
        <v>0</v>
      </c>
      <c r="H33" s="55">
        <f>+'VZLA BFS'!H33/'VENEZUELA USD'!$AH$4</f>
        <v>0</v>
      </c>
      <c r="M33" s="59">
        <f>'VZLA BFS'!M33/'VENEZUELA USD'!$AH$3</f>
        <v>0</v>
      </c>
      <c r="P33" s="55">
        <f>+'VZLA BFS'!P33/'VENEZUELA USD'!$AH$4</f>
        <v>0</v>
      </c>
      <c r="S33" s="61"/>
    </row>
    <row r="34" spans="2:43" x14ac:dyDescent="0.2">
      <c r="B34" s="3" t="s">
        <v>39</v>
      </c>
      <c r="C34" s="59">
        <f>'VZLA BFS'!C29/'VENEZUELA USD'!$AH$3</f>
        <v>0</v>
      </c>
      <c r="D34" s="28" t="str">
        <f>IF(DD38&lt;=0," ",C34/$C$20)</f>
        <v xml:space="preserve"> </v>
      </c>
      <c r="E34" s="59">
        <f>'VZLA BFS'!E34/'VENEZUELA USD'!$AH$3</f>
        <v>2620.0456852791876</v>
      </c>
      <c r="F34" s="28">
        <f>+E34/$E$20</f>
        <v>0.4740105666495138</v>
      </c>
      <c r="G34" s="28" t="str">
        <f>IF(C34=0,"",(E34-C34)/ABS(C34)+1)</f>
        <v/>
      </c>
      <c r="H34" s="55">
        <f>+'VZLA BFS'!H34/'VENEZUELA USD'!$AH$4</f>
        <v>1390.247416921794</v>
      </c>
      <c r="I34" s="28">
        <f>IF($H$20&lt;=0," ",H34/$H$20)</f>
        <v>0.86060299530646212</v>
      </c>
      <c r="J34" s="28">
        <f>IF(E34=0,"",(E34-H34)/ABS(H34))</f>
        <v>0.88458950068063602</v>
      </c>
      <c r="K34" s="59">
        <f>'VZLA BFS'!K29/'VENEZUELA USD'!$AH$3</f>
        <v>0</v>
      </c>
      <c r="L34" s="28" t="str">
        <f>IF($K$20&lt;=0," ",K34/$K$20)</f>
        <v xml:space="preserve"> </v>
      </c>
      <c r="M34" s="59">
        <f>'VZLA BFS'!M34/'VENEZUELA USD'!$AH$3</f>
        <v>19739.60744500846</v>
      </c>
      <c r="N34" s="28">
        <f>+M34/$M$20</f>
        <v>0.57196059028963453</v>
      </c>
      <c r="O34" s="28" t="str">
        <f>IF(K34=0,"",(M34-K34)/ABS(K34)+1)</f>
        <v/>
      </c>
      <c r="P34" s="55">
        <f>+'VZLA BFS'!P34/'VENEZUELA USD'!$AH$4</f>
        <v>6082.015772924241</v>
      </c>
      <c r="Q34" s="28">
        <f>IF($P$20&lt;=0," ",P34/$P$20)</f>
        <v>0.84611092414137279</v>
      </c>
      <c r="R34" s="28">
        <f>IF(M34=0,"",(M34-P34)/ABS(P34))</f>
        <v>2.2455699199079238</v>
      </c>
      <c r="S34" s="61"/>
    </row>
    <row r="35" spans="2:43" ht="15" x14ac:dyDescent="0.25">
      <c r="E35" s="59">
        <f>'VZLA BFS'!E35/'VENEZUELA USD'!$AH$3</f>
        <v>0</v>
      </c>
      <c r="H35" s="55">
        <f>+'VZLA BFS'!H35/'VENEZUELA USD'!$AH$4</f>
        <v>0</v>
      </c>
      <c r="M35" s="59">
        <f>'VZLA BFS'!M35/'VENEZUELA USD'!$AH$3</f>
        <v>0</v>
      </c>
      <c r="P35" s="55">
        <f>+'VZLA BFS'!P35/'VENEZUELA USD'!$AH$4</f>
        <v>0</v>
      </c>
      <c r="S35" s="61"/>
      <c r="AL35" s="95" t="s">
        <v>126</v>
      </c>
      <c r="AM35" s="96">
        <v>1788641</v>
      </c>
      <c r="AN35" s="97"/>
      <c r="AO35" s="97"/>
      <c r="AP35" s="97"/>
      <c r="AQ35" s="97"/>
    </row>
    <row r="36" spans="2:43" ht="15" x14ac:dyDescent="0.25">
      <c r="B36" s="3" t="s">
        <v>40</v>
      </c>
      <c r="C36" s="59">
        <f>'VZLA BFS'!C30/'VENEZUELA USD'!$AH$3</f>
        <v>0</v>
      </c>
      <c r="D36" s="28" t="str">
        <f>IF(DD39&lt;=0," ",C36/$C$20)</f>
        <v xml:space="preserve"> </v>
      </c>
      <c r="E36" s="59">
        <f>'VZLA BFS'!E36/'VENEZUELA USD'!$AH$3</f>
        <v>2907.353637901861</v>
      </c>
      <c r="F36" s="28">
        <f>+E36/$E$20</f>
        <v>0.52598943335048631</v>
      </c>
      <c r="G36" s="28" t="str">
        <f>IF(C36=0,"",(E36-C36)/ABS(C36)+1)</f>
        <v/>
      </c>
      <c r="H36" s="55">
        <f>+'VZLA BFS'!H36/'VENEZUELA USD'!$AH$4</f>
        <v>225.18667348213816</v>
      </c>
      <c r="I36" s="28">
        <f>IF($H$20&lt;=0," ",H36/$H$20)</f>
        <v>0.13939700469353797</v>
      </c>
      <c r="J36" s="28">
        <f>IF(E36=0,"",(E36-H36)/ABS(H36))</f>
        <v>11.910860100841948</v>
      </c>
      <c r="K36" s="59">
        <f>'VZLA BFS'!K30/'VENEZUELA USD'!$AH$3</f>
        <v>0</v>
      </c>
      <c r="L36" s="28" t="str">
        <f>IF($K$20&lt;=0," ",K36/$K$20)</f>
        <v xml:space="preserve"> </v>
      </c>
      <c r="M36" s="59">
        <f>'VZLA BFS'!M36/'VENEZUELA USD'!$AH$3</f>
        <v>5531.108291032152</v>
      </c>
      <c r="N36" s="28">
        <f>+M36/$M$20</f>
        <v>0.16026539392477193</v>
      </c>
      <c r="O36" s="28" t="str">
        <f>IF(K36=0,"",(M36-K36)/ABS(K36)+1)</f>
        <v/>
      </c>
      <c r="P36" s="55">
        <f>+'VZLA BFS'!P36/'VENEZUELA USD'!$AH$4</f>
        <v>1106.1856784353736</v>
      </c>
      <c r="Q36" s="28">
        <f>IF($P$20&lt;=0," ",P36/$P$20)</f>
        <v>0.15388907585862716</v>
      </c>
      <c r="R36" s="28">
        <f>IF(M36=0,"",(M36-P36)/ABS(P36))</f>
        <v>4.0001626298900721</v>
      </c>
      <c r="AL36" s="95" t="s">
        <v>127</v>
      </c>
      <c r="AM36" s="96">
        <v>1899023</v>
      </c>
      <c r="AN36" s="97"/>
      <c r="AO36" s="97"/>
      <c r="AP36" s="97"/>
      <c r="AQ36" s="97"/>
    </row>
    <row r="37" spans="2:43" ht="13.5" customHeight="1" x14ac:dyDescent="0.25">
      <c r="E37" s="59">
        <f>'VZLA BFS'!E37/'VENEZUELA USD'!$AH$3</f>
        <v>0</v>
      </c>
      <c r="H37" s="55">
        <f>+'VZLA BFS'!H37/'VENEZUELA USD'!$AH$4</f>
        <v>0</v>
      </c>
      <c r="M37" s="59">
        <f>'VZLA BFS'!M37/'VENEZUELA USD'!$AH$3</f>
        <v>0</v>
      </c>
      <c r="P37" s="55">
        <f>+'VZLA BFS'!P37/'VENEZUELA USD'!$AH$4</f>
        <v>0</v>
      </c>
      <c r="AL37" s="95" t="s">
        <v>128</v>
      </c>
      <c r="AM37" s="96">
        <v>2115582</v>
      </c>
      <c r="AN37" s="97"/>
      <c r="AO37" s="97"/>
      <c r="AP37" s="97"/>
      <c r="AQ37" s="97"/>
    </row>
    <row r="38" spans="2:43" ht="15" x14ac:dyDescent="0.25">
      <c r="B38" s="3" t="s">
        <v>41</v>
      </c>
      <c r="C38" s="59">
        <f>'VZLA BFS'!C31/'VENEZUELA USD'!$AH$3</f>
        <v>0</v>
      </c>
      <c r="D38" s="28" t="str">
        <f>IF(DD40&lt;=0," ",C38/$C$20)</f>
        <v xml:space="preserve"> </v>
      </c>
      <c r="E38" s="59">
        <f>'VZLA BFS'!E38/'VENEZUELA USD'!$AH$3</f>
        <v>0</v>
      </c>
      <c r="F38" s="28">
        <f>+E38/$E$20</f>
        <v>0</v>
      </c>
      <c r="G38" s="28" t="str">
        <f>IF(C38=0,"",(E38-C38)/ABS(C38)+1)</f>
        <v/>
      </c>
      <c r="H38" s="55">
        <f>+'VZLA BFS'!H38/'VENEZUELA USD'!$AH$4</f>
        <v>0</v>
      </c>
      <c r="I38" s="28">
        <f>IF($H$20&lt;=0," ",H38/$H$20)</f>
        <v>0</v>
      </c>
      <c r="J38" s="28" t="str">
        <f>IF(E38=0,"",(E38-H38)/ABS(H38))</f>
        <v/>
      </c>
      <c r="K38" s="59">
        <f>'VZLA BFS'!K31/'VENEZUELA USD'!$AH$3</f>
        <v>0</v>
      </c>
      <c r="L38" s="28" t="str">
        <f>IF($K$20&lt;=0," ",K38/$K$20)</f>
        <v xml:space="preserve"> </v>
      </c>
      <c r="M38" s="59">
        <f>'VZLA BFS'!M38/'VENEZUELA USD'!$AH$3</f>
        <v>0</v>
      </c>
      <c r="N38" s="28">
        <f>+M38/$M$20</f>
        <v>0</v>
      </c>
      <c r="O38" s="28" t="str">
        <f>IF(K38=0,"",(M38-K38)/ABS(K38)+1)</f>
        <v/>
      </c>
      <c r="P38" s="55">
        <f>+'VZLA BFS'!P38/'VENEZUELA USD'!$AH$4</f>
        <v>0</v>
      </c>
      <c r="Q38" s="28">
        <f>IF($P$20&lt;=0," ",P38/$P$20)</f>
        <v>0</v>
      </c>
      <c r="R38" s="28" t="str">
        <f>IF(M38=0,"",(M38-P38)/ABS(P38))</f>
        <v/>
      </c>
      <c r="AL38" s="95" t="s">
        <v>129</v>
      </c>
      <c r="AM38" s="96">
        <v>2900823</v>
      </c>
      <c r="AN38" s="97"/>
      <c r="AO38" s="97"/>
      <c r="AP38" s="97"/>
      <c r="AQ38" s="97"/>
    </row>
    <row r="39" spans="2:43" ht="15" x14ac:dyDescent="0.25">
      <c r="B39" s="3" t="s">
        <v>42</v>
      </c>
      <c r="C39" s="59">
        <f>'VZLA BFS'!C32/'VENEZUELA USD'!$AH$3</f>
        <v>0</v>
      </c>
      <c r="D39" s="28" t="str">
        <f>IF(DD41&lt;=0," ",C39/$C$20)</f>
        <v xml:space="preserve"> </v>
      </c>
      <c r="E39" s="59">
        <f>'VZLA BFS'!E39/'VENEZUELA USD'!$AH$3</f>
        <v>45.683587140439933</v>
      </c>
      <c r="F39" s="28">
        <f>+E39/$E$20</f>
        <v>8.2649333745166767E-3</v>
      </c>
      <c r="G39" s="28" t="str">
        <f>IF(C39=0,"",(E39-C39)/ABS(C39)+1)</f>
        <v/>
      </c>
      <c r="H39" s="55">
        <f>+'VZLA BFS'!H39/'VENEZUELA USD'!$AH$4</f>
        <v>29.510739076400927</v>
      </c>
      <c r="I39" s="28">
        <f>IF($H$20&lt;=0," ",H39/$H$20)</f>
        <v>1.8267993260574253E-2</v>
      </c>
      <c r="J39" s="28">
        <f>IF(E39=0,"",(E39-H39)/ABS(H39))</f>
        <v>0.54803263388859236</v>
      </c>
      <c r="K39" s="59">
        <f>'VZLA BFS'!K32/'VENEZUELA USD'!$AH$3</f>
        <v>0</v>
      </c>
      <c r="L39" s="28" t="str">
        <f>IF($K$20&lt;=0," ",K39/$K$20)</f>
        <v xml:space="preserve"> </v>
      </c>
      <c r="M39" s="59">
        <f>'VZLA BFS'!M39/'VENEZUELA USD'!$AH$3</f>
        <v>513.33502538071059</v>
      </c>
      <c r="N39" s="28">
        <f>+M39/$M$20</f>
        <v>1.4874024468371081E-2</v>
      </c>
      <c r="O39" s="28" t="str">
        <f>IF(K39=0,"",(M39-K39)/ABS(K39)+1)</f>
        <v/>
      </c>
      <c r="P39" s="55">
        <f>+'VZLA BFS'!P39/'VENEZUELA USD'!$AH$4</f>
        <v>106.80159654534596</v>
      </c>
      <c r="Q39" s="28">
        <f>IF($P$20&lt;=0," ",P39/$P$20)</f>
        <v>1.4857902532092354E-2</v>
      </c>
      <c r="R39" s="28">
        <f>IF(M39=0,"",(M39-P39)/ABS(P39))</f>
        <v>3.8064358772273423</v>
      </c>
      <c r="AL39" s="95" t="s">
        <v>130</v>
      </c>
      <c r="AM39" s="96">
        <v>3143738</v>
      </c>
      <c r="AN39" s="97"/>
      <c r="AO39" s="97"/>
      <c r="AP39" s="97"/>
      <c r="AQ39" s="97"/>
    </row>
    <row r="40" spans="2:43" ht="15" x14ac:dyDescent="0.25">
      <c r="E40" s="59">
        <f>'VZLA BFS'!E40/'VENEZUELA USD'!$AH$3</f>
        <v>0</v>
      </c>
      <c r="H40" s="55">
        <f>+'VZLA BFS'!H40/'VENEZUELA USD'!$AH$4</f>
        <v>0</v>
      </c>
      <c r="M40" s="59">
        <f>'VZLA BFS'!M40/'VENEZUELA USD'!$AH$3</f>
        <v>0</v>
      </c>
      <c r="P40" s="55">
        <f>+'VZLA BFS'!P40/'VENEZUELA USD'!$AH$4</f>
        <v>0</v>
      </c>
      <c r="AL40" s="95" t="s">
        <v>131</v>
      </c>
      <c r="AM40" s="96">
        <v>3267940</v>
      </c>
      <c r="AN40" s="97"/>
      <c r="AO40" s="97"/>
      <c r="AP40" s="97"/>
      <c r="AQ40" s="97"/>
    </row>
    <row r="41" spans="2:43" ht="15" x14ac:dyDescent="0.25">
      <c r="B41" s="3" t="s">
        <v>43</v>
      </c>
      <c r="C41" s="59">
        <f>'VZLA BFS'!C33/'VENEZUELA USD'!$AH$3</f>
        <v>0</v>
      </c>
      <c r="D41" s="28" t="str">
        <f>IF(DD42&lt;=0," ",C41/$C$20)</f>
        <v xml:space="preserve"> </v>
      </c>
      <c r="E41" s="59">
        <f>'VZLA BFS'!E41/'VENEZUELA USD'!$AH$3</f>
        <v>2861.670050761421</v>
      </c>
      <c r="F41" s="28">
        <f>+E41/$E$20</f>
        <v>0.51772449997596959</v>
      </c>
      <c r="G41" s="28" t="str">
        <f>IF(C41=0,"",(E41-C41)/ABS(C41)+1)</f>
        <v/>
      </c>
      <c r="H41" s="55">
        <f>+'VZLA BFS'!H41/'VENEZUELA USD'!$AH$4</f>
        <v>195.67593440573722</v>
      </c>
      <c r="I41" s="28">
        <f>IF($H$20&lt;=0," ",H41/$H$20)</f>
        <v>0.12112901143296372</v>
      </c>
      <c r="J41" s="28">
        <f>IF(E41=0,"",(E41-H41)/ABS(H41))</f>
        <v>13.624537552112574</v>
      </c>
      <c r="K41" s="59">
        <f>'VZLA BFS'!K33/'VENEZUELA USD'!$AH$3</f>
        <v>0</v>
      </c>
      <c r="L41" s="28" t="str">
        <f>IF($K$20&lt;=0," ",K41/$K$20)</f>
        <v xml:space="preserve"> </v>
      </c>
      <c r="M41" s="59">
        <f>'VZLA BFS'!M41/'VENEZUELA USD'!$AH$3</f>
        <v>5017.7732656514418</v>
      </c>
      <c r="N41" s="28">
        <f>+M41/$M$20</f>
        <v>0.14539136945640085</v>
      </c>
      <c r="O41" s="28" t="str">
        <f>IF(K41=0,"",(M41-K41)/ABS(K41)+1)</f>
        <v/>
      </c>
      <c r="P41" s="55">
        <f>+'VZLA BFS'!P41/'VENEZUELA USD'!$AH$4</f>
        <v>999.38408189002769</v>
      </c>
      <c r="Q41" s="28">
        <f>IF($P$20&lt;=0," ",P41/$P$20)</f>
        <v>0.13903117332653481</v>
      </c>
      <c r="R41" s="28">
        <f>IF(M41=0,"",(M41-P41)/ABS(P41))</f>
        <v>4.0208657077685954</v>
      </c>
      <c r="AL41" s="95" t="s">
        <v>132</v>
      </c>
      <c r="AM41" s="96">
        <v>4139112</v>
      </c>
      <c r="AN41" s="97"/>
      <c r="AO41" s="97"/>
      <c r="AP41" s="97"/>
      <c r="AQ41" s="97"/>
    </row>
    <row r="42" spans="2:43" ht="15" x14ac:dyDescent="0.25">
      <c r="B42" s="3" t="s">
        <v>29</v>
      </c>
      <c r="C42" s="59">
        <f>'VZLA BFS'!C34/'VENEZUELA USD'!$AH$3</f>
        <v>0</v>
      </c>
      <c r="D42" s="28" t="str">
        <f>IF(DD43&lt;=0," ",C42/$C$20)</f>
        <v xml:space="preserve"> </v>
      </c>
      <c r="E42" s="59">
        <f>'VZLA BFS'!E42/'VENEZUELA USD'!$AH$3</f>
        <v>0</v>
      </c>
      <c r="F42" s="28">
        <f>+E42/$E$20</f>
        <v>0</v>
      </c>
      <c r="G42" s="28" t="str">
        <f>IF(C42=0,"",(E42-C42)/ABS(C42)+1)</f>
        <v/>
      </c>
      <c r="H42" s="55">
        <f>+'VZLA BFS'!H42/'VENEZUELA USD'!$AH$4</f>
        <v>0</v>
      </c>
      <c r="I42" s="28">
        <f>IF($H$20&lt;=0," ",H42/$H$20)</f>
        <v>0</v>
      </c>
      <c r="J42" s="28" t="str">
        <f>IF(E42=0,"",(E42-H42)/ABS(H42))</f>
        <v/>
      </c>
      <c r="K42" s="59">
        <f>'VZLA BFS'!K34/'VENEZUELA USD'!$AH$3</f>
        <v>0</v>
      </c>
      <c r="L42" s="28" t="str">
        <f>IF($K$20&lt;=0," ",K42/$K$20)</f>
        <v xml:space="preserve"> </v>
      </c>
      <c r="M42" s="59">
        <f>'VZLA BFS'!M42/'VENEZUELA USD'!$AH$3</f>
        <v>0</v>
      </c>
      <c r="N42" s="28">
        <f>+M42/$M$20</f>
        <v>0</v>
      </c>
      <c r="O42" s="28" t="str">
        <f>IF(K42=0,"",(M42-K42)/ABS(K42)+1)</f>
        <v/>
      </c>
      <c r="P42" s="55">
        <f>+'VZLA BFS'!P42/'VENEZUELA USD'!$AH$4</f>
        <v>4.7830734684154477</v>
      </c>
      <c r="Q42" s="28">
        <f>IF($P$20&lt;=0," ",P42/$P$20)</f>
        <v>6.6540615212039604E-4</v>
      </c>
      <c r="R42" s="28" t="str">
        <f>IF(M42=0,"",(M42-P42)/ABS(P42))</f>
        <v/>
      </c>
      <c r="AL42" s="95" t="s">
        <v>133</v>
      </c>
      <c r="AM42" s="96">
        <v>4148043</v>
      </c>
      <c r="AN42" s="97"/>
      <c r="AO42" s="97"/>
      <c r="AP42" s="97"/>
      <c r="AQ42" s="97"/>
    </row>
    <row r="43" spans="2:43" ht="15" x14ac:dyDescent="0.25">
      <c r="B43" s="3" t="s">
        <v>44</v>
      </c>
      <c r="C43" s="59">
        <f>'VZLA BFS'!C35/'VENEZUELA USD'!$AH$3</f>
        <v>0</v>
      </c>
      <c r="D43" s="28" t="str">
        <f>IF(DD44&lt;=0," ",C43/$C$20)</f>
        <v xml:space="preserve"> </v>
      </c>
      <c r="E43" s="59">
        <f>'VZLA BFS'!E43/'VENEZUELA USD'!$AH$3</f>
        <v>2861.670050761421</v>
      </c>
      <c r="F43" s="28">
        <f>+E43/$E$20</f>
        <v>0.51772449997596959</v>
      </c>
      <c r="G43" s="28" t="str">
        <f>IF(C43=0,"",(E43-C43)/ABS(C43)+1)</f>
        <v/>
      </c>
      <c r="H43" s="55">
        <f>+'VZLA BFS'!H43/'VENEZUELA USD'!$AH$4</f>
        <v>195.67593440573722</v>
      </c>
      <c r="I43" s="28">
        <f>IF($H$20&lt;=0," ",H43/$H$20)</f>
        <v>0.12112901143296372</v>
      </c>
      <c r="J43" s="28">
        <f>IF(E43=0,"",(E43-H43)/ABS(H43))</f>
        <v>13.624537552112574</v>
      </c>
      <c r="K43" s="59">
        <f>'VZLA BFS'!K35/'VENEZUELA USD'!$AH$3</f>
        <v>0</v>
      </c>
      <c r="L43" s="28" t="str">
        <f>IF($K$20&lt;=0," ",K43/$K$20)</f>
        <v xml:space="preserve"> </v>
      </c>
      <c r="M43" s="59">
        <f>'VZLA BFS'!M43/'VENEZUELA USD'!$AH$3</f>
        <v>5017.7732656514418</v>
      </c>
      <c r="N43" s="28">
        <f>+M43/$M$20</f>
        <v>0.14539136945640085</v>
      </c>
      <c r="O43" s="28" t="str">
        <f>IF(K43=0,"",(M43-K43)/ABS(K43)+1)</f>
        <v/>
      </c>
      <c r="P43" s="55">
        <f>+'VZLA BFS'!P43/'VENEZUELA USD'!$AH$4</f>
        <v>994.60100842161228</v>
      </c>
      <c r="Q43" s="28">
        <f>IF($P$20&lt;=0," ",P43/$P$20)</f>
        <v>0.13836576717441443</v>
      </c>
      <c r="R43" s="28">
        <f>IF(M43=0,"",(M43-P43)/ABS(P43))</f>
        <v>4.0450112388428252</v>
      </c>
      <c r="AL43" s="95" t="s">
        <v>134</v>
      </c>
      <c r="AM43" s="96">
        <v>4549688</v>
      </c>
      <c r="AN43" s="97"/>
      <c r="AO43" s="97"/>
      <c r="AP43" s="97"/>
      <c r="AQ43" s="97"/>
    </row>
    <row r="44" spans="2:43" ht="15" x14ac:dyDescent="0.25">
      <c r="E44" s="59">
        <f>'VZLA BFS'!E44/'VENEZUELA USD'!$AH$3</f>
        <v>0</v>
      </c>
      <c r="H44" s="55">
        <f>+'VZLA BFS'!H44/'VENEZUELA USD'!$AH$4</f>
        <v>0</v>
      </c>
      <c r="M44" s="59">
        <f>'VZLA BFS'!M44/'VENEZUELA USD'!$AH$3</f>
        <v>0</v>
      </c>
      <c r="P44" s="55">
        <f>+'VZLA BFS'!P44/'VENEZUELA USD'!$AH$4</f>
        <v>0</v>
      </c>
      <c r="AL44" s="95" t="s">
        <v>135</v>
      </c>
      <c r="AM44" s="96">
        <v>4.5599999999999996</v>
      </c>
      <c r="AN44" s="97"/>
      <c r="AO44" s="97"/>
      <c r="AP44" s="97"/>
      <c r="AQ44" s="97"/>
    </row>
    <row r="45" spans="2:43" ht="23.25" x14ac:dyDescent="0.25">
      <c r="B45" s="3" t="s">
        <v>45</v>
      </c>
      <c r="C45" s="59">
        <f>'VZLA BFS'!C36/'VENEZUELA USD'!$AH$3</f>
        <v>0</v>
      </c>
      <c r="D45" s="28" t="str">
        <f>IF(DD45&lt;=0," ",C45/$C$20)</f>
        <v xml:space="preserve"> </v>
      </c>
      <c r="E45" s="59">
        <f>'VZLA BFS'!E45/'VENEZUELA USD'!$AH$3</f>
        <v>2861.670050761421</v>
      </c>
      <c r="F45" s="28">
        <f>+E45/$E$20</f>
        <v>0.51772449997596959</v>
      </c>
      <c r="G45" s="28" t="str">
        <f>IF(C45=0,"",(E45-C45)/ABS(C45)+1)</f>
        <v/>
      </c>
      <c r="H45" s="55">
        <f>+'VZLA BFS'!H45/'VENEZUELA USD'!$AH$4</f>
        <v>195.67593440573722</v>
      </c>
      <c r="I45" s="28">
        <f>IF($H$20&lt;=0," ",H45/$H$20)</f>
        <v>0.12112901143296372</v>
      </c>
      <c r="J45" s="28">
        <f>IF(E45=0,"",(E45-H45)/ABS(H45))</f>
        <v>13.624537552112574</v>
      </c>
      <c r="K45" s="59">
        <f>'VZLA BFS'!K36/'VENEZUELA USD'!$AH$3</f>
        <v>0</v>
      </c>
      <c r="L45" s="28" t="str">
        <f>IF($K$20&lt;=0," ",K45/$K$20)</f>
        <v xml:space="preserve"> </v>
      </c>
      <c r="M45" s="59">
        <f>'VZLA BFS'!M45/'VENEZUELA USD'!$AH$3</f>
        <v>5017.7732656514418</v>
      </c>
      <c r="N45" s="28">
        <f>+M45/$M$20</f>
        <v>0.14539136945640085</v>
      </c>
      <c r="O45" s="28" t="str">
        <f>IF(K45=0,"",(M45-K45)/ABS(K45)+1)</f>
        <v/>
      </c>
      <c r="P45" s="55">
        <f>+'VZLA BFS'!P45/'VENEZUELA USD'!$AH$4</f>
        <v>994.60100842161228</v>
      </c>
      <c r="Q45" s="28">
        <f>IF($P$20&lt;=0," ",P45/$P$20)</f>
        <v>0.13836576717441443</v>
      </c>
      <c r="R45" s="28">
        <f>IF(M45=0,"",(M45-P45)/ABS(P45))</f>
        <v>4.0450112388428252</v>
      </c>
      <c r="AL45" s="95" t="s">
        <v>136</v>
      </c>
      <c r="AM45" s="96">
        <v>4.99</v>
      </c>
      <c r="AN45" s="97"/>
      <c r="AO45" s="97"/>
      <c r="AP45" s="98" t="s">
        <v>137</v>
      </c>
      <c r="AQ45" s="97" t="s">
        <v>138</v>
      </c>
    </row>
    <row r="46" spans="2:43" ht="15" x14ac:dyDescent="0.25">
      <c r="B46" s="3" t="s">
        <v>20</v>
      </c>
      <c r="C46" s="59">
        <f>'VZLA BFS'!C37/'VENEZUELA USD'!$AH$3</f>
        <v>0</v>
      </c>
      <c r="D46" s="28" t="str">
        <f>IF(DD46&lt;=0," ",C46/$C$20)</f>
        <v xml:space="preserve"> </v>
      </c>
      <c r="E46" s="59">
        <f>'VZLA BFS'!E46/'VENEZUELA USD'!$AH$3</f>
        <v>1012.3756345177666</v>
      </c>
      <c r="F46" s="28">
        <f>+E46/$E$20</f>
        <v>0.18315587047818702</v>
      </c>
      <c r="G46" s="28" t="str">
        <f>IF(C46=0,"",(E46-C46)/ABS(C46)+1)</f>
        <v/>
      </c>
      <c r="H46" s="55">
        <f>+'VZLA BFS'!H46/'VENEZUELA USD'!$AH$4</f>
        <v>402.03755849322266</v>
      </c>
      <c r="I46" s="28">
        <f>IF($H$20&lt;=0," ",H46/$H$20)</f>
        <v>0.2488727710288044</v>
      </c>
      <c r="J46" s="28">
        <f>IF(E46=0,"",(E46-H46)/ABS(H46))</f>
        <v>1.5181120846320943</v>
      </c>
      <c r="K46" s="59">
        <f>'VZLA BFS'!K37/'VENEZUELA USD'!$AH$3</f>
        <v>0</v>
      </c>
      <c r="L46" s="28" t="str">
        <f>IF($K$20&lt;=0," ",K46/$K$20)</f>
        <v xml:space="preserve"> </v>
      </c>
      <c r="M46" s="59">
        <f>'VZLA BFS'!M46/'VENEZUELA USD'!$AH$3</f>
        <v>8816.9576988155677</v>
      </c>
      <c r="N46" s="28">
        <f>+M46/$M$20</f>
        <v>0.2554737901461408</v>
      </c>
      <c r="O46" s="28" t="str">
        <f>IF(K46=0,"",(M46-K46)/ABS(K46)+1)</f>
        <v/>
      </c>
      <c r="P46" s="55">
        <f>+'VZLA BFS'!P46/'VENEZUELA USD'!$AH$4</f>
        <v>1751.2595513554597</v>
      </c>
      <c r="Q46" s="28">
        <f>IF($P$20&lt;=0," ",P46/$P$20)</f>
        <v>0.24362972618473527</v>
      </c>
      <c r="R46" s="28">
        <f>IF(M46=0,"",(M46-P46)/ABS(P46))</f>
        <v>4.0346378936185205</v>
      </c>
      <c r="AL46" s="95" t="s">
        <v>139</v>
      </c>
      <c r="AM46" s="96">
        <v>4.6900000000000004</v>
      </c>
      <c r="AN46" s="99">
        <f>1/AM46</f>
        <v>0.21321961620469082</v>
      </c>
      <c r="AO46" s="97" t="s">
        <v>140</v>
      </c>
      <c r="AP46" s="97">
        <v>11272</v>
      </c>
      <c r="AQ46" s="100">
        <f>+AP46*AN46</f>
        <v>2403.4115138592751</v>
      </c>
    </row>
    <row r="47" spans="2:43" ht="15" x14ac:dyDescent="0.25">
      <c r="E47" s="45"/>
      <c r="M47" s="45"/>
      <c r="P47" s="55" t="e">
        <f>+'VZLA BFS'!P47/'VENEZUELA USD'!$AH$4</f>
        <v>#VALUE!</v>
      </c>
      <c r="AL47" s="97" t="s">
        <v>141</v>
      </c>
      <c r="AM47" s="101">
        <f>AVERAGE(AM35:AM46)</f>
        <v>2329383.6866666665</v>
      </c>
      <c r="AN47" s="99">
        <f>1/AM47</f>
        <v>4.2929810392507461E-7</v>
      </c>
      <c r="AO47" s="97" t="s">
        <v>142</v>
      </c>
      <c r="AP47" s="102">
        <v>11272</v>
      </c>
      <c r="AQ47" s="103">
        <f>+AP47*AN47</f>
        <v>4.8390482274434411E-3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12B9C-6E28-486A-874A-F0C5489AAEF7}">
  <sheetPr>
    <tabColor theme="2" tint="-0.249977111117893"/>
  </sheetPr>
  <dimension ref="A1:AH48"/>
  <sheetViews>
    <sheetView showGridLines="0" zoomScale="93" zoomScaleNormal="93" workbookViewId="0">
      <selection activeCell="T3" sqref="T3"/>
    </sheetView>
  </sheetViews>
  <sheetFormatPr baseColWidth="10" defaultRowHeight="14.25" customHeight="1" x14ac:dyDescent="0.2"/>
  <cols>
    <col min="1" max="1" width="5.85546875" style="2" customWidth="1"/>
    <col min="2" max="2" width="25.7109375" style="2" customWidth="1"/>
    <col min="3" max="3" width="11.140625" style="2" customWidth="1"/>
    <col min="4" max="4" width="7.5703125" style="2" customWidth="1"/>
    <col min="5" max="5" width="10.85546875" style="2" customWidth="1"/>
    <col min="6" max="7" width="5.85546875" style="2" customWidth="1"/>
    <col min="8" max="8" width="10" style="2" customWidth="1"/>
    <col min="9" max="9" width="7.85546875" style="2" customWidth="1"/>
    <col min="10" max="10" width="6.5703125" style="2" customWidth="1"/>
    <col min="11" max="11" width="10.42578125" style="2" customWidth="1"/>
    <col min="12" max="12" width="7.28515625" style="2" customWidth="1"/>
    <col min="13" max="13" width="9.28515625" style="2" customWidth="1"/>
    <col min="14" max="14" width="5.7109375" style="2" bestFit="1" customWidth="1"/>
    <col min="15" max="15" width="7.85546875" style="2" customWidth="1"/>
    <col min="16" max="16" width="9.42578125" style="2" customWidth="1"/>
    <col min="17" max="17" width="8.28515625" style="2" customWidth="1"/>
    <col min="18" max="18" width="6.85546875" style="2" customWidth="1"/>
    <col min="19" max="19" width="8.7109375" style="2" customWidth="1"/>
    <col min="20" max="20" width="28" style="2" customWidth="1"/>
    <col min="21" max="26" width="9.7109375" style="2" customWidth="1"/>
    <col min="27" max="27" width="6.5703125" style="2" customWidth="1"/>
    <col min="28" max="28" width="9.28515625" style="2" bestFit="1" customWidth="1"/>
    <col min="29" max="29" width="6.42578125" style="2" customWidth="1"/>
    <col min="30" max="16384" width="11.42578125" style="2"/>
  </cols>
  <sheetData>
    <row r="1" spans="1:34" s="46" customFormat="1" ht="14.25" customHeight="1" x14ac:dyDescent="0.2"/>
    <row r="3" spans="1:34" ht="14.25" customHeight="1" x14ac:dyDescent="0.25">
      <c r="B3" s="13" t="s">
        <v>143</v>
      </c>
      <c r="T3" s="15" t="s">
        <v>143</v>
      </c>
    </row>
    <row r="4" spans="1:34" ht="14.25" customHeight="1" x14ac:dyDescent="0.2">
      <c r="A4" s="71">
        <f>+Paramet!A3</f>
        <v>202101</v>
      </c>
      <c r="B4" s="2" t="s">
        <v>5</v>
      </c>
      <c r="K4" s="104"/>
      <c r="L4" s="104"/>
      <c r="M4" s="104"/>
      <c r="N4" s="104"/>
      <c r="O4" s="104"/>
      <c r="P4" s="104"/>
      <c r="Q4" s="104"/>
      <c r="R4" s="104"/>
      <c r="S4" s="104"/>
      <c r="T4" s="3" t="s">
        <v>6</v>
      </c>
    </row>
    <row r="5" spans="1:34" ht="14.25" customHeight="1" x14ac:dyDescent="0.2">
      <c r="A5" s="71">
        <f>+Paramet!A4</f>
        <v>202107</v>
      </c>
      <c r="B5" s="3" t="s">
        <v>144</v>
      </c>
      <c r="K5" s="10"/>
      <c r="L5" s="10"/>
      <c r="M5" s="20"/>
      <c r="N5" s="20"/>
      <c r="O5" s="7"/>
      <c r="P5" s="10"/>
      <c r="Q5" s="10"/>
      <c r="R5" s="7"/>
      <c r="S5" s="7"/>
      <c r="T5" s="3" t="s">
        <v>144</v>
      </c>
    </row>
    <row r="6" spans="1:34" ht="14.25" customHeight="1" thickBot="1" x14ac:dyDescent="0.25">
      <c r="A6" s="71">
        <f>+Paramet!B3</f>
        <v>202201</v>
      </c>
      <c r="B6" s="17" t="str">
        <f>+'COLOMB$ '!B6</f>
        <v>JULIO de 2022</v>
      </c>
      <c r="K6" s="18" t="s">
        <v>8</v>
      </c>
      <c r="L6" s="18"/>
      <c r="M6" s="18"/>
      <c r="N6" s="18"/>
      <c r="O6" s="18"/>
      <c r="P6" s="18"/>
      <c r="Q6" s="18"/>
      <c r="R6" s="18"/>
      <c r="S6" s="12"/>
      <c r="T6" s="17" t="str">
        <f>+B6</f>
        <v>JULIO de 2022</v>
      </c>
      <c r="X6" s="18" t="s">
        <v>8</v>
      </c>
      <c r="Y6" s="18"/>
      <c r="Z6" s="18"/>
      <c r="AA6" s="18"/>
      <c r="AB6" s="18"/>
      <c r="AC6" s="18"/>
    </row>
    <row r="7" spans="1:34" ht="14.25" customHeight="1" x14ac:dyDescent="0.2">
      <c r="A7" s="71">
        <f>+Paramet!B4</f>
        <v>202207</v>
      </c>
      <c r="B7" s="53"/>
      <c r="C7" s="53" t="str">
        <f>+'COLOMB$ '!D7:D7</f>
        <v>Ppto 2022</v>
      </c>
      <c r="D7" s="53"/>
      <c r="E7" s="53" t="str">
        <f>+'COLOMB$ '!F7:F7</f>
        <v>Real 2022</v>
      </c>
      <c r="F7" s="53"/>
      <c r="G7" s="53" t="s">
        <v>9</v>
      </c>
      <c r="H7" s="53" t="str">
        <f>+'COLOMB$ '!I7:I7</f>
        <v>Real 2021</v>
      </c>
      <c r="I7" s="53"/>
      <c r="J7" s="53" t="s">
        <v>10</v>
      </c>
      <c r="K7" s="53" t="str">
        <f>+C7</f>
        <v>Ppto 2022</v>
      </c>
      <c r="L7" s="53"/>
      <c r="M7" s="53" t="str">
        <f>+E7</f>
        <v>Real 2022</v>
      </c>
      <c r="N7" s="53"/>
      <c r="O7" s="53" t="s">
        <v>9</v>
      </c>
      <c r="P7" s="53" t="str">
        <f>+H7</f>
        <v>Real 2021</v>
      </c>
      <c r="Q7" s="53"/>
      <c r="R7" s="53" t="s">
        <v>10</v>
      </c>
      <c r="T7" s="46"/>
      <c r="U7" s="46" t="str">
        <f>+C7</f>
        <v>Ppto 2022</v>
      </c>
      <c r="V7" s="46" t="str">
        <f>+M7</f>
        <v>Real 2022</v>
      </c>
      <c r="W7" s="46" t="str">
        <f>+H7</f>
        <v>Real 2021</v>
      </c>
      <c r="X7" s="105" t="str">
        <f>+K7</f>
        <v>Ppto 2022</v>
      </c>
      <c r="Y7" s="46" t="str">
        <f>+V7</f>
        <v>Real 2022</v>
      </c>
      <c r="Z7" s="46" t="s">
        <v>11</v>
      </c>
      <c r="AA7" s="46" t="s">
        <v>9</v>
      </c>
      <c r="AB7" s="46" t="str">
        <f>+W7</f>
        <v>Real 2021</v>
      </c>
      <c r="AC7" s="46" t="s">
        <v>10</v>
      </c>
    </row>
    <row r="8" spans="1:34" ht="14.25" customHeight="1" thickBot="1" x14ac:dyDescent="0.25">
      <c r="B8" s="22" t="s">
        <v>12</v>
      </c>
      <c r="C8" s="106" t="s">
        <v>13</v>
      </c>
      <c r="D8" s="106" t="s">
        <v>14</v>
      </c>
      <c r="E8" s="106" t="s">
        <v>13</v>
      </c>
      <c r="F8" s="106" t="s">
        <v>14</v>
      </c>
      <c r="G8" s="106" t="s">
        <v>15</v>
      </c>
      <c r="H8" s="106" t="s">
        <v>13</v>
      </c>
      <c r="I8" s="106" t="s">
        <v>14</v>
      </c>
      <c r="J8" s="106" t="s">
        <v>15</v>
      </c>
      <c r="K8" s="106" t="s">
        <v>13</v>
      </c>
      <c r="L8" s="106" t="s">
        <v>14</v>
      </c>
      <c r="M8" s="106" t="s">
        <v>13</v>
      </c>
      <c r="N8" s="106" t="s">
        <v>14</v>
      </c>
      <c r="O8" s="106" t="s">
        <v>15</v>
      </c>
      <c r="P8" s="106" t="s">
        <v>13</v>
      </c>
      <c r="Q8" s="106" t="s">
        <v>14</v>
      </c>
      <c r="R8" s="106" t="s">
        <v>15</v>
      </c>
      <c r="T8" s="24"/>
      <c r="U8" s="25"/>
      <c r="V8" s="25"/>
      <c r="W8" s="25"/>
      <c r="X8" s="25"/>
      <c r="Y8" s="25"/>
      <c r="Z8" s="25"/>
      <c r="AA8" s="25" t="s">
        <v>15</v>
      </c>
      <c r="AB8" s="25"/>
      <c r="AC8" s="25" t="s">
        <v>15</v>
      </c>
    </row>
    <row r="9" spans="1:34" ht="14.25" customHeight="1" x14ac:dyDescent="0.2">
      <c r="T9" s="3"/>
    </row>
    <row r="10" spans="1:34" ht="14.25" customHeight="1" x14ac:dyDescent="0.2">
      <c r="B10" s="3" t="s">
        <v>54</v>
      </c>
      <c r="C10" s="59">
        <f>+E10</f>
        <v>0</v>
      </c>
      <c r="D10" s="28" t="str">
        <f>IF($C$20&lt;=0," ",C10/$C$20)</f>
        <v xml:space="preserve"> </v>
      </c>
      <c r="E10" s="59">
        <v>0</v>
      </c>
      <c r="F10" s="28" t="str">
        <f>IF($E$20&lt;=0," ",E10/$E$20)</f>
        <v xml:space="preserve"> </v>
      </c>
      <c r="G10" s="28" t="str">
        <f>IF(C10=0,"",(E10-C10)/ABS(C10)+1)</f>
        <v/>
      </c>
      <c r="H10" s="59">
        <v>2100</v>
      </c>
      <c r="I10" s="28" t="str">
        <f>IF(E10=0,"",(G10-E10)/ABS(E10)+1)</f>
        <v/>
      </c>
      <c r="J10" s="28" t="str">
        <f>IF($H$20&lt;=0," ",I10/$H$20)</f>
        <v xml:space="preserve"> </v>
      </c>
      <c r="K10" s="59">
        <f t="shared" ref="K10:K15" si="0">+M10</f>
        <v>0</v>
      </c>
      <c r="L10" s="28" t="str">
        <f>IF($K$20&lt;=0," ",K10/$K$20)</f>
        <v xml:space="preserve"> </v>
      </c>
      <c r="M10" s="59">
        <v>0</v>
      </c>
      <c r="N10" s="28" t="str">
        <f>IF($M$20&lt;=0," ",M10/$M$20)</f>
        <v xml:space="preserve"> </v>
      </c>
      <c r="O10" s="28" t="str">
        <f t="shared" ref="O10:O15" si="1">IF(K10=0,"",(M10-K10)/ABS(K10)+1)</f>
        <v/>
      </c>
      <c r="P10" s="59">
        <v>14700</v>
      </c>
      <c r="Q10" s="28">
        <f t="shared" ref="Q10:Q15" si="2">+P10/$P$20</f>
        <v>1</v>
      </c>
      <c r="R10" s="28">
        <f>IF(P10=0,"",(M10-P10)/ABS(P10))</f>
        <v>-1</v>
      </c>
      <c r="T10" s="3" t="s">
        <v>16</v>
      </c>
      <c r="U10" s="59">
        <f>+V10</f>
        <v>0</v>
      </c>
      <c r="V10" s="59">
        <v>0</v>
      </c>
      <c r="W10" s="59">
        <v>8811.7900000000009</v>
      </c>
      <c r="X10" s="59">
        <f>+Y10</f>
        <v>6929</v>
      </c>
      <c r="Y10" s="59">
        <v>6929</v>
      </c>
      <c r="Z10" s="55">
        <f>+Y10-X10</f>
        <v>0</v>
      </c>
      <c r="AA10" s="61">
        <f>IF(X10=0,"",(Y10-X10)/ABS(X10)+1)</f>
        <v>1</v>
      </c>
      <c r="AB10" s="59">
        <v>9874.7900000000009</v>
      </c>
      <c r="AC10" s="61">
        <f>IF(W10=0,"",(Y10-AB10)/ABS(AB10))</f>
        <v>-0.29831419199800713</v>
      </c>
      <c r="AE10" s="59"/>
      <c r="AF10" s="59"/>
    </row>
    <row r="11" spans="1:34" ht="14.25" customHeight="1" x14ac:dyDescent="0.2">
      <c r="B11" s="3" t="s">
        <v>56</v>
      </c>
      <c r="C11" s="59">
        <v>0</v>
      </c>
      <c r="D11" s="28" t="str">
        <f t="shared" ref="D11:D20" si="3">IF($C$20&lt;=0," ",C11/$C$20)</f>
        <v xml:space="preserve"> </v>
      </c>
      <c r="E11" s="59">
        <v>0</v>
      </c>
      <c r="F11" s="28" t="str">
        <f t="shared" ref="F11:F20" si="4">IF($E$20&lt;=0," ",E11/$E$20)</f>
        <v xml:space="preserve"> </v>
      </c>
      <c r="G11" s="28" t="str">
        <f t="shared" ref="G11:G46" si="5">IF(C11=0,"",(E11-C11)/ABS(C11)+1)</f>
        <v/>
      </c>
      <c r="H11" s="59">
        <v>0</v>
      </c>
      <c r="I11" s="28" t="str">
        <f t="shared" ref="I11:I46" si="6">IF(E11=0,"",(G11-E11)/ABS(E11)+1)</f>
        <v/>
      </c>
      <c r="J11" s="28" t="str">
        <f>IF(H11=0,"",(E11-H11)/ABS(H11))</f>
        <v/>
      </c>
      <c r="K11" s="59">
        <f t="shared" si="0"/>
        <v>0</v>
      </c>
      <c r="L11" s="28" t="str">
        <f t="shared" ref="L11:L20" si="7">IF($K$20&lt;=0," ",K11/$K$20)</f>
        <v xml:space="preserve"> </v>
      </c>
      <c r="M11" s="59">
        <v>0</v>
      </c>
      <c r="N11" s="28" t="str">
        <f t="shared" ref="N11:N24" si="8">IF($M$20&lt;=0," ",M11/$M$20)</f>
        <v xml:space="preserve"> </v>
      </c>
      <c r="O11" s="28" t="str">
        <f t="shared" si="1"/>
        <v/>
      </c>
      <c r="P11" s="59">
        <v>0</v>
      </c>
      <c r="Q11" s="28">
        <f t="shared" si="2"/>
        <v>0</v>
      </c>
      <c r="R11" s="28" t="str">
        <f t="shared" ref="R11:R46" si="9">IF(P11=0,"",(M11-P11)/ABS(P11))</f>
        <v/>
      </c>
      <c r="T11" s="3" t="s">
        <v>17</v>
      </c>
      <c r="U11" s="59">
        <f>+V11</f>
        <v>0</v>
      </c>
      <c r="V11" s="59">
        <v>0</v>
      </c>
      <c r="W11" s="59">
        <v>0</v>
      </c>
      <c r="X11" s="59">
        <f>+Y11</f>
        <v>0</v>
      </c>
      <c r="Y11" s="59">
        <v>0</v>
      </c>
      <c r="Z11" s="55">
        <f>+Y11-X11</f>
        <v>0</v>
      </c>
      <c r="AA11" s="61" t="str">
        <f>IF(X11=0,"",(Y11-X11)/ABS(X11)+1)</f>
        <v/>
      </c>
      <c r="AB11" s="59">
        <v>47375</v>
      </c>
      <c r="AC11" s="61">
        <f>IF(AB11=0,"",(Y11-AB11)/ABS(AB11))</f>
        <v>-1</v>
      </c>
      <c r="AD11" s="60"/>
      <c r="AE11" s="60"/>
      <c r="AF11" s="60"/>
      <c r="AH11" s="47"/>
    </row>
    <row r="12" spans="1:34" ht="14.25" customHeight="1" x14ac:dyDescent="0.2">
      <c r="B12" s="3" t="s">
        <v>58</v>
      </c>
      <c r="C12" s="59">
        <v>0</v>
      </c>
      <c r="D12" s="28" t="str">
        <f t="shared" si="3"/>
        <v xml:space="preserve"> </v>
      </c>
      <c r="E12" s="59">
        <v>0</v>
      </c>
      <c r="F12" s="28" t="str">
        <f t="shared" si="4"/>
        <v xml:space="preserve"> </v>
      </c>
      <c r="G12" s="28" t="str">
        <f t="shared" si="5"/>
        <v/>
      </c>
      <c r="H12" s="59">
        <v>0</v>
      </c>
      <c r="I12" s="28" t="str">
        <f t="shared" si="6"/>
        <v/>
      </c>
      <c r="J12" s="28" t="str">
        <f>IF(H12=0,"",(E12-H12)/ABS(H12))</f>
        <v/>
      </c>
      <c r="K12" s="59">
        <f t="shared" si="0"/>
        <v>0</v>
      </c>
      <c r="L12" s="28" t="str">
        <f t="shared" si="7"/>
        <v xml:space="preserve"> </v>
      </c>
      <c r="M12" s="59">
        <v>0</v>
      </c>
      <c r="N12" s="28" t="str">
        <f t="shared" si="8"/>
        <v xml:space="preserve"> </v>
      </c>
      <c r="O12" s="28" t="str">
        <f t="shared" si="1"/>
        <v/>
      </c>
      <c r="P12" s="59">
        <v>0</v>
      </c>
      <c r="Q12" s="28">
        <f t="shared" si="2"/>
        <v>0</v>
      </c>
      <c r="R12" s="28" t="str">
        <f t="shared" si="9"/>
        <v/>
      </c>
      <c r="AE12" s="60"/>
      <c r="AF12" s="60"/>
    </row>
    <row r="13" spans="1:34" ht="14.25" customHeight="1" x14ac:dyDescent="0.2">
      <c r="B13" s="3" t="s">
        <v>60</v>
      </c>
      <c r="C13" s="59">
        <v>0</v>
      </c>
      <c r="D13" s="28" t="str">
        <f t="shared" si="3"/>
        <v xml:space="preserve"> </v>
      </c>
      <c r="E13" s="59">
        <v>0</v>
      </c>
      <c r="F13" s="28" t="str">
        <f t="shared" si="4"/>
        <v xml:space="preserve"> </v>
      </c>
      <c r="G13" s="28" t="str">
        <f t="shared" si="5"/>
        <v/>
      </c>
      <c r="H13" s="59">
        <v>0</v>
      </c>
      <c r="I13" s="28" t="str">
        <f t="shared" si="6"/>
        <v/>
      </c>
      <c r="J13" s="28" t="str">
        <f>IF(H13=0,"",(E13-H13)/ABS(H13))</f>
        <v/>
      </c>
      <c r="K13" s="59">
        <f t="shared" si="0"/>
        <v>0</v>
      </c>
      <c r="L13" s="28" t="str">
        <f t="shared" si="7"/>
        <v xml:space="preserve"> </v>
      </c>
      <c r="M13" s="59">
        <v>0</v>
      </c>
      <c r="N13" s="28" t="str">
        <f t="shared" si="8"/>
        <v xml:space="preserve"> </v>
      </c>
      <c r="O13" s="28" t="str">
        <f t="shared" si="1"/>
        <v/>
      </c>
      <c r="P13" s="59"/>
      <c r="Q13" s="28">
        <f t="shared" si="2"/>
        <v>0</v>
      </c>
      <c r="R13" s="28" t="str">
        <f t="shared" si="9"/>
        <v/>
      </c>
      <c r="T13" s="3" t="s">
        <v>18</v>
      </c>
      <c r="U13" s="59">
        <v>0</v>
      </c>
      <c r="V13" s="59">
        <v>0</v>
      </c>
      <c r="W13" s="59">
        <v>0</v>
      </c>
      <c r="X13" s="59"/>
      <c r="Y13" s="59"/>
      <c r="Z13" s="55">
        <f>+X13-Y13</f>
        <v>0</v>
      </c>
      <c r="AA13" s="61" t="str">
        <f>IF(X13=0,"",(Y13-X13)/ABS(X13)+1)</f>
        <v/>
      </c>
      <c r="AB13" s="59"/>
      <c r="AC13" s="61" t="str">
        <f>IF(AB13=0,"",(Y13-AB13)/ABS(AB13))</f>
        <v/>
      </c>
      <c r="AE13" s="60"/>
      <c r="AF13" s="60"/>
    </row>
    <row r="14" spans="1:34" ht="14.25" customHeight="1" x14ac:dyDescent="0.2">
      <c r="B14" s="3" t="s">
        <v>61</v>
      </c>
      <c r="C14" s="59">
        <v>0</v>
      </c>
      <c r="D14" s="28" t="str">
        <f t="shared" si="3"/>
        <v xml:space="preserve"> </v>
      </c>
      <c r="E14" s="59">
        <v>0</v>
      </c>
      <c r="F14" s="28" t="str">
        <f t="shared" si="4"/>
        <v xml:space="preserve"> </v>
      </c>
      <c r="G14" s="28" t="str">
        <f t="shared" si="5"/>
        <v/>
      </c>
      <c r="H14" s="59">
        <v>0</v>
      </c>
      <c r="I14" s="28" t="str">
        <f t="shared" si="6"/>
        <v/>
      </c>
      <c r="J14" s="28" t="str">
        <f>IF(H14=0,"",(E14-H14)/ABS(H14))</f>
        <v/>
      </c>
      <c r="K14" s="59">
        <f t="shared" si="0"/>
        <v>0</v>
      </c>
      <c r="L14" s="28" t="str">
        <f t="shared" si="7"/>
        <v xml:space="preserve"> </v>
      </c>
      <c r="M14" s="59">
        <v>0</v>
      </c>
      <c r="N14" s="28" t="str">
        <f t="shared" si="8"/>
        <v xml:space="preserve"> </v>
      </c>
      <c r="O14" s="28" t="str">
        <f t="shared" si="1"/>
        <v/>
      </c>
      <c r="P14" s="59">
        <v>0</v>
      </c>
      <c r="Q14" s="28">
        <f t="shared" si="2"/>
        <v>0</v>
      </c>
      <c r="R14" s="28" t="str">
        <f t="shared" si="9"/>
        <v/>
      </c>
      <c r="T14" s="3" t="s">
        <v>19</v>
      </c>
      <c r="U14" s="59">
        <v>0</v>
      </c>
      <c r="V14" s="59">
        <v>0</v>
      </c>
      <c r="W14" s="59">
        <v>0</v>
      </c>
      <c r="X14" s="59"/>
      <c r="Y14" s="59"/>
      <c r="Z14" s="55">
        <f>+X14-Y14</f>
        <v>0</v>
      </c>
      <c r="AA14" s="61" t="str">
        <f>IF(X14=0,"",(Y14-X14)/ABS(X14)+1)</f>
        <v/>
      </c>
      <c r="AB14" s="59"/>
      <c r="AC14" s="61" t="str">
        <f>IF(AB14=0,"",(Y14-AB14)/ABS(AB14))</f>
        <v/>
      </c>
      <c r="AE14" s="60"/>
      <c r="AF14" s="60"/>
    </row>
    <row r="15" spans="1:34" ht="14.25" customHeight="1" x14ac:dyDescent="0.2">
      <c r="B15" s="3" t="s">
        <v>63</v>
      </c>
      <c r="C15" s="59">
        <v>0</v>
      </c>
      <c r="D15" s="28" t="str">
        <f t="shared" si="3"/>
        <v xml:space="preserve"> </v>
      </c>
      <c r="E15" s="59">
        <v>0</v>
      </c>
      <c r="F15" s="28" t="str">
        <f t="shared" si="4"/>
        <v xml:space="preserve"> </v>
      </c>
      <c r="G15" s="28" t="str">
        <f t="shared" si="5"/>
        <v/>
      </c>
      <c r="H15" s="59">
        <v>0</v>
      </c>
      <c r="I15" s="28" t="str">
        <f t="shared" si="6"/>
        <v/>
      </c>
      <c r="J15" s="28" t="str">
        <f>IF(H15=0,"",(E15-H15)/ABS(H15))</f>
        <v/>
      </c>
      <c r="K15" s="59">
        <f t="shared" si="0"/>
        <v>0</v>
      </c>
      <c r="L15" s="28" t="str">
        <f t="shared" si="7"/>
        <v xml:space="preserve"> </v>
      </c>
      <c r="M15" s="59">
        <v>0</v>
      </c>
      <c r="N15" s="28" t="str">
        <f t="shared" si="8"/>
        <v xml:space="preserve"> </v>
      </c>
      <c r="O15" s="28" t="str">
        <f t="shared" si="1"/>
        <v/>
      </c>
      <c r="P15" s="59">
        <v>0</v>
      </c>
      <c r="Q15" s="28">
        <f t="shared" si="2"/>
        <v>0</v>
      </c>
      <c r="R15" s="28" t="str">
        <f t="shared" si="9"/>
        <v/>
      </c>
      <c r="T15" s="3" t="s">
        <v>20</v>
      </c>
      <c r="U15" s="59"/>
      <c r="V15" s="59">
        <v>0</v>
      </c>
      <c r="W15" s="59">
        <v>0</v>
      </c>
      <c r="X15" s="59"/>
      <c r="Y15" s="59"/>
      <c r="Z15" s="55">
        <f>+X15-Y15</f>
        <v>0</v>
      </c>
      <c r="AA15" s="61" t="str">
        <f>IF(X15=0,"",(Y15-X15)/ABS(X15)+1)</f>
        <v/>
      </c>
      <c r="AB15" s="59"/>
      <c r="AC15" s="61" t="str">
        <f>IF(AB15=0,"",(Y15-AB15)/ABS(AB15))</f>
        <v/>
      </c>
      <c r="AE15" s="60"/>
      <c r="AF15" s="60"/>
    </row>
    <row r="16" spans="1:34" ht="14.25" customHeight="1" x14ac:dyDescent="0.2">
      <c r="B16" s="3" t="s">
        <v>64</v>
      </c>
      <c r="C16" s="59"/>
      <c r="D16" s="28" t="str">
        <f t="shared" si="3"/>
        <v xml:space="preserve"> </v>
      </c>
      <c r="E16" s="59"/>
      <c r="F16" s="28" t="str">
        <f t="shared" si="4"/>
        <v xml:space="preserve"> </v>
      </c>
      <c r="G16" s="28" t="str">
        <f t="shared" si="5"/>
        <v/>
      </c>
      <c r="H16" s="59"/>
      <c r="I16" s="28" t="str">
        <f t="shared" si="6"/>
        <v/>
      </c>
      <c r="J16" s="28"/>
      <c r="K16" s="59"/>
      <c r="L16" s="28" t="str">
        <f t="shared" si="7"/>
        <v xml:space="preserve"> </v>
      </c>
      <c r="M16" s="59"/>
      <c r="N16" s="28" t="str">
        <f t="shared" si="8"/>
        <v xml:space="preserve"> </v>
      </c>
      <c r="O16" s="28"/>
      <c r="P16" s="59"/>
      <c r="Q16" s="28"/>
      <c r="R16" s="28" t="str">
        <f t="shared" si="9"/>
        <v/>
      </c>
      <c r="T16" s="3" t="s">
        <v>21</v>
      </c>
      <c r="U16" s="59">
        <f>+V16</f>
        <v>0</v>
      </c>
      <c r="V16" s="59">
        <v>0</v>
      </c>
      <c r="W16" s="59">
        <v>1934</v>
      </c>
      <c r="X16" s="59">
        <f>+Y16</f>
        <v>3845</v>
      </c>
      <c r="Y16" s="59">
        <v>3845</v>
      </c>
      <c r="Z16" s="55">
        <f>+X16-Y16</f>
        <v>0</v>
      </c>
      <c r="AA16" s="61">
        <f>IF(X16=0,"",(Y16-X16)/ABS(X16)+1)</f>
        <v>1</v>
      </c>
      <c r="AB16" s="59">
        <v>4372</v>
      </c>
      <c r="AC16" s="61">
        <f>IF(AB16=0,"",(Y16-AB16)/ABS(AB16))</f>
        <v>-0.12053979871912168</v>
      </c>
      <c r="AE16" s="60"/>
      <c r="AF16" s="60"/>
    </row>
    <row r="17" spans="1:32" ht="14.25" customHeight="1" x14ac:dyDescent="0.2">
      <c r="B17" s="3" t="s">
        <v>65</v>
      </c>
      <c r="C17" s="59"/>
      <c r="D17" s="28" t="str">
        <f t="shared" si="3"/>
        <v xml:space="preserve"> </v>
      </c>
      <c r="E17" s="59"/>
      <c r="F17" s="28" t="str">
        <f t="shared" si="4"/>
        <v xml:space="preserve"> </v>
      </c>
      <c r="G17" s="28" t="str">
        <f t="shared" si="5"/>
        <v/>
      </c>
      <c r="H17" s="59"/>
      <c r="I17" s="28" t="str">
        <f t="shared" si="6"/>
        <v/>
      </c>
      <c r="J17" s="28"/>
      <c r="K17" s="59"/>
      <c r="L17" s="28" t="str">
        <f t="shared" si="7"/>
        <v xml:space="preserve"> </v>
      </c>
      <c r="M17" s="59"/>
      <c r="N17" s="28" t="str">
        <f t="shared" si="8"/>
        <v xml:space="preserve"> </v>
      </c>
      <c r="O17" s="28"/>
      <c r="P17" s="59"/>
      <c r="Q17" s="28"/>
      <c r="R17" s="28" t="str">
        <f t="shared" si="9"/>
        <v/>
      </c>
      <c r="T17" s="3" t="s">
        <v>22</v>
      </c>
      <c r="U17" s="59">
        <f>SUM(U16)</f>
        <v>0</v>
      </c>
      <c r="V17" s="59">
        <f>+V16</f>
        <v>0</v>
      </c>
      <c r="W17" s="59">
        <v>1934</v>
      </c>
      <c r="X17" s="59">
        <f>SUM(X16)</f>
        <v>3845</v>
      </c>
      <c r="Y17" s="59">
        <f>+Y16</f>
        <v>3845</v>
      </c>
      <c r="Z17" s="55">
        <f>+Y17-X17</f>
        <v>0</v>
      </c>
      <c r="AA17" s="61">
        <f>IF(X17=0,"",(Y17-X17)/ABS(X17)+1)</f>
        <v>1</v>
      </c>
      <c r="AB17" s="59">
        <v>4372</v>
      </c>
      <c r="AC17" s="61">
        <f>IF(AB17=0,"",(Y17-AB17)/ABS(AB17))</f>
        <v>-0.12053979871912168</v>
      </c>
    </row>
    <row r="18" spans="1:32" ht="14.25" customHeight="1" x14ac:dyDescent="0.2">
      <c r="B18" s="3" t="s">
        <v>67</v>
      </c>
      <c r="C18" s="59"/>
      <c r="D18" s="28" t="str">
        <f t="shared" si="3"/>
        <v xml:space="preserve"> </v>
      </c>
      <c r="E18" s="59"/>
      <c r="F18" s="28" t="str">
        <f t="shared" si="4"/>
        <v xml:space="preserve"> </v>
      </c>
      <c r="G18" s="28" t="str">
        <f t="shared" si="5"/>
        <v/>
      </c>
      <c r="H18" s="59"/>
      <c r="I18" s="28" t="str">
        <f t="shared" si="6"/>
        <v/>
      </c>
      <c r="J18" s="28"/>
      <c r="K18" s="59"/>
      <c r="L18" s="28" t="str">
        <f t="shared" si="7"/>
        <v xml:space="preserve"> </v>
      </c>
      <c r="M18" s="59"/>
      <c r="N18" s="28" t="str">
        <f t="shared" si="8"/>
        <v xml:space="preserve"> </v>
      </c>
      <c r="O18" s="28"/>
      <c r="P18" s="59"/>
      <c r="Q18" s="28"/>
      <c r="R18" s="28" t="str">
        <f t="shared" si="9"/>
        <v/>
      </c>
      <c r="AD18" s="60"/>
      <c r="AE18" s="60"/>
      <c r="AF18" s="60"/>
    </row>
    <row r="19" spans="1:32" ht="14.25" customHeight="1" x14ac:dyDescent="0.2">
      <c r="B19" s="3" t="s">
        <v>69</v>
      </c>
      <c r="C19" s="59">
        <f>+E19</f>
        <v>0</v>
      </c>
      <c r="D19" s="28" t="str">
        <f t="shared" si="3"/>
        <v xml:space="preserve"> </v>
      </c>
      <c r="E19" s="59">
        <v>0</v>
      </c>
      <c r="F19" s="28" t="str">
        <f t="shared" si="4"/>
        <v xml:space="preserve"> </v>
      </c>
      <c r="G19" s="28" t="str">
        <f t="shared" si="5"/>
        <v/>
      </c>
      <c r="H19" s="59">
        <v>2100</v>
      </c>
      <c r="I19" s="28" t="str">
        <f t="shared" si="6"/>
        <v/>
      </c>
      <c r="J19" s="28"/>
      <c r="K19" s="59">
        <f>+M19</f>
        <v>0</v>
      </c>
      <c r="L19" s="28" t="str">
        <f t="shared" si="7"/>
        <v xml:space="preserve"> </v>
      </c>
      <c r="M19" s="59">
        <v>0</v>
      </c>
      <c r="N19" s="28" t="str">
        <f t="shared" si="8"/>
        <v xml:space="preserve"> </v>
      </c>
      <c r="O19" s="28"/>
      <c r="P19" s="59">
        <v>14700</v>
      </c>
      <c r="Q19" s="59">
        <f>+P19/$P$20</f>
        <v>1</v>
      </c>
      <c r="R19" s="28">
        <f t="shared" si="9"/>
        <v>-1</v>
      </c>
      <c r="T19" s="3" t="s">
        <v>23</v>
      </c>
      <c r="U19" s="59">
        <f>+U11-U16</f>
        <v>0</v>
      </c>
      <c r="V19" s="59">
        <f>+V11-V16</f>
        <v>0</v>
      </c>
      <c r="W19" s="59">
        <v>-1934</v>
      </c>
      <c r="X19" s="59">
        <f>+X11-X16</f>
        <v>-3845</v>
      </c>
      <c r="Y19" s="59">
        <f>+Y11-Y16</f>
        <v>-3845</v>
      </c>
      <c r="Z19" s="55">
        <f>+Y19-X19</f>
        <v>0</v>
      </c>
      <c r="AA19" s="61">
        <f>IF(X19=0,"",(Y19-X19)/ABS(X19)+1)</f>
        <v>1</v>
      </c>
      <c r="AB19" s="59">
        <v>43003</v>
      </c>
      <c r="AC19" s="61">
        <f>IF(AB19=0,"",(Y19-AB19)/ABS(AB19))</f>
        <v>-1.0894123665790758</v>
      </c>
      <c r="AD19" s="60"/>
      <c r="AE19" s="60"/>
      <c r="AF19" s="60"/>
    </row>
    <row r="20" spans="1:32" ht="14.25" customHeight="1" x14ac:dyDescent="0.2">
      <c r="B20" s="17" t="s">
        <v>24</v>
      </c>
      <c r="C20" s="63">
        <f>SUM(C10:C16)</f>
        <v>0</v>
      </c>
      <c r="D20" s="36" t="str">
        <f t="shared" si="3"/>
        <v xml:space="preserve"> </v>
      </c>
      <c r="E20" s="63">
        <f>SUM(E10:E16)</f>
        <v>0</v>
      </c>
      <c r="F20" s="36" t="str">
        <f t="shared" si="4"/>
        <v xml:space="preserve"> </v>
      </c>
      <c r="G20" s="28" t="str">
        <f t="shared" si="5"/>
        <v/>
      </c>
      <c r="H20" s="63">
        <v>0</v>
      </c>
      <c r="I20" s="28" t="str">
        <f t="shared" si="6"/>
        <v/>
      </c>
      <c r="J20" s="36" t="str">
        <f>IF(H20=0,"",(E20-H20)/ABS(H20))</f>
        <v/>
      </c>
      <c r="K20" s="63">
        <f>SUM(K10:K16)</f>
        <v>0</v>
      </c>
      <c r="L20" s="36" t="str">
        <f t="shared" si="7"/>
        <v xml:space="preserve"> </v>
      </c>
      <c r="M20" s="63">
        <f>SUM(M10:M16)</f>
        <v>0</v>
      </c>
      <c r="N20" s="28" t="str">
        <f t="shared" si="8"/>
        <v xml:space="preserve"> </v>
      </c>
      <c r="O20" s="36" t="str">
        <f>IF(K20=0,"",(M20-K20)/ABS(K20)+1)</f>
        <v/>
      </c>
      <c r="P20" s="63">
        <f>+P10</f>
        <v>14700</v>
      </c>
      <c r="Q20" s="36">
        <f>+P20/$P$20</f>
        <v>1</v>
      </c>
      <c r="R20" s="36">
        <f t="shared" si="9"/>
        <v>-1</v>
      </c>
      <c r="T20" s="3"/>
      <c r="U20" s="59"/>
      <c r="V20" s="59"/>
      <c r="W20" s="59"/>
      <c r="X20" s="59"/>
      <c r="Y20" s="59"/>
      <c r="Z20" s="55"/>
      <c r="AA20" s="61"/>
      <c r="AB20" s="59"/>
      <c r="AC20" s="61"/>
      <c r="AD20" s="60"/>
      <c r="AE20" s="60"/>
      <c r="AF20" s="60"/>
    </row>
    <row r="21" spans="1:32" ht="14.25" customHeight="1" x14ac:dyDescent="0.2">
      <c r="G21" s="28" t="str">
        <f t="shared" si="5"/>
        <v/>
      </c>
      <c r="I21" s="28" t="str">
        <f t="shared" si="6"/>
        <v/>
      </c>
      <c r="N21" s="28" t="str">
        <f t="shared" si="8"/>
        <v xml:space="preserve"> </v>
      </c>
      <c r="R21" s="28" t="str">
        <f t="shared" si="9"/>
        <v/>
      </c>
      <c r="T21" s="3" t="s">
        <v>25</v>
      </c>
      <c r="U21" s="59">
        <f>+U10+U19</f>
        <v>0</v>
      </c>
      <c r="V21" s="59">
        <f>+V10+V19</f>
        <v>0</v>
      </c>
      <c r="W21" s="59">
        <v>6877.7900000000009</v>
      </c>
      <c r="X21" s="59">
        <f>+X10+X19</f>
        <v>3084</v>
      </c>
      <c r="Y21" s="59">
        <f>+Y10+Y19</f>
        <v>3084</v>
      </c>
      <c r="Z21" s="55">
        <f>+Y21-X21</f>
        <v>0</v>
      </c>
      <c r="AA21" s="61">
        <f>IF(X21=0,"",(Y21-X21)/ABS(X21)+1)</f>
        <v>1</v>
      </c>
      <c r="AB21" s="59">
        <v>52877.79</v>
      </c>
      <c r="AC21" s="61">
        <f>IF(AB21=0,"",(Y21-AB21)/ABS(AB21))</f>
        <v>-0.94167683634281996</v>
      </c>
      <c r="AD21" s="60"/>
      <c r="AE21" s="60"/>
      <c r="AF21" s="60"/>
    </row>
    <row r="22" spans="1:32" ht="14.25" customHeight="1" x14ac:dyDescent="0.2">
      <c r="B22" s="3" t="s">
        <v>26</v>
      </c>
      <c r="C22" s="59">
        <v>0</v>
      </c>
      <c r="D22" s="28" t="str">
        <f>IF($C$20&lt;=0," ",C22/$C$20)</f>
        <v xml:space="preserve"> </v>
      </c>
      <c r="E22" s="59">
        <v>0</v>
      </c>
      <c r="F22" s="28" t="str">
        <f>IF($E$20&lt;=0," ",E22/$E$20)</f>
        <v xml:space="preserve"> </v>
      </c>
      <c r="G22" s="28" t="str">
        <f t="shared" si="5"/>
        <v/>
      </c>
      <c r="H22" s="59">
        <v>0</v>
      </c>
      <c r="I22" s="28" t="str">
        <f t="shared" si="6"/>
        <v/>
      </c>
      <c r="J22" s="28" t="str">
        <f>IF(H22=0,"",(E22-H22)/ABS(H22))</f>
        <v/>
      </c>
      <c r="K22" s="59">
        <v>0</v>
      </c>
      <c r="L22" s="28" t="str">
        <f>IF($K$20&lt;=0," ",K22/$K$20)</f>
        <v xml:space="preserve"> </v>
      </c>
      <c r="M22" s="59">
        <f>+M17</f>
        <v>0</v>
      </c>
      <c r="N22" s="28" t="str">
        <f t="shared" si="8"/>
        <v xml:space="preserve"> </v>
      </c>
      <c r="O22" s="28" t="str">
        <f>IF(K22=0,"",(M22-K22)/ABS(K22)+1)</f>
        <v/>
      </c>
      <c r="P22" s="59">
        <v>0</v>
      </c>
      <c r="Q22" s="28">
        <f>+P22/$P$20</f>
        <v>0</v>
      </c>
      <c r="R22" s="28" t="str">
        <f t="shared" si="9"/>
        <v/>
      </c>
      <c r="AD22" s="60"/>
      <c r="AE22" s="60"/>
      <c r="AF22" s="60"/>
    </row>
    <row r="23" spans="1:32" ht="14.25" customHeight="1" x14ac:dyDescent="0.2">
      <c r="G23" s="28" t="str">
        <f t="shared" si="5"/>
        <v/>
      </c>
      <c r="I23" s="28" t="str">
        <f t="shared" si="6"/>
        <v/>
      </c>
      <c r="N23" s="28" t="str">
        <f t="shared" si="8"/>
        <v xml:space="preserve"> </v>
      </c>
      <c r="R23" s="28" t="str">
        <f t="shared" si="9"/>
        <v/>
      </c>
      <c r="T23" s="3" t="s">
        <v>27</v>
      </c>
      <c r="U23" s="59"/>
      <c r="V23" s="59"/>
      <c r="W23" s="59"/>
      <c r="X23" s="59">
        <f>+AD21+U23</f>
        <v>0</v>
      </c>
      <c r="Y23" s="59">
        <f>+V23+AF21</f>
        <v>0</v>
      </c>
      <c r="Z23" s="55">
        <f>+Y23-X23</f>
        <v>0</v>
      </c>
      <c r="AA23" s="61" t="str">
        <f>IF(X23=0,"",(Y23-X23)/ABS(X23)+1)</f>
        <v/>
      </c>
      <c r="AB23" s="59">
        <v>0</v>
      </c>
      <c r="AC23" s="61" t="str">
        <f>IF(AB23=0,"",(Y23-AB23)/ABS(AB23))</f>
        <v/>
      </c>
      <c r="AD23" s="60"/>
      <c r="AE23" s="60"/>
      <c r="AF23" s="60"/>
    </row>
    <row r="24" spans="1:32" ht="14.25" customHeight="1" x14ac:dyDescent="0.2">
      <c r="B24" s="3" t="s">
        <v>28</v>
      </c>
      <c r="C24" s="59">
        <f>+C19</f>
        <v>0</v>
      </c>
      <c r="D24" s="28" t="str">
        <f>IF($C$20&lt;=0," ",C24/$C$20)</f>
        <v xml:space="preserve"> </v>
      </c>
      <c r="E24" s="59">
        <f>+E19</f>
        <v>0</v>
      </c>
      <c r="F24" s="28" t="str">
        <f>IF($E$20&lt;=0," ",E24/$E$20)</f>
        <v xml:space="preserve"> </v>
      </c>
      <c r="G24" s="28" t="str">
        <f t="shared" si="5"/>
        <v/>
      </c>
      <c r="H24" s="59">
        <f>+H19</f>
        <v>2100</v>
      </c>
      <c r="I24" s="28" t="str">
        <f t="shared" si="6"/>
        <v/>
      </c>
      <c r="J24" s="28">
        <f>IF(H24=0,"",(E24-H24)/ABS(H24))</f>
        <v>-1</v>
      </c>
      <c r="K24" s="59">
        <f>+K19</f>
        <v>0</v>
      </c>
      <c r="L24" s="28" t="str">
        <f>IF($K$20&lt;=0," ",K24/$K$20)</f>
        <v xml:space="preserve"> </v>
      </c>
      <c r="M24" s="59">
        <f>+M19</f>
        <v>0</v>
      </c>
      <c r="N24" s="28" t="str">
        <f t="shared" si="8"/>
        <v xml:space="preserve"> </v>
      </c>
      <c r="O24" s="28" t="str">
        <f>IF(K24=0,"",(M24-K24)/ABS(K24)+1)</f>
        <v/>
      </c>
      <c r="P24" s="59">
        <f>+P19</f>
        <v>14700</v>
      </c>
      <c r="Q24" s="28">
        <f>+P24/$P$20</f>
        <v>1</v>
      </c>
      <c r="R24" s="28">
        <f t="shared" si="9"/>
        <v>-1</v>
      </c>
      <c r="AD24" s="60"/>
      <c r="AE24" s="60"/>
      <c r="AF24" s="60"/>
    </row>
    <row r="25" spans="1:32" ht="14.25" customHeight="1" x14ac:dyDescent="0.2">
      <c r="G25" s="28" t="str">
        <f t="shared" si="5"/>
        <v/>
      </c>
      <c r="I25" s="28" t="str">
        <f t="shared" si="6"/>
        <v/>
      </c>
      <c r="R25" s="28" t="str">
        <f t="shared" si="9"/>
        <v/>
      </c>
      <c r="T25" s="3" t="s">
        <v>29</v>
      </c>
      <c r="U25" s="59"/>
      <c r="V25" s="59"/>
      <c r="W25" s="59"/>
      <c r="X25" s="59">
        <f>+AD22+U25</f>
        <v>0</v>
      </c>
      <c r="Y25" s="59">
        <f>+V25+AF22</f>
        <v>0</v>
      </c>
      <c r="Z25" s="55">
        <f>+Y25-X25</f>
        <v>0</v>
      </c>
      <c r="AA25" s="61" t="str">
        <f>IF(X25=0,"",(Y25-X25)/ABS(X25)+1)</f>
        <v/>
      </c>
      <c r="AB25" s="59">
        <v>0</v>
      </c>
      <c r="AC25" s="61" t="str">
        <f>IF(AB25=0,"",(Y25-AB25)/ABS(AB25))</f>
        <v/>
      </c>
      <c r="AD25" s="60"/>
      <c r="AE25" s="60"/>
      <c r="AF25" s="60"/>
    </row>
    <row r="26" spans="1:32" ht="14.25" customHeight="1" x14ac:dyDescent="0.2">
      <c r="B26" s="3" t="s">
        <v>30</v>
      </c>
      <c r="C26" s="59">
        <f>+E26</f>
        <v>0</v>
      </c>
      <c r="D26" s="28" t="str">
        <f>IF($C$20&lt;=0," ",C26/$C$20)</f>
        <v xml:space="preserve"> </v>
      </c>
      <c r="E26" s="59">
        <v>0</v>
      </c>
      <c r="F26" s="28" t="str">
        <f>IF($E$20&lt;=0," ",E26/$E$20)</f>
        <v xml:space="preserve"> </v>
      </c>
      <c r="G26" s="28" t="str">
        <f t="shared" si="5"/>
        <v/>
      </c>
      <c r="H26" s="59">
        <v>0</v>
      </c>
      <c r="I26" s="28" t="str">
        <f t="shared" si="6"/>
        <v/>
      </c>
      <c r="J26" s="28" t="str">
        <f>IF(H26=0,"",(E26-H26)/ABS(H26))</f>
        <v/>
      </c>
      <c r="K26" s="59">
        <f>+K20</f>
        <v>0</v>
      </c>
      <c r="L26" s="28" t="str">
        <f>IF($K$20&lt;=0," ",K26/$K$20)</f>
        <v xml:space="preserve"> </v>
      </c>
      <c r="M26" s="59"/>
      <c r="N26" s="28" t="str">
        <f>IF($M$20&lt;=0," ",M26/$M$20)</f>
        <v xml:space="preserve"> </v>
      </c>
      <c r="O26" s="28" t="str">
        <f>IF(K26=0,"",(M26-K26)/ABS(K26)+1)</f>
        <v/>
      </c>
      <c r="P26" s="59">
        <v>0</v>
      </c>
      <c r="Q26" s="28">
        <f>+P26/$P$20</f>
        <v>0</v>
      </c>
      <c r="R26" s="28" t="str">
        <f t="shared" si="9"/>
        <v/>
      </c>
    </row>
    <row r="27" spans="1:32" ht="14.25" customHeight="1" x14ac:dyDescent="0.2">
      <c r="A27" s="87"/>
      <c r="B27" s="3" t="s">
        <v>31</v>
      </c>
      <c r="C27" s="59">
        <f>+E27</f>
        <v>0</v>
      </c>
      <c r="D27" s="28" t="str">
        <f>IF($C$20&lt;=0," ",C27/$C$20)</f>
        <v xml:space="preserve"> </v>
      </c>
      <c r="E27" s="59">
        <v>0</v>
      </c>
      <c r="F27" s="28" t="str">
        <f>IF($E$20&lt;=0," ",E27/$E$20)</f>
        <v xml:space="preserve"> </v>
      </c>
      <c r="G27" s="28" t="str">
        <f t="shared" si="5"/>
        <v/>
      </c>
      <c r="H27" s="59">
        <v>0</v>
      </c>
      <c r="I27" s="28" t="str">
        <f t="shared" si="6"/>
        <v/>
      </c>
      <c r="J27" s="28" t="str">
        <f>IF(H27=0,"",(E27-H27)/ABS(H27))</f>
        <v/>
      </c>
      <c r="K27" s="59">
        <f>+K22</f>
        <v>0</v>
      </c>
      <c r="L27" s="28" t="str">
        <f>IF($K$20&lt;=0," ",K27/$K$20)</f>
        <v xml:space="preserve"> </v>
      </c>
      <c r="M27" s="59"/>
      <c r="N27" s="28" t="str">
        <f>IF($M$20&lt;=0," ",M27/$M$20)</f>
        <v xml:space="preserve"> </v>
      </c>
      <c r="O27" s="28" t="str">
        <f>IF(K27=0,"",(M27-K27)/ABS(K27)+1)</f>
        <v/>
      </c>
      <c r="P27" s="59">
        <v>0</v>
      </c>
      <c r="Q27" s="28">
        <f>+P27/$P$20</f>
        <v>0</v>
      </c>
      <c r="R27" s="28" t="str">
        <f t="shared" si="9"/>
        <v/>
      </c>
      <c r="T27" s="3" t="s">
        <v>32</v>
      </c>
      <c r="U27" s="59"/>
      <c r="V27" s="59"/>
      <c r="W27" s="59"/>
      <c r="X27" s="59">
        <f>+AD23+U27</f>
        <v>0</v>
      </c>
      <c r="Y27" s="59">
        <f>+AE23+V27</f>
        <v>0</v>
      </c>
      <c r="Z27" s="55">
        <f>+Y27-X27</f>
        <v>0</v>
      </c>
      <c r="AA27" s="61" t="str">
        <f>IF(X27=0,"",(Y27-X27)/ABS(X27)+1)</f>
        <v/>
      </c>
      <c r="AB27" s="59">
        <v>0</v>
      </c>
      <c r="AC27" s="61" t="str">
        <f>IF(AB27=0,"",(Y27-AB27)/ABS(AB27))</f>
        <v/>
      </c>
    </row>
    <row r="28" spans="1:32" ht="14.25" customHeight="1" x14ac:dyDescent="0.2">
      <c r="A28" s="87"/>
      <c r="B28" s="3" t="s">
        <v>33</v>
      </c>
      <c r="C28" s="59">
        <f>SUM(C26:C27)</f>
        <v>0</v>
      </c>
      <c r="D28" s="28" t="str">
        <f>IF($C$20&lt;=0," ",C28/$C$20)</f>
        <v xml:space="preserve"> </v>
      </c>
      <c r="E28" s="59">
        <f>SUM(E26:E27)</f>
        <v>0</v>
      </c>
      <c r="F28" s="28" t="str">
        <f>IF($E$20&lt;=0," ",E28/$E$20)</f>
        <v xml:space="preserve"> </v>
      </c>
      <c r="G28" s="28" t="str">
        <f t="shared" si="5"/>
        <v/>
      </c>
      <c r="H28" s="59">
        <f>SUM(H26:H27)</f>
        <v>0</v>
      </c>
      <c r="I28" s="28" t="str">
        <f t="shared" si="6"/>
        <v/>
      </c>
      <c r="J28" s="28" t="str">
        <f>IF(H28=0,"",(E28-H28)/ABS(H28))</f>
        <v/>
      </c>
      <c r="K28" s="59">
        <f>+K24</f>
        <v>0</v>
      </c>
      <c r="L28" s="28" t="str">
        <f>IF($K$20&lt;=0," ",K28/$K$20)</f>
        <v xml:space="preserve"> </v>
      </c>
      <c r="M28" s="59"/>
      <c r="N28" s="28" t="str">
        <f>IF($M$20&lt;=0," ",M28/$M$20)</f>
        <v xml:space="preserve"> </v>
      </c>
      <c r="O28" s="28" t="str">
        <f>IF(K28=0,"",(M28-K28)/ABS(K28)+1)</f>
        <v/>
      </c>
      <c r="P28" s="59">
        <f>+P27+P26</f>
        <v>0</v>
      </c>
      <c r="Q28" s="28">
        <f>+P28/$P$20</f>
        <v>0</v>
      </c>
      <c r="R28" s="28" t="str">
        <f t="shared" si="9"/>
        <v/>
      </c>
      <c r="T28" s="3" t="s">
        <v>145</v>
      </c>
      <c r="U28" s="59">
        <f>+V28</f>
        <v>0</v>
      </c>
      <c r="V28" s="59">
        <v>0</v>
      </c>
      <c r="W28" s="59">
        <v>0</v>
      </c>
      <c r="X28" s="59">
        <f>+Y28</f>
        <v>0</v>
      </c>
      <c r="Y28" s="59">
        <v>0</v>
      </c>
      <c r="Z28" s="55">
        <f>+Y28-X28</f>
        <v>0</v>
      </c>
      <c r="AA28" s="61" t="str">
        <f>IF(X28=0,"",(Y28-X28)/ABS(X28)+1)</f>
        <v/>
      </c>
      <c r="AB28" s="59">
        <v>46000</v>
      </c>
      <c r="AC28" s="61">
        <f>IF(AB28=0,"",(Y28-AB28)/ABS(AB28))</f>
        <v>-1</v>
      </c>
      <c r="AD28" s="47"/>
    </row>
    <row r="29" spans="1:32" ht="14.25" customHeight="1" x14ac:dyDescent="0.2">
      <c r="A29" s="87"/>
      <c r="G29" s="28" t="str">
        <f t="shared" si="5"/>
        <v/>
      </c>
      <c r="I29" s="28" t="str">
        <f t="shared" si="6"/>
        <v/>
      </c>
      <c r="R29" s="28" t="str">
        <f t="shared" si="9"/>
        <v/>
      </c>
    </row>
    <row r="30" spans="1:32" ht="14.25" customHeight="1" x14ac:dyDescent="0.2">
      <c r="A30" s="87"/>
      <c r="B30" s="3" t="s">
        <v>35</v>
      </c>
      <c r="C30" s="59">
        <f>+E30</f>
        <v>0</v>
      </c>
      <c r="D30" s="28" t="str">
        <f>IF($C$20&lt;=0," ",C30/$C$20)</f>
        <v xml:space="preserve"> </v>
      </c>
      <c r="E30" s="59"/>
      <c r="F30" s="28" t="str">
        <f>IF($E$20&lt;=0," ",E30/$E$20)</f>
        <v xml:space="preserve"> </v>
      </c>
      <c r="G30" s="28" t="str">
        <f t="shared" si="5"/>
        <v/>
      </c>
      <c r="H30" s="59"/>
      <c r="I30" s="28" t="str">
        <f t="shared" si="6"/>
        <v/>
      </c>
      <c r="J30" s="28" t="str">
        <f>IF(H30=0,"",(E30-H30)/ABS(H30))</f>
        <v/>
      </c>
      <c r="K30" s="59">
        <f>+K26</f>
        <v>0</v>
      </c>
      <c r="L30" s="28" t="str">
        <f>IF($K$20&lt;=0," ",K30/$K$20)</f>
        <v xml:space="preserve"> </v>
      </c>
      <c r="M30" s="59"/>
      <c r="N30" s="28" t="str">
        <f>IF($M$20&lt;=0," ",M30/$M$20)</f>
        <v xml:space="preserve"> </v>
      </c>
      <c r="O30" s="28" t="str">
        <f>IF(K30=0,"",(M30-K30)/ABS(K30)+1)</f>
        <v/>
      </c>
      <c r="P30" s="59"/>
      <c r="Q30" s="28">
        <f>+P30/$P$20</f>
        <v>0</v>
      </c>
      <c r="R30" s="28" t="str">
        <f t="shared" si="9"/>
        <v/>
      </c>
      <c r="T30" s="17" t="s">
        <v>36</v>
      </c>
      <c r="U30" s="63">
        <f>U21-U23-U25-U27-U28</f>
        <v>0</v>
      </c>
      <c r="V30" s="63">
        <f>V21-V23-V25-V27-V28</f>
        <v>0</v>
      </c>
      <c r="W30" s="63">
        <v>6877.7900000000009</v>
      </c>
      <c r="X30" s="63">
        <f>X21-X23-X25-X27-X28</f>
        <v>3084</v>
      </c>
      <c r="Y30" s="63">
        <f>Y21-Y23-Y25-Y27-Y28</f>
        <v>3084</v>
      </c>
      <c r="Z30" s="65">
        <f>V30-U30</f>
        <v>0</v>
      </c>
      <c r="AA30" s="66" t="str">
        <f>IF(U30=0,"",(V30-U30)/ABS(U30)+1)</f>
        <v/>
      </c>
      <c r="AB30" s="63">
        <v>6877.7900000000009</v>
      </c>
      <c r="AC30" s="66">
        <f>IF(W30=0,"",(V30-W30)/ABS(W30))</f>
        <v>-1</v>
      </c>
    </row>
    <row r="31" spans="1:32" ht="14.25" customHeight="1" x14ac:dyDescent="0.2">
      <c r="A31" s="87"/>
      <c r="B31" s="3" t="s">
        <v>146</v>
      </c>
      <c r="C31" s="59">
        <f>+E31</f>
        <v>0</v>
      </c>
      <c r="D31" s="28" t="str">
        <f>IF($C$20&lt;=0," ",C31/$C$20)</f>
        <v xml:space="preserve"> </v>
      </c>
      <c r="E31" s="59">
        <v>0</v>
      </c>
      <c r="F31" s="28" t="str">
        <f>IF($E$20&lt;=0," ",E31/$E$20)</f>
        <v xml:space="preserve"> </v>
      </c>
      <c r="G31" s="28" t="str">
        <f t="shared" si="5"/>
        <v/>
      </c>
      <c r="H31" s="59">
        <v>0</v>
      </c>
      <c r="I31" s="28" t="str">
        <f t="shared" si="6"/>
        <v/>
      </c>
      <c r="J31" s="28" t="str">
        <f>IF(H31=0,"",(E31-H31)/ABS(H31))</f>
        <v/>
      </c>
      <c r="K31" s="59">
        <f>+K27</f>
        <v>0</v>
      </c>
      <c r="L31" s="28" t="str">
        <f>IF($K$20&lt;=0," ",K31/$K$20)</f>
        <v xml:space="preserve"> </v>
      </c>
      <c r="M31" s="59">
        <v>3795</v>
      </c>
      <c r="N31" s="28" t="str">
        <f>IF($M$20&lt;=0," ",M31/$M$20)</f>
        <v xml:space="preserve"> </v>
      </c>
      <c r="O31" s="28" t="str">
        <f>IF(K31=0,"",(M31-K31)/ABS(K31)+1)</f>
        <v/>
      </c>
      <c r="P31" s="59">
        <v>0</v>
      </c>
      <c r="Q31" s="28">
        <f>+P31/$P$20</f>
        <v>0</v>
      </c>
      <c r="R31" s="28" t="str">
        <f t="shared" si="9"/>
        <v/>
      </c>
    </row>
    <row r="32" spans="1:32" ht="14.25" customHeight="1" x14ac:dyDescent="0.2">
      <c r="A32" s="87"/>
      <c r="B32" s="3" t="s">
        <v>38</v>
      </c>
      <c r="C32" s="59">
        <f>SUM(C30:C31)</f>
        <v>0</v>
      </c>
      <c r="D32" s="28" t="str">
        <f>IF($C$20&lt;=0," ",C32/$C$20)</f>
        <v xml:space="preserve"> </v>
      </c>
      <c r="E32" s="59">
        <f>SUM(E30:E31)</f>
        <v>0</v>
      </c>
      <c r="F32" s="28" t="str">
        <f>IF($E$20&lt;=0," ",E32/$E$20)</f>
        <v xml:space="preserve"> </v>
      </c>
      <c r="G32" s="28" t="str">
        <f t="shared" si="5"/>
        <v/>
      </c>
      <c r="H32" s="59">
        <f>SUM(H30:H31)</f>
        <v>0</v>
      </c>
      <c r="I32" s="28" t="str">
        <f t="shared" si="6"/>
        <v/>
      </c>
      <c r="J32" s="28" t="str">
        <f>IF(H32=0,"",(E32-H32)/ABS(H32))</f>
        <v/>
      </c>
      <c r="K32" s="59">
        <f>+K28</f>
        <v>0</v>
      </c>
      <c r="L32" s="28" t="str">
        <f>IF($K$20&lt;=0," ",K32/$K$20)</f>
        <v xml:space="preserve"> </v>
      </c>
      <c r="M32" s="59">
        <f>SUM(M30:M31)</f>
        <v>3795</v>
      </c>
      <c r="N32" s="28" t="str">
        <f>IF($M$20&lt;=0," ",M32/$M$20)</f>
        <v xml:space="preserve"> </v>
      </c>
      <c r="O32" s="28" t="str">
        <f>IF(K32=0,"",(M32-K32)/ABS(K32)+1)</f>
        <v/>
      </c>
      <c r="P32" s="59">
        <f>+P31</f>
        <v>0</v>
      </c>
      <c r="Q32" s="28">
        <f>+P32/$P$20</f>
        <v>0</v>
      </c>
      <c r="R32" s="28" t="str">
        <f t="shared" si="9"/>
        <v/>
      </c>
    </row>
    <row r="33" spans="1:20" ht="14.25" customHeight="1" x14ac:dyDescent="0.2">
      <c r="A33" s="87"/>
      <c r="G33" s="28" t="str">
        <f t="shared" si="5"/>
        <v/>
      </c>
      <c r="I33" s="28" t="str">
        <f t="shared" si="6"/>
        <v/>
      </c>
      <c r="R33" s="28" t="str">
        <f t="shared" si="9"/>
        <v/>
      </c>
    </row>
    <row r="34" spans="1:20" ht="14.25" customHeight="1" x14ac:dyDescent="0.2">
      <c r="A34" s="87"/>
      <c r="B34" s="3" t="s">
        <v>39</v>
      </c>
      <c r="C34" s="59">
        <f>C28+C32</f>
        <v>0</v>
      </c>
      <c r="D34" s="28" t="str">
        <f>IF($C$20&lt;=0," ",C34/$C$20)</f>
        <v xml:space="preserve"> </v>
      </c>
      <c r="E34" s="59">
        <f>E28+E32</f>
        <v>0</v>
      </c>
      <c r="F34" s="28" t="str">
        <f>IF($E$20&lt;=0," ",E34/$E$20)</f>
        <v xml:space="preserve"> </v>
      </c>
      <c r="G34" s="28" t="str">
        <f t="shared" si="5"/>
        <v/>
      </c>
      <c r="H34" s="59">
        <f>H28+H32</f>
        <v>0</v>
      </c>
      <c r="I34" s="28" t="str">
        <f t="shared" si="6"/>
        <v/>
      </c>
      <c r="J34" s="28" t="str">
        <f>IF(H34=0,"",(E34-H34)/ABS(H34))</f>
        <v/>
      </c>
      <c r="K34" s="59">
        <f>+K30</f>
        <v>0</v>
      </c>
      <c r="L34" s="28" t="str">
        <f>IF($K$20&lt;=0," ",K34/$K$20)</f>
        <v xml:space="preserve"> </v>
      </c>
      <c r="M34" s="59">
        <f>M28+M32</f>
        <v>3795</v>
      </c>
      <c r="N34" s="28" t="str">
        <f>IF($M$20&lt;=0," ",M34/$M$20)</f>
        <v xml:space="preserve"> </v>
      </c>
      <c r="O34" s="28" t="str">
        <f>IF(K34=0,"",(M34-K34)/ABS(K34)+1)</f>
        <v/>
      </c>
      <c r="P34" s="59">
        <f>+P32</f>
        <v>0</v>
      </c>
      <c r="Q34" s="28">
        <f>+P34/$P$20</f>
        <v>0</v>
      </c>
      <c r="R34" s="28" t="str">
        <f t="shared" si="9"/>
        <v/>
      </c>
    </row>
    <row r="35" spans="1:20" ht="14.25" customHeight="1" x14ac:dyDescent="0.2">
      <c r="G35" s="28" t="str">
        <f t="shared" si="5"/>
        <v/>
      </c>
      <c r="I35" s="28" t="str">
        <f t="shared" si="6"/>
        <v/>
      </c>
      <c r="R35" s="28" t="str">
        <f t="shared" si="9"/>
        <v/>
      </c>
    </row>
    <row r="36" spans="1:20" ht="14.25" customHeight="1" x14ac:dyDescent="0.2">
      <c r="B36" s="17" t="s">
        <v>40</v>
      </c>
      <c r="C36" s="63">
        <f>+C24-C34</f>
        <v>0</v>
      </c>
      <c r="D36" s="36" t="str">
        <f>IF($C$20&lt;=0," ",C36/$C$20)</f>
        <v xml:space="preserve"> </v>
      </c>
      <c r="E36" s="63">
        <f>+E24-E34</f>
        <v>0</v>
      </c>
      <c r="F36" s="36" t="str">
        <f>IF($E$20&lt;=0," ",E36/$E$20)</f>
        <v xml:space="preserve"> </v>
      </c>
      <c r="G36" s="28" t="str">
        <f t="shared" si="5"/>
        <v/>
      </c>
      <c r="H36" s="63">
        <f>+H24-H34</f>
        <v>2100</v>
      </c>
      <c r="I36" s="28" t="str">
        <f t="shared" si="6"/>
        <v/>
      </c>
      <c r="J36" s="36">
        <f>IF(H36=0,"",(E36-H36)/ABS(H36))</f>
        <v>-1</v>
      </c>
      <c r="K36" s="63">
        <f>+K31</f>
        <v>0</v>
      </c>
      <c r="L36" s="36" t="str">
        <f>IF($K$20&lt;=0," ",K36/$K$20)</f>
        <v xml:space="preserve"> </v>
      </c>
      <c r="M36" s="63">
        <f>+M24-M34</f>
        <v>-3795</v>
      </c>
      <c r="N36" s="36" t="str">
        <f>IF($M$20&lt;=0," ",M36/$M$20)</f>
        <v xml:space="preserve"> </v>
      </c>
      <c r="O36" s="36" t="str">
        <f>IF(K36=0,"",(M36-K36)/ABS(K36)+1)</f>
        <v/>
      </c>
      <c r="P36" s="63">
        <f>+P24-P34</f>
        <v>14700</v>
      </c>
      <c r="Q36" s="36">
        <f>+P36/$P$20</f>
        <v>1</v>
      </c>
      <c r="R36" s="36">
        <f t="shared" si="9"/>
        <v>-1.2581632653061225</v>
      </c>
    </row>
    <row r="37" spans="1:20" ht="14.25" customHeight="1" x14ac:dyDescent="0.2">
      <c r="G37" s="28" t="str">
        <f t="shared" si="5"/>
        <v/>
      </c>
      <c r="I37" s="28" t="str">
        <f t="shared" si="6"/>
        <v/>
      </c>
      <c r="R37" s="28" t="str">
        <f t="shared" si="9"/>
        <v/>
      </c>
      <c r="T37" s="47"/>
    </row>
    <row r="38" spans="1:20" ht="14.25" customHeight="1" x14ac:dyDescent="0.2">
      <c r="B38" s="3" t="s">
        <v>41</v>
      </c>
      <c r="C38" s="59">
        <f>+E38</f>
        <v>0</v>
      </c>
      <c r="D38" s="28" t="str">
        <f>IF($C$20&lt;=0," ",C38/$C$20)</f>
        <v xml:space="preserve"> </v>
      </c>
      <c r="E38" s="59">
        <v>0</v>
      </c>
      <c r="F38" s="28" t="str">
        <f>IF($E$20&lt;=0," ",E38/$E$20)</f>
        <v xml:space="preserve"> </v>
      </c>
      <c r="G38" s="28" t="str">
        <f t="shared" si="5"/>
        <v/>
      </c>
      <c r="H38" s="59">
        <v>0</v>
      </c>
      <c r="I38" s="28" t="str">
        <f t="shared" si="6"/>
        <v/>
      </c>
      <c r="J38" s="28" t="str">
        <f>IF(H38=0,"",(E38-H38)/ABS(H38))</f>
        <v/>
      </c>
      <c r="K38" s="59">
        <f>+K32</f>
        <v>0</v>
      </c>
      <c r="L38" s="28" t="str">
        <f>IF($K$20&lt;=0," ",K38/$K$20)</f>
        <v xml:space="preserve"> </v>
      </c>
      <c r="M38" s="59">
        <v>0</v>
      </c>
      <c r="N38" s="28" t="str">
        <f>IF($M$20&lt;=0," ",M38/$M$20)</f>
        <v xml:space="preserve"> </v>
      </c>
      <c r="O38" s="28" t="str">
        <f>IF(K38=0,"",(M38-K38)/ABS(K38)+1)</f>
        <v/>
      </c>
      <c r="P38" s="59">
        <v>0</v>
      </c>
      <c r="Q38" s="28">
        <f>+P38/$P$20</f>
        <v>0</v>
      </c>
      <c r="R38" s="28" t="str">
        <f t="shared" si="9"/>
        <v/>
      </c>
    </row>
    <row r="39" spans="1:20" ht="14.25" customHeight="1" x14ac:dyDescent="0.2">
      <c r="B39" s="3" t="s">
        <v>42</v>
      </c>
      <c r="C39" s="59">
        <f>+E39</f>
        <v>0</v>
      </c>
      <c r="D39" s="28" t="str">
        <f>IF($C$20&lt;=0," ",C39/$C$20)</f>
        <v xml:space="preserve"> </v>
      </c>
      <c r="E39" s="59">
        <v>0</v>
      </c>
      <c r="F39" s="28" t="str">
        <f>IF($E$20&lt;=0," ",E39/$E$20)</f>
        <v xml:space="preserve"> </v>
      </c>
      <c r="G39" s="28" t="str">
        <f t="shared" si="5"/>
        <v/>
      </c>
      <c r="H39" s="59">
        <v>0</v>
      </c>
      <c r="I39" s="28" t="str">
        <f t="shared" si="6"/>
        <v/>
      </c>
      <c r="J39" s="28" t="str">
        <f>IF(H39=0,"",(E39-H39)/ABS(H39))</f>
        <v/>
      </c>
      <c r="K39" s="59">
        <f>+K34</f>
        <v>0</v>
      </c>
      <c r="L39" s="28" t="str">
        <f>IF($K$20&lt;=0," ",K39/$K$20)</f>
        <v xml:space="preserve"> </v>
      </c>
      <c r="M39" s="59">
        <v>50</v>
      </c>
      <c r="N39" s="28" t="str">
        <f>IF($M$20&lt;=0," ",M39/$M$20)</f>
        <v xml:space="preserve"> </v>
      </c>
      <c r="O39" s="28" t="str">
        <f>IF(K39=0,"",(M39-K39)/ABS(K39)+1)</f>
        <v/>
      </c>
      <c r="P39" s="59">
        <v>2990.71</v>
      </c>
      <c r="Q39" s="28">
        <f>+P39/$P$20</f>
        <v>0.20344965986394559</v>
      </c>
      <c r="R39" s="28">
        <f t="shared" si="9"/>
        <v>-0.98328156190336069</v>
      </c>
    </row>
    <row r="40" spans="1:20" ht="14.25" customHeight="1" x14ac:dyDescent="0.2">
      <c r="G40" s="28" t="str">
        <f t="shared" si="5"/>
        <v/>
      </c>
      <c r="I40" s="28" t="str">
        <f t="shared" si="6"/>
        <v/>
      </c>
      <c r="R40" s="28" t="str">
        <f t="shared" si="9"/>
        <v/>
      </c>
    </row>
    <row r="41" spans="1:20" ht="14.25" customHeight="1" x14ac:dyDescent="0.2">
      <c r="B41" s="3" t="s">
        <v>43</v>
      </c>
      <c r="C41" s="59">
        <f>C36+C38-C39</f>
        <v>0</v>
      </c>
      <c r="D41" s="28" t="str">
        <f>IF($C$20&lt;=0," ",C41/$C$20)</f>
        <v xml:space="preserve"> </v>
      </c>
      <c r="E41" s="59">
        <f>+E36-E39+E38</f>
        <v>0</v>
      </c>
      <c r="F41" s="28" t="str">
        <f>IF($E$20&lt;=0," ",E41/$E$20)</f>
        <v xml:space="preserve"> </v>
      </c>
      <c r="G41" s="28" t="str">
        <f t="shared" si="5"/>
        <v/>
      </c>
      <c r="H41" s="59">
        <f>+H36-H39+H38</f>
        <v>2100</v>
      </c>
      <c r="I41" s="28" t="str">
        <f t="shared" si="6"/>
        <v/>
      </c>
      <c r="J41" s="28">
        <f>IF(H41=0,"",(E41-H41)/ABS(H41))</f>
        <v>-1</v>
      </c>
      <c r="K41" s="59">
        <f>+K36</f>
        <v>0</v>
      </c>
      <c r="L41" s="28" t="str">
        <f>IF($K$20&lt;=0," ",K41/$K$20)</f>
        <v xml:space="preserve"> </v>
      </c>
      <c r="M41" s="59">
        <f>+M36-M39+M38</f>
        <v>-3845</v>
      </c>
      <c r="N41" s="28" t="str">
        <f>IF($M$20&lt;=0," ",M41/$M$20)</f>
        <v xml:space="preserve"> </v>
      </c>
      <c r="O41" s="28" t="str">
        <f>IF(K41=0,"",(M41-K41)/ABS(K41)+1)</f>
        <v/>
      </c>
      <c r="P41" s="59">
        <f>P36+P38-P39</f>
        <v>11709.29</v>
      </c>
      <c r="Q41" s="28">
        <f>+P41/$P$20</f>
        <v>0.79655034013605452</v>
      </c>
      <c r="R41" s="28">
        <f t="shared" si="9"/>
        <v>-1.328371745853079</v>
      </c>
    </row>
    <row r="42" spans="1:20" ht="14.25" customHeight="1" x14ac:dyDescent="0.2">
      <c r="B42" s="3" t="s">
        <v>29</v>
      </c>
      <c r="C42" s="59"/>
      <c r="D42" s="28" t="str">
        <f>IF($C$20&lt;=0," ",C42/$C$20)</f>
        <v xml:space="preserve"> </v>
      </c>
      <c r="E42" s="59"/>
      <c r="F42" s="28" t="str">
        <f>IF($E$20&lt;=0," ",E42/$E$20)</f>
        <v xml:space="preserve"> </v>
      </c>
      <c r="G42" s="28" t="str">
        <f t="shared" si="5"/>
        <v/>
      </c>
      <c r="H42" s="59"/>
      <c r="I42" s="28" t="str">
        <f t="shared" si="6"/>
        <v/>
      </c>
      <c r="J42" s="28" t="str">
        <f>IF(H42=0,"",(E42-H42)/ABS(H42))</f>
        <v/>
      </c>
      <c r="K42" s="59">
        <f>+K38</f>
        <v>0</v>
      </c>
      <c r="L42" s="28" t="str">
        <f>IF($K$20&lt;=0," ",K42/$K$20)</f>
        <v xml:space="preserve"> </v>
      </c>
      <c r="M42" s="59"/>
      <c r="N42" s="28" t="str">
        <f>IF($M$20&lt;=0," ",M42/$M$20)</f>
        <v xml:space="preserve"> </v>
      </c>
      <c r="O42" s="28" t="str">
        <f>IF(K42=0,"",(M42-K42)/ABS(K42)+1)</f>
        <v/>
      </c>
      <c r="P42" s="59">
        <f>+H42</f>
        <v>0</v>
      </c>
      <c r="Q42" s="28">
        <f>+P42/$P$20</f>
        <v>0</v>
      </c>
      <c r="R42" s="28" t="str">
        <f t="shared" si="9"/>
        <v/>
      </c>
    </row>
    <row r="43" spans="1:20" ht="14.25" customHeight="1" x14ac:dyDescent="0.2">
      <c r="B43" s="17" t="s">
        <v>44</v>
      </c>
      <c r="C43" s="63">
        <f>+C41-C42</f>
        <v>0</v>
      </c>
      <c r="D43" s="36" t="str">
        <f>IF($C$20&lt;=0," ",C43/$C$20)</f>
        <v xml:space="preserve"> </v>
      </c>
      <c r="E43" s="63">
        <f>E41-E42</f>
        <v>0</v>
      </c>
      <c r="F43" s="36" t="str">
        <f>IF($E$20&lt;=0," ",E43/$E$20)</f>
        <v xml:space="preserve"> </v>
      </c>
      <c r="G43" s="28" t="str">
        <f t="shared" si="5"/>
        <v/>
      </c>
      <c r="H43" s="63">
        <f>H41-H42</f>
        <v>2100</v>
      </c>
      <c r="I43" s="28" t="str">
        <f t="shared" si="6"/>
        <v/>
      </c>
      <c r="J43" s="36">
        <f>IF(H43=0,"",(E43-H43)/ABS(H43))</f>
        <v>-1</v>
      </c>
      <c r="K43" s="63">
        <f>+K39</f>
        <v>0</v>
      </c>
      <c r="L43" s="36" t="str">
        <f>IF($K$20&lt;=0," ",K43/$K$20)</f>
        <v xml:space="preserve"> </v>
      </c>
      <c r="M43" s="63">
        <f>M41-M42</f>
        <v>-3845</v>
      </c>
      <c r="N43" s="36" t="str">
        <f>IF($M$20&lt;=0," ",M43/$M$20)</f>
        <v xml:space="preserve"> </v>
      </c>
      <c r="O43" s="36" t="str">
        <f>IF(K43=0,"",(M43-K43)/ABS(K43)+1)</f>
        <v/>
      </c>
      <c r="P43" s="63">
        <f>P41-P42</f>
        <v>11709.29</v>
      </c>
      <c r="Q43" s="36">
        <f>+P43/$P$20</f>
        <v>0.79655034013605452</v>
      </c>
      <c r="R43" s="36">
        <f t="shared" si="9"/>
        <v>-1.328371745853079</v>
      </c>
    </row>
    <row r="44" spans="1:20" ht="14.25" customHeight="1" x14ac:dyDescent="0.2">
      <c r="G44" s="28" t="str">
        <f t="shared" si="5"/>
        <v/>
      </c>
      <c r="I44" s="28" t="str">
        <f t="shared" si="6"/>
        <v/>
      </c>
      <c r="R44" s="28" t="str">
        <f t="shared" si="9"/>
        <v/>
      </c>
    </row>
    <row r="45" spans="1:20" ht="14.25" customHeight="1" x14ac:dyDescent="0.2">
      <c r="B45" s="3" t="s">
        <v>45</v>
      </c>
      <c r="C45" s="59">
        <f>+C36</f>
        <v>0</v>
      </c>
      <c r="D45" s="28" t="str">
        <f>IF($C$20&lt;=0," ",C45/$C$20)</f>
        <v xml:space="preserve"> </v>
      </c>
      <c r="E45" s="59">
        <f>+E36</f>
        <v>0</v>
      </c>
      <c r="F45" s="28" t="str">
        <f>IF($E$20&lt;=0," ",E45/$E$20)</f>
        <v xml:space="preserve"> </v>
      </c>
      <c r="G45" s="28" t="str">
        <f t="shared" si="5"/>
        <v/>
      </c>
      <c r="H45" s="59">
        <f>+H36</f>
        <v>2100</v>
      </c>
      <c r="I45" s="28" t="str">
        <f t="shared" si="6"/>
        <v/>
      </c>
      <c r="J45" s="28">
        <f>IF(H45=0,"",(E45-H45)/ABS(H45))</f>
        <v>-1</v>
      </c>
      <c r="K45" s="59">
        <f>+K41</f>
        <v>0</v>
      </c>
      <c r="L45" s="28" t="str">
        <f>IF($K$20&lt;=0," ",K45/$K$20)</f>
        <v xml:space="preserve"> </v>
      </c>
      <c r="M45" s="59">
        <f>+M36</f>
        <v>-3795</v>
      </c>
      <c r="N45" s="28" t="str">
        <f>IF($M$20&lt;=0," ",M45/$M$20)</f>
        <v xml:space="preserve"> </v>
      </c>
      <c r="O45" s="28" t="str">
        <f>IF(K45=0,"",(M45-K45)/ABS(K45)+1)</f>
        <v/>
      </c>
      <c r="P45" s="59">
        <f>+P36</f>
        <v>14700</v>
      </c>
      <c r="Q45" s="28">
        <f>+P45/$P$20</f>
        <v>1</v>
      </c>
      <c r="R45" s="28">
        <f t="shared" si="9"/>
        <v>-1.2581632653061225</v>
      </c>
    </row>
    <row r="46" spans="1:20" ht="14.25" customHeight="1" x14ac:dyDescent="0.2">
      <c r="B46" s="3" t="s">
        <v>20</v>
      </c>
      <c r="C46" s="59">
        <v>0</v>
      </c>
      <c r="D46" s="28" t="str">
        <f>IF($C$20&lt;=0," ",C46/$C$20)</f>
        <v xml:space="preserve"> </v>
      </c>
      <c r="E46" s="59">
        <v>0</v>
      </c>
      <c r="F46" s="28" t="str">
        <f>IF($E$20&lt;=0," ",E46/$E$20)</f>
        <v xml:space="preserve"> </v>
      </c>
      <c r="G46" s="28" t="str">
        <f t="shared" si="5"/>
        <v/>
      </c>
      <c r="H46" s="59">
        <v>0</v>
      </c>
      <c r="I46" s="28" t="str">
        <f t="shared" si="6"/>
        <v/>
      </c>
      <c r="J46" s="28" t="str">
        <f>IF(H46=0,"",(E46-H46)/ABS(H46))</f>
        <v/>
      </c>
      <c r="K46" s="59">
        <f>+K42</f>
        <v>0</v>
      </c>
      <c r="L46" s="28" t="str">
        <f>IF($K$20&lt;=0," ",K46/$K$20)</f>
        <v xml:space="preserve"> </v>
      </c>
      <c r="M46" s="59">
        <v>0</v>
      </c>
      <c r="N46" s="28" t="str">
        <f>IF($M$20&lt;=0," ",M46/$M$20)</f>
        <v xml:space="preserve"> </v>
      </c>
      <c r="O46" s="28" t="str">
        <f>IF(K46=0,"",(M46-K46)/ABS(K46)+1)</f>
        <v/>
      </c>
      <c r="P46" s="59">
        <v>0</v>
      </c>
      <c r="Q46" s="28">
        <f>+P46/$P$20</f>
        <v>0</v>
      </c>
      <c r="R46" s="28" t="str">
        <f t="shared" si="9"/>
        <v/>
      </c>
    </row>
    <row r="47" spans="1:20" ht="14.25" customHeight="1" x14ac:dyDescent="0.2">
      <c r="C47" s="60"/>
      <c r="D47" s="60"/>
      <c r="E47" s="60"/>
      <c r="F47" s="60"/>
      <c r="G47" s="60"/>
      <c r="H47" s="60"/>
      <c r="I47" s="60"/>
      <c r="J47" s="60"/>
      <c r="K47" s="60"/>
      <c r="L47" s="60"/>
      <c r="N47" s="60"/>
      <c r="O47" s="60"/>
    </row>
    <row r="48" spans="1:20" ht="14.25" customHeight="1" x14ac:dyDescent="0.2">
      <c r="M48" s="6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Paramet</vt:lpstr>
      <vt:lpstr>COL. CONS.$</vt:lpstr>
      <vt:lpstr>COLOMB$ </vt:lpstr>
      <vt:lpstr>PROY SAT$</vt:lpstr>
      <vt:lpstr>COLOMBIA USD</vt:lpstr>
      <vt:lpstr>EL SALVADOR USD</vt:lpstr>
      <vt:lpstr>VZLA BFS</vt:lpstr>
      <vt:lpstr>VENEZUELA USD</vt:lpstr>
      <vt:lpstr>PANAMA USD</vt:lpstr>
      <vt:lpstr>CONS USD</vt:lpstr>
      <vt:lpstr>ctas</vt:lpstr>
      <vt:lpstr>b2w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Gutierrez Rodriguez</dc:creator>
  <cp:lastModifiedBy>Robert Gutierrez</cp:lastModifiedBy>
  <dcterms:created xsi:type="dcterms:W3CDTF">2022-08-11T00:17:36Z</dcterms:created>
  <dcterms:modified xsi:type="dcterms:W3CDTF">2022-08-11T00:19:38Z</dcterms:modified>
</cp:coreProperties>
</file>