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sicar-my.sharepoint.com/personal/robert_gutierrez_musicar_onmicrosoft_com/Documents/Musicar/Documents/Informes de Junta/2022/Consolidados/"/>
    </mc:Choice>
  </mc:AlternateContent>
  <xr:revisionPtr revIDLastSave="0" documentId="8_{7F939BE6-1A99-4B57-BD17-C3DEE5BF7548}" xr6:coauthVersionLast="47" xr6:coauthVersionMax="47" xr10:uidLastSave="{00000000-0000-0000-0000-000000000000}"/>
  <bookViews>
    <workbookView xWindow="-28920" yWindow="-120" windowWidth="29040" windowHeight="15840" xr2:uid="{DAE1BC23-386C-4F6E-920D-EB38C20FFD94}"/>
  </bookViews>
  <sheets>
    <sheet name="COLOMB$ " sheetId="2" r:id="rId1"/>
    <sheet name="PROY SAT$" sheetId="3" r:id="rId2"/>
    <sheet name="COL. CONS.$" sheetId="4" r:id="rId3"/>
    <sheet name="COLOMBIA USD" sheetId="5" r:id="rId4"/>
    <sheet name="EL SALVADOR USD" sheetId="6" r:id="rId5"/>
    <sheet name="VZLA BFS" sheetId="7" r:id="rId6"/>
    <sheet name="VZLA VIT. bls " sheetId="8" r:id="rId7"/>
    <sheet name="VZLA Otros BLS" sheetId="9" r:id="rId8"/>
    <sheet name="VZLA CONS .BL " sheetId="10" r:id="rId9"/>
    <sheet name="VENEZUELA USD" sheetId="11" r:id="rId10"/>
    <sheet name="PANAMA USD" sheetId="12" r:id="rId11"/>
    <sheet name="CONSOLIDADO" sheetId="13" r:id="rId12"/>
    <sheet name="ctas" sheetId="14" r:id="rId13"/>
  </sheets>
  <externalReferences>
    <externalReference r:id="rId14"/>
  </externalReferences>
  <definedNames>
    <definedName name="__BIA_0237574" localSheetId="12" hidden="1">[1]!Consulta(11,"Presupuesto por Cuenta","Zoom","Cuenta","IN",ctas!$A$187:$A$222,"Periodo","=",201605)</definedName>
    <definedName name="__BIA_4422336" localSheetId="12" hidden="1">"-"</definedName>
    <definedName name="__BIA_4423615" localSheetId="12" hidden="1">"-"</definedName>
    <definedName name="__BIA_8159523" localSheetId="12" hidden="1">[1]!Consulta(4,"Presupuesto por flujo de efectivo","Zoom","Periodo","=",201909,"Cpto Flujo de Efectivo","IN",ctas!$A$544:$A$552)</definedName>
    <definedName name="b2w">'COLOMB$ '!$F$2</definedName>
  </definedNames>
  <calcPr calcId="191029"/>
  <pivotCaches>
    <pivotCache cacheId="1" r:id="rId15"/>
    <pivotCache cacheId="0" r:id="rId16"/>
    <pivotCache cacheId="2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9" i="14" l="1"/>
  <c r="AL25" i="13"/>
  <c r="AL24" i="13"/>
  <c r="AL23" i="13"/>
  <c r="AL16" i="13"/>
  <c r="AF16" i="13"/>
  <c r="W6" i="13"/>
  <c r="P5" i="13"/>
  <c r="Z5" i="13" s="1"/>
  <c r="H5" i="13"/>
  <c r="AC5" i="13" s="1"/>
  <c r="F5" i="13"/>
  <c r="D5" i="13"/>
  <c r="X5" i="13" s="1"/>
  <c r="AA5" i="13" s="1"/>
  <c r="X4" i="13"/>
  <c r="W3" i="13"/>
  <c r="H2" i="13"/>
  <c r="F2" i="13"/>
  <c r="N2" i="13" s="1"/>
  <c r="D2" i="13"/>
  <c r="L2" i="13" s="1"/>
  <c r="S34" i="12"/>
  <c r="R34" i="12"/>
  <c r="K34" i="12"/>
  <c r="J34" i="12"/>
  <c r="G34" i="12"/>
  <c r="N31" i="12"/>
  <c r="S31" i="12" s="1"/>
  <c r="L31" i="12"/>
  <c r="R31" i="12" s="1"/>
  <c r="K31" i="12"/>
  <c r="J31" i="12"/>
  <c r="G31" i="12"/>
  <c r="D28" i="12"/>
  <c r="J28" i="12" s="1"/>
  <c r="R23" i="12"/>
  <c r="P23" i="12"/>
  <c r="N23" i="12"/>
  <c r="O23" i="12" s="1"/>
  <c r="K23" i="12"/>
  <c r="G23" i="12"/>
  <c r="D23" i="12"/>
  <c r="R22" i="12"/>
  <c r="K22" i="12"/>
  <c r="H22" i="12"/>
  <c r="F22" i="12"/>
  <c r="S21" i="12"/>
  <c r="R21" i="12"/>
  <c r="P21" i="12"/>
  <c r="K21" i="12"/>
  <c r="G21" i="12"/>
  <c r="D21" i="12"/>
  <c r="E21" i="12" s="1"/>
  <c r="AF20" i="12"/>
  <c r="AC20" i="12"/>
  <c r="AD20" i="12" s="1"/>
  <c r="AA20" i="12"/>
  <c r="AE20" i="12" s="1"/>
  <c r="S20" i="12"/>
  <c r="R20" i="12"/>
  <c r="P20" i="12"/>
  <c r="K20" i="12"/>
  <c r="G20" i="12"/>
  <c r="D20" i="12"/>
  <c r="AF19" i="12"/>
  <c r="AC19" i="12"/>
  <c r="AD19" i="12" s="1"/>
  <c r="AA19" i="12"/>
  <c r="AE19" i="12" s="1"/>
  <c r="AF18" i="12"/>
  <c r="AD18" i="12"/>
  <c r="AC18" i="12"/>
  <c r="AA18" i="12"/>
  <c r="AE18" i="12" s="1"/>
  <c r="S18" i="12"/>
  <c r="R18" i="12"/>
  <c r="P18" i="12"/>
  <c r="O18" i="12"/>
  <c r="K18" i="12"/>
  <c r="J18" i="12"/>
  <c r="G18" i="12"/>
  <c r="S17" i="12"/>
  <c r="N17" i="12"/>
  <c r="O34" i="12" s="1"/>
  <c r="K17" i="12"/>
  <c r="H17" i="12"/>
  <c r="I28" i="12" s="1"/>
  <c r="G17" i="12"/>
  <c r="D17" i="12"/>
  <c r="E34" i="12" s="1"/>
  <c r="AF16" i="12"/>
  <c r="S12" i="12"/>
  <c r="R12" i="12"/>
  <c r="K12" i="12"/>
  <c r="J12" i="12"/>
  <c r="I12" i="12"/>
  <c r="G12" i="12"/>
  <c r="E12" i="12"/>
  <c r="AF11" i="12"/>
  <c r="AE11" i="12"/>
  <c r="AD11" i="12"/>
  <c r="S11" i="12"/>
  <c r="R11" i="12"/>
  <c r="K11" i="12"/>
  <c r="J11" i="12"/>
  <c r="I11" i="12"/>
  <c r="G11" i="12"/>
  <c r="E11" i="12"/>
  <c r="AF10" i="12"/>
  <c r="AE10" i="12"/>
  <c r="AD10" i="12"/>
  <c r="S10" i="12"/>
  <c r="R10" i="12"/>
  <c r="K10" i="12"/>
  <c r="J10" i="12"/>
  <c r="G10" i="12"/>
  <c r="AF9" i="12"/>
  <c r="AE9" i="12"/>
  <c r="AD9" i="12"/>
  <c r="S9" i="12"/>
  <c r="R9" i="12"/>
  <c r="O9" i="12"/>
  <c r="K9" i="12"/>
  <c r="J9" i="12"/>
  <c r="G9" i="12"/>
  <c r="E9" i="12"/>
  <c r="S8" i="12"/>
  <c r="R8" i="12"/>
  <c r="O8" i="12"/>
  <c r="K8" i="12"/>
  <c r="J8" i="12"/>
  <c r="G8" i="12"/>
  <c r="E8" i="12"/>
  <c r="S7" i="12"/>
  <c r="P7" i="12"/>
  <c r="P17" i="12" s="1"/>
  <c r="L7" i="12"/>
  <c r="R7" i="12" s="1"/>
  <c r="K7" i="12"/>
  <c r="J7" i="12"/>
  <c r="I7" i="12"/>
  <c r="G7" i="12"/>
  <c r="E7" i="12"/>
  <c r="W6" i="12"/>
  <c r="H5" i="12"/>
  <c r="P5" i="12" s="1"/>
  <c r="Z5" i="12" s="1"/>
  <c r="F5" i="12"/>
  <c r="Y5" i="12" s="1"/>
  <c r="AB5" i="12" s="1"/>
  <c r="D5" i="12"/>
  <c r="L5" i="12" s="1"/>
  <c r="D4" i="12"/>
  <c r="B4" i="12"/>
  <c r="A4" i="12"/>
  <c r="W3" i="12"/>
  <c r="B3" i="12"/>
  <c r="A3" i="12"/>
  <c r="H2" i="12"/>
  <c r="F2" i="12"/>
  <c r="N2" i="12" s="1"/>
  <c r="D2" i="12"/>
  <c r="P2" i="12" s="1"/>
  <c r="P42" i="11"/>
  <c r="N42" i="11"/>
  <c r="H42" i="11"/>
  <c r="F42" i="11"/>
  <c r="D42" i="11"/>
  <c r="N41" i="11"/>
  <c r="H39" i="11"/>
  <c r="F39" i="11"/>
  <c r="N37" i="11"/>
  <c r="L37" i="11"/>
  <c r="H37" i="11"/>
  <c r="F37" i="11"/>
  <c r="D37" i="11"/>
  <c r="H36" i="11"/>
  <c r="F36" i="11"/>
  <c r="D36" i="11"/>
  <c r="F35" i="11"/>
  <c r="F34" i="11"/>
  <c r="K34" i="11" s="1"/>
  <c r="P31" i="11"/>
  <c r="H29" i="11"/>
  <c r="U24" i="11" s="1"/>
  <c r="D29" i="11"/>
  <c r="J29" i="11" s="1"/>
  <c r="F28" i="11"/>
  <c r="K28" i="11" s="1"/>
  <c r="D28" i="11"/>
  <c r="P24" i="11"/>
  <c r="AF21" i="11"/>
  <c r="Z21" i="11"/>
  <c r="P21" i="11"/>
  <c r="H21" i="11"/>
  <c r="D20" i="11"/>
  <c r="H18" i="11"/>
  <c r="U9" i="11" s="1"/>
  <c r="AB17" i="11"/>
  <c r="AF16" i="11"/>
  <c r="C16" i="11"/>
  <c r="C16" i="12" s="1"/>
  <c r="C16" i="13" s="1"/>
  <c r="AB14" i="11"/>
  <c r="Y14" i="11"/>
  <c r="N14" i="11"/>
  <c r="L13" i="11"/>
  <c r="D13" i="11"/>
  <c r="X12" i="11"/>
  <c r="L12" i="11"/>
  <c r="D12" i="11"/>
  <c r="C12" i="11"/>
  <c r="C12" i="12" s="1"/>
  <c r="C12" i="13" s="1"/>
  <c r="C11" i="11"/>
  <c r="C11" i="12" s="1"/>
  <c r="C11" i="13" s="1"/>
  <c r="Z10" i="11"/>
  <c r="J10" i="11"/>
  <c r="D10" i="11"/>
  <c r="C10" i="11"/>
  <c r="C10" i="12" s="1"/>
  <c r="C10" i="13" s="1"/>
  <c r="Z9" i="11"/>
  <c r="H9" i="11"/>
  <c r="F9" i="11"/>
  <c r="C9" i="11"/>
  <c r="C9" i="12" s="1"/>
  <c r="C9" i="13" s="1"/>
  <c r="H8" i="11"/>
  <c r="C8" i="11"/>
  <c r="C8" i="12" s="1"/>
  <c r="C8" i="13" s="1"/>
  <c r="Y7" i="11"/>
  <c r="N7" i="11"/>
  <c r="F7" i="11"/>
  <c r="W6" i="11"/>
  <c r="X4" i="11"/>
  <c r="D4" i="11"/>
  <c r="W3" i="11"/>
  <c r="H2" i="11"/>
  <c r="F2" i="11"/>
  <c r="N2" i="11" s="1"/>
  <c r="D2" i="11"/>
  <c r="P2" i="11" s="1"/>
  <c r="U34" i="10"/>
  <c r="R34" i="10"/>
  <c r="P34" i="10"/>
  <c r="P34" i="11" s="1"/>
  <c r="N34" i="10"/>
  <c r="S34" i="10" s="1"/>
  <c r="L34" i="10"/>
  <c r="L34" i="11" s="1"/>
  <c r="J34" i="10"/>
  <c r="H34" i="10"/>
  <c r="H34" i="11" s="1"/>
  <c r="F34" i="10"/>
  <c r="K34" i="10" s="1"/>
  <c r="D34" i="10"/>
  <c r="D34" i="11" s="1"/>
  <c r="U33" i="10"/>
  <c r="N33" i="10"/>
  <c r="N33" i="11" s="1"/>
  <c r="F33" i="10"/>
  <c r="F33" i="11" s="1"/>
  <c r="P31" i="10"/>
  <c r="H31" i="10"/>
  <c r="H31" i="11" s="1"/>
  <c r="F31" i="10"/>
  <c r="F31" i="11" s="1"/>
  <c r="K31" i="11" s="1"/>
  <c r="V29" i="10"/>
  <c r="N29" i="10"/>
  <c r="L29" i="10"/>
  <c r="L29" i="11" s="1"/>
  <c r="R29" i="11" s="1"/>
  <c r="J29" i="10"/>
  <c r="H29" i="10"/>
  <c r="F29" i="10"/>
  <c r="J28" i="10"/>
  <c r="H28" i="10"/>
  <c r="H28" i="11" s="1"/>
  <c r="U23" i="11" s="1"/>
  <c r="F28" i="10"/>
  <c r="T24" i="10"/>
  <c r="P24" i="10"/>
  <c r="L24" i="10"/>
  <c r="L24" i="11" s="1"/>
  <c r="R24" i="11" s="1"/>
  <c r="H24" i="10"/>
  <c r="H24" i="11" s="1"/>
  <c r="U19" i="11" s="1"/>
  <c r="F24" i="10"/>
  <c r="K24" i="10" s="1"/>
  <c r="D24" i="10"/>
  <c r="D24" i="11" s="1"/>
  <c r="J24" i="11" s="1"/>
  <c r="H23" i="10"/>
  <c r="H25" i="10" s="1"/>
  <c r="F23" i="10"/>
  <c r="K23" i="10" s="1"/>
  <c r="D23" i="10"/>
  <c r="J23" i="10" s="1"/>
  <c r="AF21" i="10"/>
  <c r="AA21" i="10"/>
  <c r="Z21" i="10"/>
  <c r="Y21" i="10"/>
  <c r="Y21" i="11" s="1"/>
  <c r="X21" i="10"/>
  <c r="X21" i="11" s="1"/>
  <c r="P21" i="10"/>
  <c r="L21" i="10"/>
  <c r="L21" i="11" s="1"/>
  <c r="K21" i="10"/>
  <c r="H21" i="10"/>
  <c r="F21" i="10"/>
  <c r="F21" i="11" s="1"/>
  <c r="D21" i="10"/>
  <c r="D21" i="11" s="1"/>
  <c r="AF20" i="10"/>
  <c r="AB20" i="10"/>
  <c r="AB20" i="11" s="1"/>
  <c r="AF20" i="11" s="1"/>
  <c r="Z20" i="10"/>
  <c r="Z20" i="11" s="1"/>
  <c r="Y20" i="10"/>
  <c r="Y20" i="11" s="1"/>
  <c r="X20" i="10"/>
  <c r="X20" i="11" s="1"/>
  <c r="L20" i="10"/>
  <c r="L20" i="11" s="1"/>
  <c r="H20" i="10"/>
  <c r="F20" i="10"/>
  <c r="D20" i="10"/>
  <c r="AC19" i="10"/>
  <c r="AC19" i="11" s="1"/>
  <c r="AB19" i="10"/>
  <c r="Z19" i="10"/>
  <c r="Z19" i="11" s="1"/>
  <c r="Y19" i="10"/>
  <c r="Y19" i="11" s="1"/>
  <c r="X19" i="10"/>
  <c r="X19" i="11" s="1"/>
  <c r="AF18" i="10"/>
  <c r="AC18" i="10"/>
  <c r="AC18" i="11" s="1"/>
  <c r="AB18" i="10"/>
  <c r="AB18" i="11" s="1"/>
  <c r="AF18" i="11" s="1"/>
  <c r="Z18" i="10"/>
  <c r="Z18" i="11" s="1"/>
  <c r="Y18" i="10"/>
  <c r="Y18" i="11" s="1"/>
  <c r="X18" i="10"/>
  <c r="X18" i="11" s="1"/>
  <c r="N18" i="10"/>
  <c r="N18" i="11" s="1"/>
  <c r="S18" i="11" s="1"/>
  <c r="L18" i="10"/>
  <c r="L18" i="11" s="1"/>
  <c r="H18" i="10"/>
  <c r="F18" i="10"/>
  <c r="F18" i="11" s="1"/>
  <c r="K18" i="11" s="1"/>
  <c r="D18" i="10"/>
  <c r="D18" i="11" s="1"/>
  <c r="AB17" i="10"/>
  <c r="AF16" i="10"/>
  <c r="L16" i="10"/>
  <c r="L16" i="11" s="1"/>
  <c r="H16" i="10"/>
  <c r="H16" i="11" s="1"/>
  <c r="F16" i="10"/>
  <c r="F16" i="11" s="1"/>
  <c r="D16" i="10"/>
  <c r="D16" i="11" s="1"/>
  <c r="P14" i="10"/>
  <c r="P14" i="11" s="1"/>
  <c r="N14" i="10"/>
  <c r="L14" i="10"/>
  <c r="L14" i="11" s="1"/>
  <c r="H14" i="10"/>
  <c r="H14" i="11" s="1"/>
  <c r="F14" i="10"/>
  <c r="F14" i="11" s="1"/>
  <c r="K14" i="11" s="1"/>
  <c r="D14" i="10"/>
  <c r="D14" i="11" s="1"/>
  <c r="AB13" i="10"/>
  <c r="P13" i="10"/>
  <c r="P13" i="11" s="1"/>
  <c r="L13" i="10"/>
  <c r="H13" i="10"/>
  <c r="H13" i="11" s="1"/>
  <c r="F13" i="10"/>
  <c r="F13" i="11" s="1"/>
  <c r="K13" i="11" s="1"/>
  <c r="D13" i="10"/>
  <c r="AE12" i="10"/>
  <c r="AB12" i="10"/>
  <c r="AA12" i="10"/>
  <c r="AA12" i="11" s="1"/>
  <c r="AE12" i="11" s="1"/>
  <c r="Z12" i="10"/>
  <c r="Z12" i="11" s="1"/>
  <c r="Y12" i="10"/>
  <c r="Y12" i="11" s="1"/>
  <c r="X12" i="10"/>
  <c r="P12" i="10"/>
  <c r="P12" i="11" s="1"/>
  <c r="L12" i="10"/>
  <c r="J12" i="10"/>
  <c r="H12" i="10"/>
  <c r="H12" i="11" s="1"/>
  <c r="F12" i="10"/>
  <c r="F12" i="11" s="1"/>
  <c r="D12" i="10"/>
  <c r="AB11" i="10"/>
  <c r="Z11" i="10"/>
  <c r="Z11" i="11" s="1"/>
  <c r="Y11" i="10"/>
  <c r="Y11" i="11" s="1"/>
  <c r="X11" i="10"/>
  <c r="X11" i="11" s="1"/>
  <c r="P11" i="10"/>
  <c r="P11" i="11" s="1"/>
  <c r="N11" i="10"/>
  <c r="N11" i="11" s="1"/>
  <c r="S11" i="11" s="1"/>
  <c r="L11" i="10"/>
  <c r="H11" i="10"/>
  <c r="H11" i="11" s="1"/>
  <c r="F11" i="10"/>
  <c r="D11" i="10"/>
  <c r="J11" i="10" s="1"/>
  <c r="AB10" i="10"/>
  <c r="AB10" i="11" s="1"/>
  <c r="AF10" i="11" s="1"/>
  <c r="Z10" i="10"/>
  <c r="Y10" i="10"/>
  <c r="Y10" i="11" s="1"/>
  <c r="X10" i="10"/>
  <c r="P10" i="10"/>
  <c r="P10" i="11" s="1"/>
  <c r="L10" i="10"/>
  <c r="L10" i="11" s="1"/>
  <c r="R10" i="11" s="1"/>
  <c r="H10" i="10"/>
  <c r="H10" i="11" s="1"/>
  <c r="F10" i="10"/>
  <c r="D10" i="10"/>
  <c r="AB9" i="10"/>
  <c r="Z9" i="10"/>
  <c r="Y9" i="10"/>
  <c r="Y9" i="11" s="1"/>
  <c r="X9" i="10"/>
  <c r="X9" i="11" s="1"/>
  <c r="R9" i="10"/>
  <c r="P9" i="10"/>
  <c r="L9" i="10"/>
  <c r="L9" i="11" s="1"/>
  <c r="R9" i="11" s="1"/>
  <c r="J9" i="10"/>
  <c r="H9" i="10"/>
  <c r="F9" i="10"/>
  <c r="D9" i="10"/>
  <c r="D9" i="11" s="1"/>
  <c r="J9" i="11" s="1"/>
  <c r="AE8" i="10"/>
  <c r="AC8" i="10"/>
  <c r="AD8" i="10" s="1"/>
  <c r="AB8" i="10"/>
  <c r="AA8" i="10"/>
  <c r="Z8" i="10"/>
  <c r="Z8" i="11" s="1"/>
  <c r="Y8" i="10"/>
  <c r="Y8" i="11" s="1"/>
  <c r="X8" i="10"/>
  <c r="R8" i="10"/>
  <c r="P8" i="10"/>
  <c r="P8" i="11" s="1"/>
  <c r="N8" i="10"/>
  <c r="N8" i="11" s="1"/>
  <c r="S8" i="11" s="1"/>
  <c r="L8" i="10"/>
  <c r="L8" i="11" s="1"/>
  <c r="R8" i="11" s="1"/>
  <c r="J8" i="10"/>
  <c r="H8" i="10"/>
  <c r="F8" i="10"/>
  <c r="F8" i="11" s="1"/>
  <c r="K8" i="11" s="1"/>
  <c r="D8" i="10"/>
  <c r="D8" i="11" s="1"/>
  <c r="J8" i="11" s="1"/>
  <c r="AF7" i="10"/>
  <c r="AC7" i="10"/>
  <c r="AB7" i="10"/>
  <c r="AB7" i="11" s="1"/>
  <c r="AA7" i="10"/>
  <c r="Z7" i="10"/>
  <c r="Y7" i="10"/>
  <c r="X7" i="10"/>
  <c r="X7" i="11" s="1"/>
  <c r="P7" i="10"/>
  <c r="S7" i="10" s="1"/>
  <c r="N7" i="10"/>
  <c r="L7" i="10"/>
  <c r="R7" i="10" s="1"/>
  <c r="H7" i="10"/>
  <c r="F7" i="10"/>
  <c r="D7" i="10"/>
  <c r="J7" i="10" s="1"/>
  <c r="C7" i="10"/>
  <c r="C7" i="11" s="1"/>
  <c r="C7" i="12" s="1"/>
  <c r="C7" i="13" s="1"/>
  <c r="AA6" i="10"/>
  <c r="W6" i="10"/>
  <c r="Y5" i="10"/>
  <c r="AB5" i="10" s="1"/>
  <c r="F5" i="10"/>
  <c r="X4" i="10"/>
  <c r="D4" i="10"/>
  <c r="W3" i="10"/>
  <c r="H2" i="10"/>
  <c r="F2" i="10"/>
  <c r="N2" i="10" s="1"/>
  <c r="D2" i="10"/>
  <c r="P2" i="10" s="1"/>
  <c r="S34" i="9"/>
  <c r="R34" i="9"/>
  <c r="K34" i="9"/>
  <c r="J34" i="9"/>
  <c r="S33" i="9"/>
  <c r="F33" i="9"/>
  <c r="F41" i="11" s="1"/>
  <c r="R31" i="9"/>
  <c r="N31" i="9"/>
  <c r="K31" i="9"/>
  <c r="J31" i="9"/>
  <c r="F30" i="9"/>
  <c r="S29" i="9"/>
  <c r="R29" i="9"/>
  <c r="K29" i="9"/>
  <c r="J29" i="9"/>
  <c r="R28" i="9"/>
  <c r="P28" i="9"/>
  <c r="N28" i="9"/>
  <c r="S28" i="9" s="1"/>
  <c r="K28" i="9"/>
  <c r="H25" i="9"/>
  <c r="F25" i="9"/>
  <c r="D25" i="9"/>
  <c r="R24" i="9"/>
  <c r="N24" i="9"/>
  <c r="K24" i="9"/>
  <c r="J24" i="9"/>
  <c r="P23" i="9"/>
  <c r="P25" i="9" s="1"/>
  <c r="N23" i="9"/>
  <c r="L23" i="9"/>
  <c r="L25" i="9" s="1"/>
  <c r="L33" i="9" s="1"/>
  <c r="R33" i="9" s="1"/>
  <c r="K23" i="9"/>
  <c r="K25" i="9" s="1"/>
  <c r="J23" i="9"/>
  <c r="P22" i="9"/>
  <c r="Q22" i="9" s="1"/>
  <c r="H22" i="9"/>
  <c r="H26" i="9" s="1"/>
  <c r="R21" i="9"/>
  <c r="N21" i="9"/>
  <c r="K21" i="9"/>
  <c r="J21" i="9"/>
  <c r="R20" i="9"/>
  <c r="N20" i="9"/>
  <c r="K20" i="9"/>
  <c r="K33" i="9" s="1"/>
  <c r="J20" i="9"/>
  <c r="J33" i="9" s="1"/>
  <c r="H19" i="9"/>
  <c r="H27" i="9" s="1"/>
  <c r="H30" i="9" s="1"/>
  <c r="S18" i="9"/>
  <c r="R18" i="9"/>
  <c r="N18" i="9"/>
  <c r="K18" i="9"/>
  <c r="J18" i="9"/>
  <c r="R17" i="9"/>
  <c r="P17" i="9"/>
  <c r="Q7" i="9" s="1"/>
  <c r="M17" i="9"/>
  <c r="L17" i="9"/>
  <c r="H17" i="9"/>
  <c r="I7" i="9" s="1"/>
  <c r="F17" i="9"/>
  <c r="G11" i="9" s="1"/>
  <c r="D17" i="9"/>
  <c r="E34" i="9" s="1"/>
  <c r="N16" i="9"/>
  <c r="N16" i="10" s="1"/>
  <c r="N16" i="11" s="1"/>
  <c r="C16" i="9"/>
  <c r="C15" i="9"/>
  <c r="C14" i="9"/>
  <c r="N13" i="9"/>
  <c r="N13" i="10" s="1"/>
  <c r="N13" i="11" s="1"/>
  <c r="C13" i="9"/>
  <c r="Q12" i="9"/>
  <c r="N12" i="9"/>
  <c r="S12" i="9" s="1"/>
  <c r="M12" i="9"/>
  <c r="K12" i="9"/>
  <c r="J12" i="9"/>
  <c r="E12" i="9"/>
  <c r="C12" i="9"/>
  <c r="R11" i="9"/>
  <c r="N11" i="9"/>
  <c r="S11" i="9" s="1"/>
  <c r="M11" i="9"/>
  <c r="K11" i="9"/>
  <c r="J11" i="9"/>
  <c r="E11" i="9"/>
  <c r="C11" i="9"/>
  <c r="R10" i="9"/>
  <c r="N10" i="9"/>
  <c r="N10" i="10" s="1"/>
  <c r="M10" i="9"/>
  <c r="K10" i="9"/>
  <c r="J10" i="9"/>
  <c r="I10" i="9"/>
  <c r="C10" i="9"/>
  <c r="S9" i="9"/>
  <c r="R9" i="9"/>
  <c r="Q9" i="9"/>
  <c r="N9" i="9"/>
  <c r="N9" i="10" s="1"/>
  <c r="N9" i="11" s="1"/>
  <c r="M9" i="9"/>
  <c r="K9" i="9"/>
  <c r="J9" i="9"/>
  <c r="I9" i="9"/>
  <c r="G9" i="9"/>
  <c r="C9" i="9"/>
  <c r="R8" i="9"/>
  <c r="Q8" i="9"/>
  <c r="N8" i="9"/>
  <c r="M8" i="9"/>
  <c r="K8" i="9"/>
  <c r="J8" i="9"/>
  <c r="G8" i="9"/>
  <c r="E8" i="9"/>
  <c r="C8" i="9"/>
  <c r="S7" i="9"/>
  <c r="R7" i="9"/>
  <c r="M7" i="9"/>
  <c r="K7" i="9"/>
  <c r="J7" i="9"/>
  <c r="G7" i="9"/>
  <c r="C7" i="9"/>
  <c r="H5" i="9"/>
  <c r="P5" i="9" s="1"/>
  <c r="F5" i="9"/>
  <c r="N5" i="9" s="1"/>
  <c r="D5" i="9"/>
  <c r="L5" i="9" s="1"/>
  <c r="D4" i="9"/>
  <c r="H2" i="9"/>
  <c r="F2" i="9"/>
  <c r="N2" i="9" s="1"/>
  <c r="D2" i="9"/>
  <c r="P2" i="9" s="1"/>
  <c r="S33" i="8"/>
  <c r="R33" i="8"/>
  <c r="O33" i="8"/>
  <c r="K33" i="8"/>
  <c r="J33" i="8"/>
  <c r="G33" i="8"/>
  <c r="S32" i="8"/>
  <c r="O32" i="8"/>
  <c r="K32" i="8"/>
  <c r="G32" i="8"/>
  <c r="D32" i="8"/>
  <c r="J32" i="8" s="1"/>
  <c r="S31" i="8"/>
  <c r="O31" i="8"/>
  <c r="K31" i="8"/>
  <c r="G31" i="8"/>
  <c r="P30" i="8"/>
  <c r="P39" i="11" s="1"/>
  <c r="K30" i="8"/>
  <c r="G30" i="8"/>
  <c r="S29" i="8"/>
  <c r="O29" i="8"/>
  <c r="K29" i="8"/>
  <c r="G29" i="8"/>
  <c r="S28" i="8"/>
  <c r="R28" i="8"/>
  <c r="P28" i="8"/>
  <c r="O28" i="8"/>
  <c r="K28" i="8"/>
  <c r="J28" i="8"/>
  <c r="G28" i="8"/>
  <c r="S27" i="8"/>
  <c r="R27" i="8"/>
  <c r="P27" i="8"/>
  <c r="O27" i="8"/>
  <c r="K27" i="8"/>
  <c r="J27" i="8"/>
  <c r="G27" i="8"/>
  <c r="S26" i="8"/>
  <c r="O26" i="8"/>
  <c r="K26" i="8"/>
  <c r="G26" i="8"/>
  <c r="S25" i="8"/>
  <c r="O25" i="8"/>
  <c r="K25" i="8"/>
  <c r="J25" i="8"/>
  <c r="H25" i="8"/>
  <c r="G25" i="8"/>
  <c r="S24" i="8"/>
  <c r="R24" i="8"/>
  <c r="O24" i="8"/>
  <c r="K24" i="8"/>
  <c r="J24" i="8"/>
  <c r="H24" i="8"/>
  <c r="G24" i="8"/>
  <c r="S23" i="8"/>
  <c r="R23" i="8"/>
  <c r="O23" i="8"/>
  <c r="K23" i="8"/>
  <c r="J23" i="8"/>
  <c r="G23" i="8"/>
  <c r="S22" i="8"/>
  <c r="R22" i="8"/>
  <c r="O22" i="8"/>
  <c r="K22" i="8"/>
  <c r="J22" i="8"/>
  <c r="G22" i="8"/>
  <c r="S21" i="8"/>
  <c r="O21" i="8"/>
  <c r="L21" i="8"/>
  <c r="R21" i="8" s="1"/>
  <c r="K21" i="8"/>
  <c r="J21" i="8"/>
  <c r="H21" i="8"/>
  <c r="G21" i="8"/>
  <c r="S20" i="8"/>
  <c r="R20" i="8"/>
  <c r="O20" i="8"/>
  <c r="K20" i="8"/>
  <c r="J20" i="8"/>
  <c r="I20" i="8"/>
  <c r="G20" i="8"/>
  <c r="S19" i="8"/>
  <c r="R19" i="8"/>
  <c r="P19" i="8"/>
  <c r="O19" i="8"/>
  <c r="K19" i="8"/>
  <c r="J19" i="8"/>
  <c r="I19" i="8"/>
  <c r="G19" i="8"/>
  <c r="S18" i="8"/>
  <c r="O18" i="8"/>
  <c r="L18" i="8"/>
  <c r="R18" i="8" s="1"/>
  <c r="K18" i="8"/>
  <c r="G18" i="8"/>
  <c r="S17" i="8"/>
  <c r="R17" i="8"/>
  <c r="P17" i="8"/>
  <c r="P18" i="10" s="1"/>
  <c r="P18" i="11" s="1"/>
  <c r="O17" i="8"/>
  <c r="K17" i="8"/>
  <c r="J17" i="8"/>
  <c r="G17" i="8"/>
  <c r="S16" i="8"/>
  <c r="O16" i="8"/>
  <c r="M16" i="8"/>
  <c r="L16" i="8"/>
  <c r="M20" i="8" s="1"/>
  <c r="K16" i="8"/>
  <c r="H16" i="8"/>
  <c r="I15" i="8" s="1"/>
  <c r="G16" i="8"/>
  <c r="D16" i="8"/>
  <c r="P15" i="8"/>
  <c r="C15" i="8"/>
  <c r="C14" i="8"/>
  <c r="C13" i="8"/>
  <c r="S12" i="8"/>
  <c r="O12" i="8"/>
  <c r="M12" i="8"/>
  <c r="K12" i="8"/>
  <c r="J12" i="8"/>
  <c r="I12" i="8"/>
  <c r="G12" i="8"/>
  <c r="C12" i="8"/>
  <c r="S11" i="8"/>
  <c r="R11" i="8"/>
  <c r="O11" i="8"/>
  <c r="M11" i="8"/>
  <c r="K11" i="8"/>
  <c r="J11" i="8"/>
  <c r="G11" i="8"/>
  <c r="C11" i="8"/>
  <c r="S10" i="8"/>
  <c r="R10" i="8"/>
  <c r="O10" i="8"/>
  <c r="M10" i="8"/>
  <c r="K10" i="8"/>
  <c r="J10" i="8"/>
  <c r="G10" i="8"/>
  <c r="C10" i="8"/>
  <c r="S9" i="8"/>
  <c r="R9" i="8"/>
  <c r="O9" i="8"/>
  <c r="M9" i="8"/>
  <c r="K9" i="8"/>
  <c r="J9" i="8"/>
  <c r="I9" i="8"/>
  <c r="G9" i="8"/>
  <c r="E9" i="8"/>
  <c r="C9" i="8"/>
  <c r="S8" i="8"/>
  <c r="R8" i="8"/>
  <c r="O8" i="8"/>
  <c r="M8" i="8"/>
  <c r="K8" i="8"/>
  <c r="J8" i="8"/>
  <c r="G8" i="8"/>
  <c r="C8" i="8"/>
  <c r="S7" i="8"/>
  <c r="R7" i="8"/>
  <c r="O7" i="8"/>
  <c r="M7" i="8"/>
  <c r="K7" i="8"/>
  <c r="J7" i="8"/>
  <c r="I7" i="8"/>
  <c r="G7" i="8"/>
  <c r="C7" i="8"/>
  <c r="H5" i="8"/>
  <c r="P5" i="8" s="1"/>
  <c r="F5" i="8"/>
  <c r="N5" i="8" s="1"/>
  <c r="D5" i="8"/>
  <c r="L5" i="8" s="1"/>
  <c r="P2" i="8"/>
  <c r="H2" i="8"/>
  <c r="F2" i="8"/>
  <c r="N2" i="8" s="1"/>
  <c r="D2" i="8"/>
  <c r="L2" i="8" s="1"/>
  <c r="S34" i="7"/>
  <c r="R34" i="7"/>
  <c r="G34" i="7"/>
  <c r="O33" i="7"/>
  <c r="G33" i="7"/>
  <c r="O32" i="7"/>
  <c r="G32" i="7"/>
  <c r="S31" i="7"/>
  <c r="O31" i="7"/>
  <c r="O39" i="11" s="1"/>
  <c r="L31" i="7"/>
  <c r="K31" i="7"/>
  <c r="J31" i="7"/>
  <c r="G31" i="7"/>
  <c r="O30" i="7"/>
  <c r="G30" i="7"/>
  <c r="S29" i="7"/>
  <c r="R29" i="7"/>
  <c r="O29" i="7"/>
  <c r="K29" i="7"/>
  <c r="J29" i="7"/>
  <c r="G29" i="7"/>
  <c r="S28" i="7"/>
  <c r="O28" i="7"/>
  <c r="L28" i="7"/>
  <c r="K28" i="7"/>
  <c r="J28" i="7"/>
  <c r="G28" i="7"/>
  <c r="O27" i="7"/>
  <c r="G27" i="7"/>
  <c r="O26" i="7"/>
  <c r="L26" i="7"/>
  <c r="M26" i="7" s="1"/>
  <c r="G26" i="7"/>
  <c r="R25" i="7"/>
  <c r="P25" i="7"/>
  <c r="O25" i="7"/>
  <c r="L25" i="7"/>
  <c r="K25" i="7"/>
  <c r="H25" i="7"/>
  <c r="G25" i="7"/>
  <c r="D25" i="7"/>
  <c r="E25" i="7" s="1"/>
  <c r="S24" i="7"/>
  <c r="R24" i="7"/>
  <c r="Q24" i="7"/>
  <c r="O24" i="7"/>
  <c r="K24" i="7"/>
  <c r="J24" i="7"/>
  <c r="G24" i="7"/>
  <c r="S23" i="7"/>
  <c r="R23" i="7"/>
  <c r="O23" i="7"/>
  <c r="K23" i="7"/>
  <c r="J23" i="7"/>
  <c r="G23" i="7"/>
  <c r="P22" i="7"/>
  <c r="O22" i="7"/>
  <c r="L22" i="7"/>
  <c r="R22" i="7" s="1"/>
  <c r="H22" i="7"/>
  <c r="H26" i="7" s="1"/>
  <c r="K26" i="7" s="1"/>
  <c r="G22" i="7"/>
  <c r="D22" i="7"/>
  <c r="AF21" i="7"/>
  <c r="AE21" i="7"/>
  <c r="AC21" i="7"/>
  <c r="S21" i="7"/>
  <c r="R21" i="7"/>
  <c r="O21" i="7"/>
  <c r="K21" i="7"/>
  <c r="J21" i="7"/>
  <c r="G21" i="7"/>
  <c r="AF20" i="7"/>
  <c r="AC20" i="7"/>
  <c r="AA20" i="7"/>
  <c r="S20" i="7"/>
  <c r="R20" i="7"/>
  <c r="Q20" i="7"/>
  <c r="O20" i="7"/>
  <c r="K20" i="7"/>
  <c r="J20" i="7"/>
  <c r="G20" i="7"/>
  <c r="AF19" i="7"/>
  <c r="AC19" i="7"/>
  <c r="AA19" i="7"/>
  <c r="P19" i="7"/>
  <c r="O19" i="7"/>
  <c r="G19" i="7"/>
  <c r="AF18" i="7"/>
  <c r="AD18" i="7"/>
  <c r="AC18" i="7"/>
  <c r="AA18" i="7"/>
  <c r="AA18" i="10" s="1"/>
  <c r="S18" i="7"/>
  <c r="O18" i="7"/>
  <c r="L18" i="7"/>
  <c r="R18" i="7" s="1"/>
  <c r="K18" i="7"/>
  <c r="J18" i="7"/>
  <c r="G18" i="7"/>
  <c r="P17" i="7"/>
  <c r="O17" i="7"/>
  <c r="L17" i="7"/>
  <c r="M28" i="7" s="1"/>
  <c r="H17" i="7"/>
  <c r="I24" i="7" s="1"/>
  <c r="G17" i="7"/>
  <c r="D17" i="7"/>
  <c r="E12" i="7" s="1"/>
  <c r="AF16" i="7"/>
  <c r="C16" i="7"/>
  <c r="C14" i="7"/>
  <c r="Z13" i="7"/>
  <c r="X13" i="7"/>
  <c r="X14" i="7" s="1"/>
  <c r="C13" i="7"/>
  <c r="AE12" i="7"/>
  <c r="AD12" i="7"/>
  <c r="AC12" i="7"/>
  <c r="AF12" i="7" s="1"/>
  <c r="AA12" i="7"/>
  <c r="S12" i="7"/>
  <c r="Q12" i="7"/>
  <c r="O12" i="7"/>
  <c r="K12" i="7"/>
  <c r="J12" i="7"/>
  <c r="G12" i="7"/>
  <c r="C12" i="7"/>
  <c r="AC11" i="7"/>
  <c r="AA11" i="7"/>
  <c r="S11" i="7"/>
  <c r="R11" i="7"/>
  <c r="O11" i="7"/>
  <c r="K11" i="7"/>
  <c r="J11" i="7"/>
  <c r="G11" i="7"/>
  <c r="C11" i="7"/>
  <c r="AF10" i="7"/>
  <c r="AC10" i="7"/>
  <c r="AC10" i="10" s="1"/>
  <c r="AC10" i="11" s="1"/>
  <c r="AA10" i="7"/>
  <c r="AE10" i="7" s="1"/>
  <c r="S10" i="7"/>
  <c r="R10" i="7"/>
  <c r="Q10" i="7"/>
  <c r="O10" i="7"/>
  <c r="K10" i="7"/>
  <c r="J10" i="7"/>
  <c r="G10" i="7"/>
  <c r="E10" i="7"/>
  <c r="C10" i="7"/>
  <c r="AF9" i="7"/>
  <c r="AC9" i="7"/>
  <c r="AA9" i="7"/>
  <c r="AE9" i="7" s="1"/>
  <c r="S9" i="7"/>
  <c r="R9" i="7"/>
  <c r="Q9" i="7"/>
  <c r="O9" i="7"/>
  <c r="K9" i="7"/>
  <c r="J9" i="7"/>
  <c r="G9" i="7"/>
  <c r="E9" i="7"/>
  <c r="C9" i="7"/>
  <c r="AC8" i="7"/>
  <c r="AF8" i="7" s="1"/>
  <c r="AA8" i="7"/>
  <c r="AE8" i="7" s="1"/>
  <c r="S8" i="7"/>
  <c r="R8" i="7"/>
  <c r="O8" i="7"/>
  <c r="K8" i="7"/>
  <c r="J8" i="7"/>
  <c r="G8" i="7"/>
  <c r="E8" i="7"/>
  <c r="C8" i="7"/>
  <c r="AF7" i="7"/>
  <c r="AE7" i="7"/>
  <c r="AD7" i="7"/>
  <c r="S7" i="7"/>
  <c r="R7" i="7"/>
  <c r="O7" i="7"/>
  <c r="M7" i="7"/>
  <c r="K7" i="7"/>
  <c r="J7" i="7"/>
  <c r="G7" i="7"/>
  <c r="E7" i="7"/>
  <c r="C7" i="7"/>
  <c r="W6" i="7"/>
  <c r="X4" i="7"/>
  <c r="D4" i="7"/>
  <c r="W3" i="7"/>
  <c r="P2" i="7"/>
  <c r="H2" i="7"/>
  <c r="F2" i="7"/>
  <c r="N2" i="7" s="1"/>
  <c r="D2" i="7"/>
  <c r="AF21" i="6"/>
  <c r="AC21" i="6"/>
  <c r="AA21" i="6"/>
  <c r="AE21" i="6" s="1"/>
  <c r="AF20" i="6"/>
  <c r="AC20" i="6"/>
  <c r="AA20" i="6"/>
  <c r="AE20" i="6" s="1"/>
  <c r="AC19" i="6"/>
  <c r="AF19" i="6" s="1"/>
  <c r="AA19" i="6"/>
  <c r="AF18" i="6"/>
  <c r="AC18" i="6"/>
  <c r="AA18" i="6"/>
  <c r="AE18" i="6" s="1"/>
  <c r="AF16" i="6"/>
  <c r="AA16" i="6"/>
  <c r="P16" i="6"/>
  <c r="N16" i="6"/>
  <c r="C16" i="6"/>
  <c r="P15" i="6"/>
  <c r="N15" i="6"/>
  <c r="C15" i="6"/>
  <c r="C15" i="10" s="1"/>
  <c r="C15" i="11" s="1"/>
  <c r="C15" i="12" s="1"/>
  <c r="C15" i="13" s="1"/>
  <c r="R14" i="6"/>
  <c r="P14" i="6"/>
  <c r="N14" i="6"/>
  <c r="S14" i="6" s="1"/>
  <c r="L14" i="6"/>
  <c r="K14" i="6"/>
  <c r="J14" i="6"/>
  <c r="C14" i="6"/>
  <c r="C14" i="10" s="1"/>
  <c r="C14" i="11" s="1"/>
  <c r="C14" i="12" s="1"/>
  <c r="C14" i="13" s="1"/>
  <c r="Z13" i="6"/>
  <c r="Z14" i="6" s="1"/>
  <c r="Z17" i="6" s="1"/>
  <c r="Z22" i="6" s="1"/>
  <c r="Z26" i="6" s="1"/>
  <c r="X13" i="6"/>
  <c r="X14" i="6" s="1"/>
  <c r="X17" i="6" s="1"/>
  <c r="X22" i="6" s="1"/>
  <c r="P13" i="6"/>
  <c r="N13" i="6"/>
  <c r="S13" i="6" s="1"/>
  <c r="L13" i="6"/>
  <c r="C13" i="6"/>
  <c r="C13" i="10" s="1"/>
  <c r="C13" i="11" s="1"/>
  <c r="C13" i="12" s="1"/>
  <c r="C13" i="13" s="1"/>
  <c r="AC12" i="6"/>
  <c r="AA12" i="6"/>
  <c r="C12" i="6"/>
  <c r="AC11" i="6"/>
  <c r="AF11" i="6" s="1"/>
  <c r="AA11" i="6"/>
  <c r="AE11" i="6" s="1"/>
  <c r="P11" i="6"/>
  <c r="N11" i="6"/>
  <c r="S11" i="6" s="1"/>
  <c r="L11" i="6"/>
  <c r="C11" i="6"/>
  <c r="AF10" i="6"/>
  <c r="AE10" i="6"/>
  <c r="AC10" i="6"/>
  <c r="AD10" i="6" s="1"/>
  <c r="AA10" i="6"/>
  <c r="C10" i="6"/>
  <c r="AC9" i="6"/>
  <c r="AF9" i="6" s="1"/>
  <c r="AA9" i="6"/>
  <c r="AE9" i="6" s="1"/>
  <c r="C9" i="6"/>
  <c r="AC8" i="6"/>
  <c r="AA8" i="6"/>
  <c r="C8" i="6"/>
  <c r="AF7" i="6"/>
  <c r="AE7" i="6"/>
  <c r="AD7" i="6"/>
  <c r="C7" i="6"/>
  <c r="W6" i="6"/>
  <c r="H5" i="6"/>
  <c r="F5" i="6"/>
  <c r="N5" i="6" s="1"/>
  <c r="D5" i="6"/>
  <c r="X4" i="6"/>
  <c r="D4" i="6"/>
  <c r="D4" i="13" s="1"/>
  <c r="W3" i="6"/>
  <c r="H2" i="6"/>
  <c r="F2" i="6"/>
  <c r="N2" i="6" s="1"/>
  <c r="D2" i="6"/>
  <c r="P2" i="6" s="1"/>
  <c r="AF16" i="5"/>
  <c r="C16" i="5"/>
  <c r="C14" i="5"/>
  <c r="C13" i="5"/>
  <c r="C12" i="5"/>
  <c r="C11" i="5"/>
  <c r="C10" i="5"/>
  <c r="C9" i="5"/>
  <c r="C8" i="5"/>
  <c r="AB7" i="5"/>
  <c r="AA7" i="5"/>
  <c r="Y7" i="5"/>
  <c r="X7" i="5"/>
  <c r="C7" i="5"/>
  <c r="W6" i="5"/>
  <c r="P5" i="5"/>
  <c r="Z5" i="5" s="1"/>
  <c r="AC5" i="5" s="1"/>
  <c r="H5" i="5"/>
  <c r="F5" i="5"/>
  <c r="Y5" i="5" s="1"/>
  <c r="AB5" i="5" s="1"/>
  <c r="D5" i="5"/>
  <c r="X5" i="5" s="1"/>
  <c r="AA5" i="5" s="1"/>
  <c r="AH4" i="5"/>
  <c r="AA4" i="5"/>
  <c r="AA4" i="12" s="1"/>
  <c r="X4" i="5"/>
  <c r="X4" i="12" s="1"/>
  <c r="D4" i="5"/>
  <c r="AK3" i="5"/>
  <c r="AJ3" i="5"/>
  <c r="AH3" i="5"/>
  <c r="W3" i="5"/>
  <c r="H2" i="5"/>
  <c r="F2" i="5"/>
  <c r="N2" i="5" s="1"/>
  <c r="D2" i="5"/>
  <c r="P2" i="5" s="1"/>
  <c r="AF16" i="4"/>
  <c r="C16" i="4"/>
  <c r="C15" i="4"/>
  <c r="C15" i="5" s="1"/>
  <c r="C14" i="4"/>
  <c r="C13" i="4"/>
  <c r="C12" i="4"/>
  <c r="C11" i="4"/>
  <c r="C10" i="4"/>
  <c r="C9" i="4"/>
  <c r="C8" i="4"/>
  <c r="AC7" i="4"/>
  <c r="AC7" i="5" s="1"/>
  <c r="AB7" i="4"/>
  <c r="AA7" i="4"/>
  <c r="Y7" i="4"/>
  <c r="AF7" i="4" s="1"/>
  <c r="X7" i="4"/>
  <c r="C7" i="4"/>
  <c r="H5" i="4"/>
  <c r="F5" i="4"/>
  <c r="Y5" i="4" s="1"/>
  <c r="AB5" i="4" s="1"/>
  <c r="D5" i="4"/>
  <c r="X4" i="4"/>
  <c r="D4" i="4"/>
  <c r="W3" i="4"/>
  <c r="H2" i="4"/>
  <c r="F2" i="4"/>
  <c r="N2" i="4" s="1"/>
  <c r="D2" i="4"/>
  <c r="L2" i="4" s="1"/>
  <c r="S34" i="3"/>
  <c r="K34" i="3"/>
  <c r="G34" i="3"/>
  <c r="S31" i="3"/>
  <c r="P31" i="3"/>
  <c r="K31" i="3"/>
  <c r="S29" i="3"/>
  <c r="R29" i="3"/>
  <c r="J29" i="3"/>
  <c r="R28" i="3"/>
  <c r="J28" i="3"/>
  <c r="L25" i="3"/>
  <c r="R25" i="3" s="1"/>
  <c r="D25" i="3"/>
  <c r="R24" i="3"/>
  <c r="J24" i="3"/>
  <c r="R23" i="3"/>
  <c r="J23" i="3"/>
  <c r="K17" i="3"/>
  <c r="C16" i="3"/>
  <c r="C15" i="3"/>
  <c r="S14" i="3"/>
  <c r="R14" i="3"/>
  <c r="K14" i="3"/>
  <c r="J14" i="3"/>
  <c r="C14" i="3"/>
  <c r="S13" i="3"/>
  <c r="R13" i="3"/>
  <c r="K13" i="3"/>
  <c r="J13" i="3"/>
  <c r="G13" i="3"/>
  <c r="C13" i="3"/>
  <c r="S12" i="3"/>
  <c r="R12" i="3"/>
  <c r="K12" i="3"/>
  <c r="J12" i="3"/>
  <c r="G12" i="3"/>
  <c r="C12" i="3"/>
  <c r="R11" i="3"/>
  <c r="N11" i="3"/>
  <c r="K11" i="3"/>
  <c r="J11" i="3"/>
  <c r="G11" i="3"/>
  <c r="C11" i="3"/>
  <c r="K10" i="3"/>
  <c r="G10" i="3"/>
  <c r="C10" i="3"/>
  <c r="S9" i="3"/>
  <c r="R9" i="3"/>
  <c r="N9" i="3"/>
  <c r="K9" i="3"/>
  <c r="J9" i="3"/>
  <c r="G9" i="3"/>
  <c r="C9" i="3"/>
  <c r="S8" i="3"/>
  <c r="R8" i="3"/>
  <c r="K8" i="3"/>
  <c r="J8" i="3"/>
  <c r="G8" i="3"/>
  <c r="C8" i="3"/>
  <c r="S7" i="3"/>
  <c r="R7" i="3"/>
  <c r="K7" i="3"/>
  <c r="G7" i="3"/>
  <c r="C7" i="3"/>
  <c r="N5" i="3"/>
  <c r="H5" i="3"/>
  <c r="P5" i="3" s="1"/>
  <c r="F5" i="3"/>
  <c r="D5" i="3"/>
  <c r="L5" i="3" s="1"/>
  <c r="D4" i="3"/>
  <c r="B4" i="3"/>
  <c r="A4" i="3"/>
  <c r="B3" i="3"/>
  <c r="A3" i="3"/>
  <c r="H2" i="3"/>
  <c r="F2" i="3"/>
  <c r="N2" i="3" s="1"/>
  <c r="D2" i="3"/>
  <c r="P2" i="3" s="1"/>
  <c r="AF16" i="2"/>
  <c r="AF7" i="2"/>
  <c r="AE7" i="2"/>
  <c r="AD7" i="2"/>
  <c r="Z5" i="2"/>
  <c r="Y5" i="2"/>
  <c r="Y5" i="11" s="1"/>
  <c r="AB5" i="11" s="1"/>
  <c r="X5" i="2"/>
  <c r="P5" i="2"/>
  <c r="N5" i="2"/>
  <c r="L5" i="2"/>
  <c r="B5" i="2"/>
  <c r="AA4" i="2"/>
  <c r="W3" i="2"/>
  <c r="N2" i="2"/>
  <c r="H2" i="2"/>
  <c r="F2" i="2"/>
  <c r="D2" i="2"/>
  <c r="P2" i="2" s="1"/>
  <c r="AB10" i="5" l="1"/>
  <c r="AB10" i="13" s="1"/>
  <c r="AB10" i="4"/>
  <c r="F12" i="4"/>
  <c r="N13" i="4"/>
  <c r="D18" i="4"/>
  <c r="AC21" i="5"/>
  <c r="AC21" i="4"/>
  <c r="AB9" i="4"/>
  <c r="AB9" i="5"/>
  <c r="F11" i="4"/>
  <c r="H23" i="4"/>
  <c r="N7" i="4"/>
  <c r="AC9" i="5"/>
  <c r="AC9" i="4"/>
  <c r="N12" i="4"/>
  <c r="D15" i="4"/>
  <c r="L18" i="4"/>
  <c r="N11" i="4"/>
  <c r="D14" i="4"/>
  <c r="X19" i="4"/>
  <c r="X19" i="5"/>
  <c r="X19" i="13" s="1"/>
  <c r="P23" i="4"/>
  <c r="H10" i="4"/>
  <c r="Z12" i="5"/>
  <c r="Z12" i="4"/>
  <c r="L15" i="4"/>
  <c r="X18" i="4"/>
  <c r="X18" i="5"/>
  <c r="X18" i="13" s="1"/>
  <c r="AC8" i="5"/>
  <c r="AC8" i="4"/>
  <c r="Y12" i="4"/>
  <c r="Y12" i="5"/>
  <c r="H9" i="4"/>
  <c r="H9" i="5" s="1"/>
  <c r="H9" i="13" s="1"/>
  <c r="Z11" i="5"/>
  <c r="Z11" i="4"/>
  <c r="D13" i="4"/>
  <c r="L14" i="4"/>
  <c r="Y18" i="5"/>
  <c r="Y18" i="4"/>
  <c r="H24" i="4"/>
  <c r="P10" i="4"/>
  <c r="AA11" i="4"/>
  <c r="AA11" i="5"/>
  <c r="F13" i="4"/>
  <c r="D16" i="4"/>
  <c r="F7" i="4"/>
  <c r="P9" i="4"/>
  <c r="P9" i="5" s="1"/>
  <c r="AA10" i="5"/>
  <c r="AA10" i="4"/>
  <c r="L16" i="4"/>
  <c r="P24" i="4"/>
  <c r="F8" i="4"/>
  <c r="Y9" i="5"/>
  <c r="Y9" i="4"/>
  <c r="L10" i="4"/>
  <c r="H15" i="4"/>
  <c r="P15" i="4"/>
  <c r="AC18" i="5"/>
  <c r="AC18" i="4"/>
  <c r="AF18" i="4" s="1"/>
  <c r="AB19" i="5"/>
  <c r="AB19" i="4"/>
  <c r="AA20" i="4"/>
  <c r="AA20" i="5"/>
  <c r="F21" i="4"/>
  <c r="N21" i="4"/>
  <c r="Z21" i="4"/>
  <c r="Z21" i="5"/>
  <c r="D23" i="4"/>
  <c r="L23" i="4"/>
  <c r="D24" i="4"/>
  <c r="L24" i="4"/>
  <c r="D28" i="4"/>
  <c r="L28" i="4"/>
  <c r="D29" i="4"/>
  <c r="L29" i="4"/>
  <c r="D31" i="4"/>
  <c r="L31" i="4"/>
  <c r="D37" i="5"/>
  <c r="D34" i="4"/>
  <c r="L37" i="5"/>
  <c r="L34" i="4"/>
  <c r="Z8" i="5"/>
  <c r="Z8" i="4"/>
  <c r="F9" i="4"/>
  <c r="Z9" i="4"/>
  <c r="Z9" i="5"/>
  <c r="D11" i="4"/>
  <c r="X11" i="5"/>
  <c r="X11" i="13" s="1"/>
  <c r="X11" i="4"/>
  <c r="P20" i="4"/>
  <c r="AA21" i="5"/>
  <c r="AA21" i="4"/>
  <c r="AE21" i="4" s="1"/>
  <c r="N8" i="4"/>
  <c r="D10" i="4"/>
  <c r="X10" i="5"/>
  <c r="X10" i="4"/>
  <c r="AA8" i="4"/>
  <c r="AE8" i="4" s="1"/>
  <c r="AA8" i="5"/>
  <c r="N9" i="4"/>
  <c r="Y10" i="4"/>
  <c r="Y10" i="5"/>
  <c r="L11" i="4"/>
  <c r="AC19" i="4"/>
  <c r="AC19" i="5"/>
  <c r="H20" i="4"/>
  <c r="AB20" i="4"/>
  <c r="AB20" i="5"/>
  <c r="D7" i="4"/>
  <c r="L7" i="4"/>
  <c r="Z7" i="5"/>
  <c r="Z7" i="4"/>
  <c r="H8" i="4"/>
  <c r="P8" i="4"/>
  <c r="AB8" i="5"/>
  <c r="AB8" i="4"/>
  <c r="AA9" i="4"/>
  <c r="AE9" i="4" s="1"/>
  <c r="AA9" i="5"/>
  <c r="F10" i="4"/>
  <c r="N10" i="4"/>
  <c r="Z10" i="4"/>
  <c r="Z10" i="5"/>
  <c r="Y11" i="5"/>
  <c r="Y11" i="4"/>
  <c r="D12" i="4"/>
  <c r="L12" i="4"/>
  <c r="X12" i="4"/>
  <c r="X12" i="5"/>
  <c r="L13" i="4"/>
  <c r="AC20" i="5"/>
  <c r="AC20" i="4"/>
  <c r="AD20" i="4" s="1"/>
  <c r="H21" i="4"/>
  <c r="P21" i="4"/>
  <c r="AB21" i="4"/>
  <c r="AF21" i="4" s="1"/>
  <c r="AB21" i="5"/>
  <c r="F23" i="4"/>
  <c r="N23" i="4"/>
  <c r="F24" i="4"/>
  <c r="N24" i="4"/>
  <c r="F28" i="4"/>
  <c r="N28" i="4"/>
  <c r="F29" i="4"/>
  <c r="N29" i="4"/>
  <c r="F31" i="4"/>
  <c r="N31" i="4"/>
  <c r="F34" i="4"/>
  <c r="F37" i="5"/>
  <c r="N34" i="4"/>
  <c r="N37" i="5"/>
  <c r="P37" i="5"/>
  <c r="P34" i="4"/>
  <c r="P28" i="4"/>
  <c r="H31" i="4"/>
  <c r="H11" i="4"/>
  <c r="AB11" i="5"/>
  <c r="AB11" i="4"/>
  <c r="N14" i="4"/>
  <c r="N16" i="4"/>
  <c r="S16" i="4" s="1"/>
  <c r="N18" i="4"/>
  <c r="Z18" i="5"/>
  <c r="Z18" i="4"/>
  <c r="Y19" i="4"/>
  <c r="Y19" i="5"/>
  <c r="D20" i="4"/>
  <c r="L20" i="4"/>
  <c r="X20" i="4"/>
  <c r="X20" i="5"/>
  <c r="X20" i="13" s="1"/>
  <c r="H28" i="4"/>
  <c r="P29" i="4"/>
  <c r="H34" i="4"/>
  <c r="H37" i="5"/>
  <c r="H7" i="4"/>
  <c r="P7" i="4"/>
  <c r="D8" i="4"/>
  <c r="L8" i="4"/>
  <c r="X8" i="5"/>
  <c r="X8" i="4"/>
  <c r="AC11" i="4"/>
  <c r="AF11" i="4" s="1"/>
  <c r="AC11" i="5"/>
  <c r="H12" i="4"/>
  <c r="P12" i="4"/>
  <c r="AB12" i="4"/>
  <c r="AB12" i="5"/>
  <c r="H13" i="4"/>
  <c r="H13" i="5" s="1"/>
  <c r="H13" i="13" s="1"/>
  <c r="P13" i="4"/>
  <c r="P13" i="5" s="1"/>
  <c r="P13" i="13" s="1"/>
  <c r="F15" i="4"/>
  <c r="N15" i="4"/>
  <c r="F16" i="4"/>
  <c r="AA18" i="4"/>
  <c r="AA18" i="5"/>
  <c r="Z19" i="5"/>
  <c r="Z19" i="4"/>
  <c r="Y20" i="5"/>
  <c r="Y20" i="4"/>
  <c r="D21" i="4"/>
  <c r="D21" i="5" s="1"/>
  <c r="L21" i="4"/>
  <c r="L21" i="5" s="1"/>
  <c r="X21" i="5"/>
  <c r="X21" i="4"/>
  <c r="H29" i="4"/>
  <c r="P31" i="4"/>
  <c r="AC10" i="4"/>
  <c r="AC10" i="5"/>
  <c r="P11" i="4"/>
  <c r="AA12" i="4"/>
  <c r="AE12" i="4" s="1"/>
  <c r="AA12" i="5"/>
  <c r="F14" i="4"/>
  <c r="F18" i="4"/>
  <c r="Y8" i="5"/>
  <c r="Y8" i="4"/>
  <c r="D9" i="4"/>
  <c r="L9" i="4"/>
  <c r="X9" i="5"/>
  <c r="X9" i="13" s="1"/>
  <c r="X9" i="4"/>
  <c r="AC12" i="4"/>
  <c r="AF12" i="4" s="1"/>
  <c r="AC12" i="5"/>
  <c r="H14" i="4"/>
  <c r="P14" i="4"/>
  <c r="H16" i="4"/>
  <c r="P16" i="4"/>
  <c r="H18" i="4"/>
  <c r="P18" i="4"/>
  <c r="AB18" i="4"/>
  <c r="AB18" i="5"/>
  <c r="AB18" i="13" s="1"/>
  <c r="AA19" i="5"/>
  <c r="AA19" i="4"/>
  <c r="AE19" i="4" s="1"/>
  <c r="F20" i="4"/>
  <c r="N20" i="4"/>
  <c r="Z20" i="5"/>
  <c r="Z20" i="4"/>
  <c r="Y21" i="5"/>
  <c r="Y21" i="4"/>
  <c r="C438" i="14"/>
  <c r="AD7" i="5"/>
  <c r="AB7" i="13"/>
  <c r="AK7" i="13"/>
  <c r="AD18" i="6"/>
  <c r="AB5" i="2"/>
  <c r="AH5" i="2" s="1"/>
  <c r="AF12" i="6"/>
  <c r="AD12" i="6"/>
  <c r="J25" i="7"/>
  <c r="X5" i="4"/>
  <c r="AA5" i="4" s="1"/>
  <c r="D5" i="7"/>
  <c r="N16" i="13"/>
  <c r="D26" i="7"/>
  <c r="E22" i="7"/>
  <c r="J22" i="7"/>
  <c r="P5" i="4"/>
  <c r="Z5" i="4" s="1"/>
  <c r="AC5" i="4" s="1"/>
  <c r="H5" i="7"/>
  <c r="P5" i="7" s="1"/>
  <c r="Z5" i="7" s="1"/>
  <c r="AC5" i="7" s="1"/>
  <c r="AC5" i="10" s="1"/>
  <c r="P16" i="13"/>
  <c r="AF7" i="5"/>
  <c r="AH7" i="13"/>
  <c r="Y7" i="13"/>
  <c r="L2" i="5"/>
  <c r="L5" i="6"/>
  <c r="D5" i="10"/>
  <c r="Q25" i="7"/>
  <c r="S25" i="7"/>
  <c r="F5" i="7"/>
  <c r="N5" i="4"/>
  <c r="L2" i="2"/>
  <c r="X5" i="11"/>
  <c r="AA5" i="2"/>
  <c r="AG5" i="2" s="1"/>
  <c r="P5" i="6"/>
  <c r="Z5" i="6" s="1"/>
  <c r="AC5" i="6" s="1"/>
  <c r="H5" i="10"/>
  <c r="AD8" i="6"/>
  <c r="AE8" i="6"/>
  <c r="AE20" i="7"/>
  <c r="AA20" i="10"/>
  <c r="AC5" i="2"/>
  <c r="AI5" i="2" s="1"/>
  <c r="Z5" i="11"/>
  <c r="AF8" i="6"/>
  <c r="AA4" i="13"/>
  <c r="AA4" i="11"/>
  <c r="AA4" i="10"/>
  <c r="AE7" i="5"/>
  <c r="AC13" i="7"/>
  <c r="AC13" i="10" s="1"/>
  <c r="AC9" i="10"/>
  <c r="AF11" i="7"/>
  <c r="AC11" i="10"/>
  <c r="AC11" i="11" s="1"/>
  <c r="Q21" i="7"/>
  <c r="Q31" i="7"/>
  <c r="Q17" i="7"/>
  <c r="Q8" i="7"/>
  <c r="E31" i="7"/>
  <c r="I11" i="8"/>
  <c r="I12" i="9"/>
  <c r="S21" i="9"/>
  <c r="N21" i="10"/>
  <c r="X8" i="11"/>
  <c r="X13" i="10"/>
  <c r="X13" i="11" s="1"/>
  <c r="X10" i="11"/>
  <c r="R11" i="10"/>
  <c r="L11" i="11"/>
  <c r="R11" i="11" s="1"/>
  <c r="P20" i="10"/>
  <c r="G30" i="9"/>
  <c r="K30" i="9"/>
  <c r="F38" i="11"/>
  <c r="AA9" i="10"/>
  <c r="AE18" i="7"/>
  <c r="AD20" i="7"/>
  <c r="AC20" i="10"/>
  <c r="AD21" i="7"/>
  <c r="AC21" i="10"/>
  <c r="P37" i="11"/>
  <c r="P29" i="10"/>
  <c r="P29" i="11" s="1"/>
  <c r="Q21" i="9"/>
  <c r="P19" i="9"/>
  <c r="Q19" i="9" s="1"/>
  <c r="Q11" i="9"/>
  <c r="AF9" i="10"/>
  <c r="AB9" i="11"/>
  <c r="D19" i="7"/>
  <c r="E21" i="7"/>
  <c r="E23" i="7"/>
  <c r="P26" i="7"/>
  <c r="E34" i="7"/>
  <c r="P16" i="10"/>
  <c r="P16" i="11" s="1"/>
  <c r="S10" i="10"/>
  <c r="N10" i="11"/>
  <c r="S10" i="11" s="1"/>
  <c r="N24" i="10"/>
  <c r="S24" i="9"/>
  <c r="N5" i="10"/>
  <c r="F5" i="11"/>
  <c r="N5" i="11" s="1"/>
  <c r="H17" i="10"/>
  <c r="H7" i="11"/>
  <c r="H17" i="11" s="1"/>
  <c r="Z7" i="11"/>
  <c r="AA8" i="11"/>
  <c r="AE8" i="11" s="1"/>
  <c r="AA10" i="10"/>
  <c r="AC12" i="10"/>
  <c r="AC12" i="11" s="1"/>
  <c r="AD12" i="11" s="1"/>
  <c r="AA4" i="4"/>
  <c r="AA4" i="6"/>
  <c r="AA4" i="7" s="1"/>
  <c r="Q11" i="7"/>
  <c r="R28" i="7"/>
  <c r="L36" i="11"/>
  <c r="L28" i="10"/>
  <c r="L28" i="11" s="1"/>
  <c r="R31" i="7"/>
  <c r="E19" i="8"/>
  <c r="E7" i="8"/>
  <c r="P16" i="8"/>
  <c r="Q19" i="8" s="1"/>
  <c r="Q10" i="9"/>
  <c r="Q16" i="9"/>
  <c r="S20" i="9"/>
  <c r="N20" i="10"/>
  <c r="N39" i="11"/>
  <c r="N31" i="10"/>
  <c r="K7" i="10"/>
  <c r="AE7" i="10"/>
  <c r="AA7" i="11"/>
  <c r="AJ7" i="13" s="1"/>
  <c r="AB14" i="10"/>
  <c r="AF14" i="10" s="1"/>
  <c r="AB8" i="11"/>
  <c r="F10" i="11"/>
  <c r="K10" i="11" s="1"/>
  <c r="N12" i="10"/>
  <c r="F22" i="10"/>
  <c r="F20" i="11"/>
  <c r="F22" i="11" s="1"/>
  <c r="H16" i="13"/>
  <c r="X17" i="7"/>
  <c r="X22" i="7" s="1"/>
  <c r="X14" i="11"/>
  <c r="I21" i="8"/>
  <c r="I8" i="8"/>
  <c r="I10" i="8"/>
  <c r="I25" i="8"/>
  <c r="G24" i="9"/>
  <c r="G12" i="9"/>
  <c r="G10" i="9"/>
  <c r="R23" i="9"/>
  <c r="L23" i="10"/>
  <c r="F11" i="11"/>
  <c r="K11" i="11" s="1"/>
  <c r="K11" i="10"/>
  <c r="AF11" i="10"/>
  <c r="AB11" i="11"/>
  <c r="L22" i="11"/>
  <c r="R20" i="11"/>
  <c r="E11" i="7"/>
  <c r="AE11" i="7"/>
  <c r="AA11" i="10"/>
  <c r="Z14" i="7"/>
  <c r="Z13" i="10"/>
  <c r="Z13" i="11" s="1"/>
  <c r="AE18" i="10"/>
  <c r="AA18" i="11"/>
  <c r="AE18" i="11" s="1"/>
  <c r="AD18" i="10"/>
  <c r="AE19" i="7"/>
  <c r="AA19" i="10"/>
  <c r="I22" i="7"/>
  <c r="K22" i="7"/>
  <c r="E29" i="7"/>
  <c r="I16" i="8"/>
  <c r="I17" i="8"/>
  <c r="H18" i="8"/>
  <c r="I18" i="8" s="1"/>
  <c r="I24" i="8"/>
  <c r="I28" i="9"/>
  <c r="I18" i="9"/>
  <c r="I8" i="9"/>
  <c r="I11" i="9"/>
  <c r="S23" i="9"/>
  <c r="N23" i="10"/>
  <c r="AA6" i="12"/>
  <c r="AA6" i="11"/>
  <c r="P17" i="10"/>
  <c r="P7" i="11"/>
  <c r="AE12" i="6"/>
  <c r="AD20" i="6"/>
  <c r="R16" i="8"/>
  <c r="P36" i="11"/>
  <c r="E7" i="9"/>
  <c r="M23" i="9"/>
  <c r="M25" i="9" s="1"/>
  <c r="Q28" i="9"/>
  <c r="N17" i="10"/>
  <c r="AD7" i="10"/>
  <c r="S9" i="10"/>
  <c r="P9" i="11"/>
  <c r="AF12" i="10"/>
  <c r="AB12" i="11"/>
  <c r="AF12" i="11" s="1"/>
  <c r="D22" i="10"/>
  <c r="J24" i="10"/>
  <c r="K31" i="10"/>
  <c r="U29" i="11"/>
  <c r="AE21" i="10"/>
  <c r="AA21" i="11"/>
  <c r="AE21" i="11" s="1"/>
  <c r="H22" i="10"/>
  <c r="H20" i="11"/>
  <c r="U13" i="11" s="1"/>
  <c r="S29" i="10"/>
  <c r="D7" i="11"/>
  <c r="J7" i="11" s="1"/>
  <c r="Y13" i="10"/>
  <c r="L22" i="10"/>
  <c r="P23" i="10"/>
  <c r="N28" i="10"/>
  <c r="K7" i="11"/>
  <c r="F24" i="11"/>
  <c r="K24" i="11" s="1"/>
  <c r="E9" i="9"/>
  <c r="E17" i="9"/>
  <c r="F17" i="10"/>
  <c r="G10" i="10" s="1"/>
  <c r="Z14" i="10"/>
  <c r="Z17" i="10" s="1"/>
  <c r="K9" i="10"/>
  <c r="AF10" i="10"/>
  <c r="S11" i="10"/>
  <c r="AF13" i="10"/>
  <c r="R24" i="10"/>
  <c r="P28" i="10"/>
  <c r="P28" i="11" s="1"/>
  <c r="AC7" i="11"/>
  <c r="AD7" i="11" s="1"/>
  <c r="D11" i="11"/>
  <c r="J11" i="11" s="1"/>
  <c r="K12" i="10"/>
  <c r="AF19" i="10"/>
  <c r="AB19" i="11"/>
  <c r="AF19" i="11" s="1"/>
  <c r="D25" i="10"/>
  <c r="D23" i="11"/>
  <c r="J23" i="11" s="1"/>
  <c r="L7" i="11"/>
  <c r="R7" i="11" s="1"/>
  <c r="D22" i="11"/>
  <c r="N5" i="13"/>
  <c r="Y5" i="13"/>
  <c r="AB5" i="13" s="1"/>
  <c r="AD19" i="10"/>
  <c r="K29" i="10"/>
  <c r="F29" i="11"/>
  <c r="K29" i="11" s="1"/>
  <c r="S7" i="11"/>
  <c r="F23" i="11"/>
  <c r="N29" i="11"/>
  <c r="S29" i="11" s="1"/>
  <c r="E10" i="9"/>
  <c r="J17" i="9"/>
  <c r="AC14" i="10"/>
  <c r="AC8" i="11"/>
  <c r="AD8" i="11" s="1"/>
  <c r="AD12" i="10"/>
  <c r="J16" i="11"/>
  <c r="AB22" i="10"/>
  <c r="J20" i="11"/>
  <c r="U14" i="11"/>
  <c r="H23" i="11"/>
  <c r="N34" i="11"/>
  <c r="S34" i="11" s="1"/>
  <c r="N36" i="11"/>
  <c r="O10" i="12"/>
  <c r="E17" i="12"/>
  <c r="P2" i="13"/>
  <c r="L5" i="13"/>
  <c r="J17" i="12"/>
  <c r="E23" i="12"/>
  <c r="O7" i="12"/>
  <c r="E10" i="12"/>
  <c r="O11" i="12"/>
  <c r="E18" i="12"/>
  <c r="E20" i="12"/>
  <c r="X7" i="12"/>
  <c r="X7" i="13" s="1"/>
  <c r="AA12" i="12"/>
  <c r="AF12" i="12"/>
  <c r="AC13" i="12"/>
  <c r="F19" i="12"/>
  <c r="G16" i="12"/>
  <c r="AF7" i="12"/>
  <c r="AA7" i="12"/>
  <c r="AD7" i="12" s="1"/>
  <c r="Z14" i="12"/>
  <c r="Z17" i="12" s="1"/>
  <c r="Z22" i="12" s="1"/>
  <c r="Z28" i="6" s="1"/>
  <c r="X8" i="12"/>
  <c r="D16" i="12"/>
  <c r="D16" i="13" s="1"/>
  <c r="H19" i="12"/>
  <c r="X21" i="12"/>
  <c r="AF8" i="12"/>
  <c r="AD8" i="12"/>
  <c r="AA8" i="12"/>
  <c r="AC14" i="12"/>
  <c r="AC17" i="12" s="1"/>
  <c r="AF21" i="12"/>
  <c r="AA21" i="12"/>
  <c r="AE21" i="12" s="1"/>
  <c r="O28" i="12"/>
  <c r="S28" i="12"/>
  <c r="G29" i="12"/>
  <c r="K29" i="12"/>
  <c r="O29" i="12"/>
  <c r="S29" i="12"/>
  <c r="O16" i="12"/>
  <c r="N19" i="12"/>
  <c r="G24" i="12"/>
  <c r="F25" i="12"/>
  <c r="F26" i="12" s="1"/>
  <c r="K24" i="12"/>
  <c r="O24" i="12"/>
  <c r="N25" i="12"/>
  <c r="S24" i="12"/>
  <c r="G28" i="12"/>
  <c r="K28" i="12"/>
  <c r="Z13" i="12"/>
  <c r="X12" i="12"/>
  <c r="X13" i="12" s="1"/>
  <c r="Q28" i="12"/>
  <c r="L28" i="12"/>
  <c r="I29" i="12"/>
  <c r="D29" i="12"/>
  <c r="Q29" i="12"/>
  <c r="L29" i="12"/>
  <c r="P19" i="12"/>
  <c r="L16" i="12"/>
  <c r="L19" i="12" s="1"/>
  <c r="H25" i="12"/>
  <c r="I25" i="12" s="1"/>
  <c r="D24" i="12"/>
  <c r="I24" i="12"/>
  <c r="L24" i="12"/>
  <c r="Q24" i="12"/>
  <c r="Q10" i="12"/>
  <c r="Q8" i="12"/>
  <c r="Q34" i="12"/>
  <c r="Q17" i="12"/>
  <c r="Q11" i="12"/>
  <c r="Q7" i="12"/>
  <c r="Q31" i="12"/>
  <c r="Q12" i="12"/>
  <c r="Q9" i="12"/>
  <c r="P25" i="12"/>
  <c r="H26" i="12"/>
  <c r="I26" i="12" s="1"/>
  <c r="Q20" i="12"/>
  <c r="Q18" i="12"/>
  <c r="Q21" i="12"/>
  <c r="N5" i="12"/>
  <c r="L17" i="12"/>
  <c r="J20" i="12"/>
  <c r="I21" i="12"/>
  <c r="D22" i="12"/>
  <c r="Q23" i="12"/>
  <c r="I34" i="12"/>
  <c r="L2" i="12"/>
  <c r="I8" i="12"/>
  <c r="I10" i="12"/>
  <c r="O12" i="12"/>
  <c r="I18" i="12"/>
  <c r="J21" i="12"/>
  <c r="N22" i="12"/>
  <c r="I23" i="12"/>
  <c r="X5" i="12"/>
  <c r="J23" i="12"/>
  <c r="S23" i="12"/>
  <c r="E31" i="12"/>
  <c r="O31" i="12"/>
  <c r="I9" i="12"/>
  <c r="O17" i="12"/>
  <c r="O20" i="12"/>
  <c r="G22" i="12"/>
  <c r="P22" i="12"/>
  <c r="D25" i="12"/>
  <c r="O21" i="12"/>
  <c r="E28" i="12"/>
  <c r="I31" i="12"/>
  <c r="I17" i="12"/>
  <c r="I22" i="12"/>
  <c r="I20" i="12"/>
  <c r="J22" i="11"/>
  <c r="I21" i="11"/>
  <c r="I34" i="11"/>
  <c r="I20" i="11"/>
  <c r="I10" i="11"/>
  <c r="I8" i="11"/>
  <c r="I9" i="11"/>
  <c r="I11" i="11"/>
  <c r="I18" i="11"/>
  <c r="R22" i="11"/>
  <c r="I12" i="11"/>
  <c r="I31" i="11"/>
  <c r="I16" i="11"/>
  <c r="I24" i="11"/>
  <c r="I7" i="11"/>
  <c r="H19" i="11"/>
  <c r="I17" i="11"/>
  <c r="I29" i="11"/>
  <c r="I28" i="11"/>
  <c r="K20" i="11"/>
  <c r="H22" i="11"/>
  <c r="K22" i="11" s="1"/>
  <c r="L2" i="11"/>
  <c r="E11" i="11"/>
  <c r="J12" i="11"/>
  <c r="R12" i="11"/>
  <c r="J21" i="11"/>
  <c r="R21" i="11"/>
  <c r="AB22" i="11"/>
  <c r="K9" i="11"/>
  <c r="S9" i="11"/>
  <c r="K12" i="11"/>
  <c r="K21" i="11"/>
  <c r="D25" i="11"/>
  <c r="R28" i="11"/>
  <c r="D17" i="11"/>
  <c r="E12" i="11" s="1"/>
  <c r="L17" i="11"/>
  <c r="M28" i="11" s="1"/>
  <c r="J18" i="11"/>
  <c r="R18" i="11"/>
  <c r="I23" i="11"/>
  <c r="J28" i="11"/>
  <c r="J34" i="11"/>
  <c r="R34" i="11"/>
  <c r="F17" i="11"/>
  <c r="G11" i="11" s="1"/>
  <c r="O29" i="10"/>
  <c r="O20" i="10"/>
  <c r="O10" i="10"/>
  <c r="O9" i="10"/>
  <c r="N19" i="10"/>
  <c r="O17" i="10"/>
  <c r="O7" i="10"/>
  <c r="O24" i="10"/>
  <c r="O12" i="10"/>
  <c r="O33" i="10"/>
  <c r="O31" i="10"/>
  <c r="O28" i="10"/>
  <c r="O21" i="10"/>
  <c r="S17" i="10"/>
  <c r="O11" i="10"/>
  <c r="D26" i="10"/>
  <c r="J22" i="10"/>
  <c r="I28" i="10"/>
  <c r="I34" i="10"/>
  <c r="P19" i="10"/>
  <c r="Q18" i="10"/>
  <c r="Q8" i="10"/>
  <c r="Q17" i="10"/>
  <c r="Q7" i="10"/>
  <c r="Q21" i="10"/>
  <c r="Q29" i="10"/>
  <c r="Q20" i="10"/>
  <c r="Q10" i="10"/>
  <c r="Q9" i="10"/>
  <c r="K22" i="10"/>
  <c r="G22" i="10"/>
  <c r="I10" i="10"/>
  <c r="Q12" i="10"/>
  <c r="H26" i="10"/>
  <c r="I26" i="10" s="1"/>
  <c r="I22" i="10"/>
  <c r="Q11" i="10"/>
  <c r="G18" i="10"/>
  <c r="R22" i="10"/>
  <c r="Q24" i="10"/>
  <c r="Q31" i="10"/>
  <c r="G29" i="10"/>
  <c r="G20" i="10"/>
  <c r="G9" i="10"/>
  <c r="F19" i="10"/>
  <c r="G17" i="10"/>
  <c r="G7" i="10"/>
  <c r="G28" i="10"/>
  <c r="G24" i="10"/>
  <c r="G12" i="10"/>
  <c r="G33" i="10"/>
  <c r="G21" i="10"/>
  <c r="K17" i="10"/>
  <c r="G11" i="10"/>
  <c r="I8" i="10"/>
  <c r="I18" i="10"/>
  <c r="Q28" i="10"/>
  <c r="Q34" i="10"/>
  <c r="H19" i="10"/>
  <c r="I17" i="10"/>
  <c r="I7" i="10"/>
  <c r="I21" i="10"/>
  <c r="I29" i="10"/>
  <c r="I9" i="10"/>
  <c r="J25" i="10"/>
  <c r="I12" i="10"/>
  <c r="O18" i="10"/>
  <c r="G31" i="10"/>
  <c r="O8" i="10"/>
  <c r="I11" i="10"/>
  <c r="I25" i="10"/>
  <c r="I24" i="10"/>
  <c r="I31" i="10"/>
  <c r="J18" i="10"/>
  <c r="R18" i="10"/>
  <c r="K8" i="10"/>
  <c r="S8" i="10"/>
  <c r="D17" i="10"/>
  <c r="E12" i="10" s="1"/>
  <c r="L17" i="10"/>
  <c r="K18" i="10"/>
  <c r="S18" i="10"/>
  <c r="I20" i="10"/>
  <c r="G23" i="10"/>
  <c r="O23" i="10"/>
  <c r="F25" i="10"/>
  <c r="N25" i="10"/>
  <c r="G34" i="10"/>
  <c r="O34" i="10"/>
  <c r="AF8" i="10"/>
  <c r="J10" i="10"/>
  <c r="R10" i="10"/>
  <c r="AD10" i="10"/>
  <c r="J20" i="10"/>
  <c r="R20" i="10"/>
  <c r="R29" i="10"/>
  <c r="L2" i="10"/>
  <c r="K10" i="10"/>
  <c r="K20" i="10"/>
  <c r="S20" i="10"/>
  <c r="J21" i="10"/>
  <c r="R21" i="10"/>
  <c r="I23" i="10"/>
  <c r="Q23" i="10"/>
  <c r="R28" i="10"/>
  <c r="E20" i="10"/>
  <c r="I30" i="9"/>
  <c r="H32" i="9"/>
  <c r="K17" i="9"/>
  <c r="G21" i="9"/>
  <c r="I24" i="9"/>
  <c r="M28" i="9"/>
  <c r="G29" i="9"/>
  <c r="G34" i="9"/>
  <c r="L2" i="9"/>
  <c r="S8" i="9"/>
  <c r="S10" i="9"/>
  <c r="E18" i="9"/>
  <c r="Q18" i="9"/>
  <c r="I19" i="9"/>
  <c r="M20" i="9"/>
  <c r="M33" i="9" s="1"/>
  <c r="I21" i="9"/>
  <c r="E23" i="9"/>
  <c r="E25" i="9" s="1"/>
  <c r="I29" i="9"/>
  <c r="E31" i="9"/>
  <c r="I34" i="9"/>
  <c r="G18" i="9"/>
  <c r="G23" i="9"/>
  <c r="G25" i="9" s="1"/>
  <c r="N25" i="9"/>
  <c r="S25" i="9" s="1"/>
  <c r="P26" i="9"/>
  <c r="Q26" i="9" s="1"/>
  <c r="Q27" i="9" s="1"/>
  <c r="F32" i="9"/>
  <c r="F40" i="11" s="1"/>
  <c r="N17" i="9"/>
  <c r="N22" i="9"/>
  <c r="I23" i="9"/>
  <c r="I25" i="9" s="1"/>
  <c r="Q23" i="9"/>
  <c r="Q25" i="9" s="1"/>
  <c r="M24" i="9"/>
  <c r="G33" i="9"/>
  <c r="G17" i="9"/>
  <c r="D19" i="9"/>
  <c r="L19" i="9"/>
  <c r="E20" i="9"/>
  <c r="Q20" i="9"/>
  <c r="Q33" i="9" s="1"/>
  <c r="M21" i="9"/>
  <c r="E28" i="9"/>
  <c r="M29" i="9"/>
  <c r="M31" i="9"/>
  <c r="M34" i="9"/>
  <c r="G20" i="9"/>
  <c r="G28" i="9"/>
  <c r="I16" i="9"/>
  <c r="I17" i="9"/>
  <c r="Q17" i="9"/>
  <c r="M18" i="9"/>
  <c r="F19" i="9"/>
  <c r="I20" i="9"/>
  <c r="I33" i="9" s="1"/>
  <c r="E24" i="9"/>
  <c r="Q24" i="9"/>
  <c r="D27" i="9"/>
  <c r="D30" i="9" s="1"/>
  <c r="Q29" i="9"/>
  <c r="Q31" i="9"/>
  <c r="E21" i="9"/>
  <c r="E29" i="9"/>
  <c r="Q22" i="8"/>
  <c r="M23" i="8"/>
  <c r="E25" i="8"/>
  <c r="H26" i="8"/>
  <c r="M27" i="8"/>
  <c r="I28" i="8"/>
  <c r="Q30" i="8"/>
  <c r="I33" i="8"/>
  <c r="E12" i="8"/>
  <c r="E16" i="8"/>
  <c r="D18" i="8"/>
  <c r="M18" i="8"/>
  <c r="Q20" i="8"/>
  <c r="E22" i="8"/>
  <c r="E32" i="8"/>
  <c r="E20" i="8"/>
  <c r="Q23" i="8"/>
  <c r="I30" i="8"/>
  <c r="E10" i="8"/>
  <c r="Q16" i="8"/>
  <c r="M17" i="8"/>
  <c r="P18" i="8"/>
  <c r="M21" i="8"/>
  <c r="I22" i="8"/>
  <c r="E23" i="8"/>
  <c r="M24" i="8"/>
  <c r="E27" i="8"/>
  <c r="M28" i="8"/>
  <c r="M33" i="8"/>
  <c r="M19" i="8"/>
  <c r="E21" i="8"/>
  <c r="E8" i="8"/>
  <c r="Q11" i="8"/>
  <c r="J16" i="8"/>
  <c r="P21" i="8"/>
  <c r="I23" i="8"/>
  <c r="E24" i="8"/>
  <c r="Q24" i="8"/>
  <c r="I27" i="8"/>
  <c r="Q33" i="8"/>
  <c r="E11" i="8"/>
  <c r="E17" i="8"/>
  <c r="Q17" i="8"/>
  <c r="M22" i="8"/>
  <c r="L25" i="8"/>
  <c r="L26" i="8" s="1"/>
  <c r="E28" i="8"/>
  <c r="Q28" i="8"/>
  <c r="E33" i="8"/>
  <c r="P27" i="7"/>
  <c r="AF13" i="7"/>
  <c r="E26" i="7"/>
  <c r="J26" i="7"/>
  <c r="Q26" i="7"/>
  <c r="S26" i="7"/>
  <c r="E19" i="7"/>
  <c r="D27" i="7"/>
  <c r="J19" i="7"/>
  <c r="M17" i="7"/>
  <c r="H19" i="7"/>
  <c r="Q19" i="7"/>
  <c r="E20" i="7"/>
  <c r="Q22" i="7"/>
  <c r="I26" i="7"/>
  <c r="R26" i="7"/>
  <c r="E28" i="7"/>
  <c r="Q28" i="7"/>
  <c r="M29" i="7"/>
  <c r="I18" i="7"/>
  <c r="M23" i="7"/>
  <c r="Q7" i="7"/>
  <c r="AA13" i="7"/>
  <c r="AD13" i="7" s="1"/>
  <c r="AA14" i="7"/>
  <c r="AA14" i="11" s="1"/>
  <c r="AE14" i="11" s="1"/>
  <c r="E17" i="7"/>
  <c r="I21" i="7"/>
  <c r="Q23" i="7"/>
  <c r="M24" i="7"/>
  <c r="M31" i="7"/>
  <c r="I8" i="7"/>
  <c r="I9" i="7"/>
  <c r="I10" i="7"/>
  <c r="I11" i="7"/>
  <c r="I12" i="7"/>
  <c r="AC14" i="7"/>
  <c r="AC14" i="11" s="1"/>
  <c r="S19" i="7"/>
  <c r="I20" i="7"/>
  <c r="S22" i="7"/>
  <c r="I25" i="7"/>
  <c r="I28" i="7"/>
  <c r="Q29" i="7"/>
  <c r="Q37" i="11" s="1"/>
  <c r="M18" i="7"/>
  <c r="I7" i="7"/>
  <c r="AD8" i="7"/>
  <c r="AD9" i="7"/>
  <c r="AD10" i="7"/>
  <c r="AD11" i="7"/>
  <c r="I17" i="7"/>
  <c r="R17" i="7"/>
  <c r="L19" i="7"/>
  <c r="M21" i="7"/>
  <c r="I23" i="7"/>
  <c r="E24" i="7"/>
  <c r="I34" i="7"/>
  <c r="M8" i="7"/>
  <c r="M9" i="7"/>
  <c r="M10" i="7"/>
  <c r="M11" i="7"/>
  <c r="M12" i="7"/>
  <c r="J17" i="7"/>
  <c r="S17" i="7"/>
  <c r="E18" i="7"/>
  <c r="Q18" i="7"/>
  <c r="AD19" i="7"/>
  <c r="M20" i="7"/>
  <c r="M22" i="7"/>
  <c r="I29" i="7"/>
  <c r="I31" i="7"/>
  <c r="Q34" i="7"/>
  <c r="K17" i="7"/>
  <c r="M25" i="7"/>
  <c r="K12" i="6"/>
  <c r="H22" i="6"/>
  <c r="P22" i="6"/>
  <c r="J7" i="6"/>
  <c r="D17" i="6"/>
  <c r="E21" i="6" s="1"/>
  <c r="E7" i="6"/>
  <c r="R7" i="6"/>
  <c r="L17" i="6"/>
  <c r="M7" i="6" s="1"/>
  <c r="J10" i="6"/>
  <c r="E10" i="6"/>
  <c r="S10" i="6"/>
  <c r="J21" i="6"/>
  <c r="R21" i="6"/>
  <c r="M21" i="6"/>
  <c r="H25" i="6"/>
  <c r="P25" i="6"/>
  <c r="J31" i="6"/>
  <c r="R31" i="6"/>
  <c r="M31" i="6"/>
  <c r="J34" i="6"/>
  <c r="E34" i="6"/>
  <c r="R34" i="6"/>
  <c r="M34" i="6"/>
  <c r="J18" i="6"/>
  <c r="M18" i="6"/>
  <c r="R18" i="6"/>
  <c r="E28" i="6"/>
  <c r="J28" i="6"/>
  <c r="M28" i="6"/>
  <c r="R28" i="6"/>
  <c r="F17" i="6"/>
  <c r="G7" i="6"/>
  <c r="K7" i="6"/>
  <c r="N17" i="6"/>
  <c r="O21" i="6" s="1"/>
  <c r="O7" i="6"/>
  <c r="S7" i="6"/>
  <c r="J9" i="6"/>
  <c r="M9" i="6"/>
  <c r="R9" i="6"/>
  <c r="K10" i="6"/>
  <c r="G21" i="6"/>
  <c r="K21" i="6"/>
  <c r="S21" i="6"/>
  <c r="G31" i="6"/>
  <c r="K31" i="6"/>
  <c r="O31" i="6"/>
  <c r="S31" i="6"/>
  <c r="G34" i="6"/>
  <c r="K34" i="6"/>
  <c r="S34" i="6"/>
  <c r="R12" i="6"/>
  <c r="G18" i="6"/>
  <c r="K18" i="6"/>
  <c r="S18" i="6"/>
  <c r="D22" i="6"/>
  <c r="E20" i="6"/>
  <c r="J20" i="6"/>
  <c r="L22" i="6"/>
  <c r="M20" i="6"/>
  <c r="R20" i="6"/>
  <c r="G28" i="6"/>
  <c r="K28" i="6"/>
  <c r="O28" i="6"/>
  <c r="S28" i="6"/>
  <c r="E29" i="6"/>
  <c r="J29" i="6"/>
  <c r="M29" i="6"/>
  <c r="R29" i="6"/>
  <c r="H17" i="6"/>
  <c r="I23" i="6" s="1"/>
  <c r="P17" i="6"/>
  <c r="Q7" i="6" s="1"/>
  <c r="E8" i="6"/>
  <c r="J8" i="6"/>
  <c r="M8" i="6"/>
  <c r="R8" i="6"/>
  <c r="G9" i="6"/>
  <c r="K9" i="6"/>
  <c r="O9" i="6"/>
  <c r="S9" i="6"/>
  <c r="S12" i="6"/>
  <c r="E23" i="6"/>
  <c r="D25" i="6"/>
  <c r="J23" i="6"/>
  <c r="M23" i="6"/>
  <c r="L25" i="6"/>
  <c r="R23" i="6"/>
  <c r="E24" i="6"/>
  <c r="J24" i="6"/>
  <c r="M24" i="6"/>
  <c r="R24" i="6"/>
  <c r="I31" i="6"/>
  <c r="Q31" i="6"/>
  <c r="E12" i="6"/>
  <c r="J12" i="6"/>
  <c r="G20" i="6"/>
  <c r="K20" i="6"/>
  <c r="F22" i="6"/>
  <c r="S20" i="6"/>
  <c r="N22" i="6"/>
  <c r="I28" i="6"/>
  <c r="G29" i="6"/>
  <c r="K29" i="6"/>
  <c r="O29" i="6"/>
  <c r="S29" i="6"/>
  <c r="K8" i="6"/>
  <c r="G8" i="6"/>
  <c r="S8" i="6"/>
  <c r="O8" i="6"/>
  <c r="Q9" i="6"/>
  <c r="R10" i="6"/>
  <c r="M10" i="6"/>
  <c r="F25" i="6"/>
  <c r="K23" i="6"/>
  <c r="G23" i="6"/>
  <c r="N25" i="6"/>
  <c r="S23" i="6"/>
  <c r="O23" i="6"/>
  <c r="K24" i="6"/>
  <c r="G24" i="6"/>
  <c r="S24" i="6"/>
  <c r="O24" i="6"/>
  <c r="X26" i="6"/>
  <c r="AE22" i="6"/>
  <c r="X5" i="6"/>
  <c r="AA5" i="6" s="1"/>
  <c r="AD19" i="6"/>
  <c r="Y5" i="6"/>
  <c r="AB5" i="6" s="1"/>
  <c r="AD11" i="6"/>
  <c r="AE19" i="6"/>
  <c r="AD21" i="6"/>
  <c r="L2" i="6"/>
  <c r="AD9" i="6"/>
  <c r="AA13" i="6"/>
  <c r="AE13" i="6" s="1"/>
  <c r="AC13" i="6"/>
  <c r="AD18" i="5"/>
  <c r="N5" i="5"/>
  <c r="AD10" i="5"/>
  <c r="L5" i="5"/>
  <c r="AE8" i="5"/>
  <c r="D25" i="4"/>
  <c r="L25" i="4"/>
  <c r="P2" i="4"/>
  <c r="L5" i="4"/>
  <c r="AD7" i="4"/>
  <c r="AD18" i="4"/>
  <c r="F25" i="4"/>
  <c r="N25" i="4"/>
  <c r="AE11" i="4"/>
  <c r="L17" i="4"/>
  <c r="M28" i="4" s="1"/>
  <c r="AE18" i="4"/>
  <c r="AD8" i="4"/>
  <c r="AD12" i="4"/>
  <c r="AA13" i="4"/>
  <c r="D17" i="4"/>
  <c r="J21" i="4"/>
  <c r="R21" i="4"/>
  <c r="H25" i="4"/>
  <c r="P25" i="4"/>
  <c r="AE7" i="4"/>
  <c r="AF8" i="4"/>
  <c r="AD9" i="4"/>
  <c r="L22" i="3"/>
  <c r="R20" i="3"/>
  <c r="J10" i="3"/>
  <c r="J18" i="3"/>
  <c r="R18" i="3"/>
  <c r="K21" i="3"/>
  <c r="G21" i="3"/>
  <c r="S21" i="3"/>
  <c r="Q28" i="3"/>
  <c r="J31" i="3"/>
  <c r="J21" i="3"/>
  <c r="N17" i="3"/>
  <c r="O29" i="3" s="1"/>
  <c r="S10" i="3"/>
  <c r="Q14" i="3"/>
  <c r="K20" i="3"/>
  <c r="G20" i="3"/>
  <c r="F22" i="3"/>
  <c r="S20" i="3"/>
  <c r="N22" i="3"/>
  <c r="D17" i="3"/>
  <c r="E10" i="3" s="1"/>
  <c r="J7" i="3"/>
  <c r="S18" i="3"/>
  <c r="K24" i="3"/>
  <c r="S24" i="3"/>
  <c r="O24" i="3"/>
  <c r="R34" i="3"/>
  <c r="M34" i="3"/>
  <c r="H17" i="3"/>
  <c r="I21" i="3" s="1"/>
  <c r="I10" i="3"/>
  <c r="P22" i="3"/>
  <c r="P17" i="3"/>
  <c r="Q20" i="3" s="1"/>
  <c r="I18" i="3"/>
  <c r="O23" i="3"/>
  <c r="S23" i="3"/>
  <c r="N25" i="3"/>
  <c r="K29" i="3"/>
  <c r="J34" i="3"/>
  <c r="G18" i="3"/>
  <c r="G17" i="3"/>
  <c r="F19" i="3"/>
  <c r="K18" i="3"/>
  <c r="Q10" i="3"/>
  <c r="I20" i="3"/>
  <c r="H22" i="3"/>
  <c r="I29" i="3"/>
  <c r="Q8" i="3"/>
  <c r="R21" i="3"/>
  <c r="K23" i="3"/>
  <c r="F25" i="3"/>
  <c r="Q23" i="3"/>
  <c r="P25" i="3"/>
  <c r="O28" i="3"/>
  <c r="S28" i="3"/>
  <c r="M31" i="3"/>
  <c r="R31" i="3"/>
  <c r="R10" i="3"/>
  <c r="L17" i="3"/>
  <c r="M10" i="3"/>
  <c r="D22" i="3"/>
  <c r="J20" i="3"/>
  <c r="H25" i="3"/>
  <c r="I25" i="3" s="1"/>
  <c r="I23" i="3"/>
  <c r="K28" i="3"/>
  <c r="G28" i="3"/>
  <c r="O11" i="3"/>
  <c r="J25" i="3"/>
  <c r="S11" i="3"/>
  <c r="AF10" i="2"/>
  <c r="K12" i="2"/>
  <c r="S13" i="2"/>
  <c r="J18" i="2"/>
  <c r="AD21" i="2"/>
  <c r="AF9" i="2"/>
  <c r="AB13" i="2"/>
  <c r="K11" i="2"/>
  <c r="H25" i="2"/>
  <c r="S7" i="2"/>
  <c r="N17" i="2"/>
  <c r="O7" i="2" s="1"/>
  <c r="AC13" i="2"/>
  <c r="S12" i="2"/>
  <c r="J15" i="2"/>
  <c r="R18" i="2"/>
  <c r="S11" i="2"/>
  <c r="O11" i="2"/>
  <c r="J14" i="2"/>
  <c r="P25" i="2"/>
  <c r="R15" i="2"/>
  <c r="AD8" i="2"/>
  <c r="J13" i="2"/>
  <c r="R14" i="2"/>
  <c r="AD11" i="2"/>
  <c r="AE11" i="2"/>
  <c r="K13" i="2"/>
  <c r="J16" i="2"/>
  <c r="K7" i="2"/>
  <c r="F17" i="2"/>
  <c r="G9" i="2" s="1"/>
  <c r="AE10" i="2"/>
  <c r="AD10" i="2"/>
  <c r="K8" i="2"/>
  <c r="Y13" i="2"/>
  <c r="Y13" i="5" s="1"/>
  <c r="R10" i="2"/>
  <c r="AD18" i="2"/>
  <c r="AF19" i="2"/>
  <c r="AE20" i="2"/>
  <c r="K21" i="2"/>
  <c r="S21" i="2"/>
  <c r="O21" i="2"/>
  <c r="J23" i="2"/>
  <c r="D25" i="2"/>
  <c r="R23" i="2"/>
  <c r="L25" i="2"/>
  <c r="J24" i="2"/>
  <c r="R24" i="2"/>
  <c r="J28" i="2"/>
  <c r="R28" i="2"/>
  <c r="J29" i="2"/>
  <c r="R29" i="2"/>
  <c r="J31" i="2"/>
  <c r="R31" i="2"/>
  <c r="J34" i="2"/>
  <c r="R34" i="2"/>
  <c r="R37" i="5" s="1"/>
  <c r="K9" i="2"/>
  <c r="Z13" i="2"/>
  <c r="J11" i="2"/>
  <c r="P22" i="2"/>
  <c r="AE21" i="2"/>
  <c r="S8" i="2"/>
  <c r="O8" i="2"/>
  <c r="J10" i="2"/>
  <c r="AE8" i="2"/>
  <c r="S9" i="2"/>
  <c r="R11" i="2"/>
  <c r="AD19" i="2"/>
  <c r="H22" i="2"/>
  <c r="AF20" i="2"/>
  <c r="D17" i="2"/>
  <c r="E18" i="2" s="1"/>
  <c r="J7" i="2"/>
  <c r="L17" i="2"/>
  <c r="M10" i="2" s="1"/>
  <c r="R7" i="2"/>
  <c r="AF8" i="2"/>
  <c r="AA13" i="2"/>
  <c r="AE9" i="2"/>
  <c r="AD9" i="2"/>
  <c r="K10" i="2"/>
  <c r="G10" i="2"/>
  <c r="S10" i="2"/>
  <c r="J12" i="2"/>
  <c r="R12" i="2"/>
  <c r="R13" i="2"/>
  <c r="AD20" i="2"/>
  <c r="AF21" i="2"/>
  <c r="K23" i="2"/>
  <c r="F25" i="2"/>
  <c r="S23" i="2"/>
  <c r="N25" i="2"/>
  <c r="K24" i="2"/>
  <c r="G24" i="2"/>
  <c r="S24" i="2"/>
  <c r="K28" i="2"/>
  <c r="G28" i="2"/>
  <c r="S28" i="2"/>
  <c r="K29" i="2"/>
  <c r="G29" i="2"/>
  <c r="S29" i="2"/>
  <c r="K31" i="2"/>
  <c r="G31" i="2"/>
  <c r="S31" i="2"/>
  <c r="K34" i="2"/>
  <c r="G34" i="2"/>
  <c r="S34" i="2"/>
  <c r="S37" i="5" s="1"/>
  <c r="AF11" i="2"/>
  <c r="O14" i="2"/>
  <c r="S14" i="2"/>
  <c r="O18" i="2"/>
  <c r="S18" i="2"/>
  <c r="D22" i="2"/>
  <c r="J20" i="2"/>
  <c r="L22" i="2"/>
  <c r="M20" i="2"/>
  <c r="R20" i="2"/>
  <c r="I34" i="2"/>
  <c r="H17" i="2"/>
  <c r="I8" i="2" s="1"/>
  <c r="P17" i="2"/>
  <c r="Q13" i="2" s="1"/>
  <c r="J8" i="2"/>
  <c r="M8" i="2"/>
  <c r="R8" i="2"/>
  <c r="I12" i="2"/>
  <c r="AF12" i="2"/>
  <c r="G15" i="2"/>
  <c r="K15" i="2"/>
  <c r="S15" i="2"/>
  <c r="K16" i="2"/>
  <c r="AE18" i="2"/>
  <c r="J21" i="2"/>
  <c r="M21" i="2"/>
  <c r="R21" i="2"/>
  <c r="AE12" i="2"/>
  <c r="AD12" i="2"/>
  <c r="K14" i="2"/>
  <c r="G18" i="2"/>
  <c r="G17" i="2"/>
  <c r="K18" i="2"/>
  <c r="Y14" i="2"/>
  <c r="Y17" i="2" s="1"/>
  <c r="J9" i="2"/>
  <c r="R9" i="2"/>
  <c r="M9" i="2"/>
  <c r="X13" i="2"/>
  <c r="I16" i="2"/>
  <c r="Q16" i="2"/>
  <c r="AF18" i="2"/>
  <c r="AE19" i="2"/>
  <c r="F22" i="2"/>
  <c r="K20" i="2"/>
  <c r="N22" i="2"/>
  <c r="O20" i="2"/>
  <c r="S20" i="2"/>
  <c r="Z22" i="10" l="1"/>
  <c r="Z17" i="11"/>
  <c r="Z22" i="11" s="1"/>
  <c r="J16" i="13"/>
  <c r="X14" i="2"/>
  <c r="X17" i="2" s="1"/>
  <c r="X22" i="2" s="1"/>
  <c r="X13" i="5"/>
  <c r="M34" i="2"/>
  <c r="M37" i="5" s="1"/>
  <c r="E20" i="3"/>
  <c r="Q7" i="3"/>
  <c r="E7" i="3"/>
  <c r="G20" i="11"/>
  <c r="AD18" i="11"/>
  <c r="AE9" i="10"/>
  <c r="AA9" i="11"/>
  <c r="AD13" i="10"/>
  <c r="P14" i="5"/>
  <c r="AH20" i="13"/>
  <c r="Y20" i="13"/>
  <c r="P29" i="5"/>
  <c r="H31" i="5"/>
  <c r="S31" i="4"/>
  <c r="N31" i="5"/>
  <c r="S23" i="4"/>
  <c r="N23" i="5"/>
  <c r="L13" i="5"/>
  <c r="R13" i="4"/>
  <c r="H8" i="5"/>
  <c r="AD19" i="5"/>
  <c r="AL19" i="13"/>
  <c r="AC19" i="13"/>
  <c r="J28" i="4"/>
  <c r="D28" i="5"/>
  <c r="K21" i="4"/>
  <c r="F21" i="5"/>
  <c r="H15" i="5"/>
  <c r="AE10" i="5"/>
  <c r="H24" i="5"/>
  <c r="Y12" i="13"/>
  <c r="AH12" i="13"/>
  <c r="Z12" i="13"/>
  <c r="AI12" i="13"/>
  <c r="J15" i="4"/>
  <c r="D15" i="5"/>
  <c r="AF9" i="4"/>
  <c r="M28" i="2"/>
  <c r="AB13" i="5"/>
  <c r="AB13" i="4"/>
  <c r="E34" i="3"/>
  <c r="I28" i="3"/>
  <c r="E24" i="11"/>
  <c r="Y14" i="10"/>
  <c r="Y17" i="10" s="1"/>
  <c r="Y13" i="11"/>
  <c r="AH13" i="13" s="1"/>
  <c r="L25" i="10"/>
  <c r="R23" i="10"/>
  <c r="L23" i="11"/>
  <c r="N12" i="11"/>
  <c r="S12" i="10"/>
  <c r="N31" i="11"/>
  <c r="S31" i="11" s="1"/>
  <c r="S31" i="10"/>
  <c r="AF7" i="11"/>
  <c r="AA7" i="13"/>
  <c r="AE19" i="5"/>
  <c r="H14" i="5"/>
  <c r="Y14" i="5"/>
  <c r="AH14" i="13" s="1"/>
  <c r="Y8" i="13"/>
  <c r="AH8" i="13"/>
  <c r="P31" i="5"/>
  <c r="X14" i="5"/>
  <c r="X8" i="13"/>
  <c r="H28" i="5"/>
  <c r="AI18" i="13"/>
  <c r="Z18" i="13"/>
  <c r="P28" i="5"/>
  <c r="K31" i="4"/>
  <c r="F31" i="5"/>
  <c r="K23" i="4"/>
  <c r="F23" i="5"/>
  <c r="X12" i="13"/>
  <c r="S10" i="4"/>
  <c r="N10" i="5"/>
  <c r="AD19" i="4"/>
  <c r="X10" i="13"/>
  <c r="D11" i="5"/>
  <c r="J11" i="4"/>
  <c r="J34" i="4"/>
  <c r="D34" i="5"/>
  <c r="R24" i="4"/>
  <c r="L24" i="5"/>
  <c r="AE20" i="5"/>
  <c r="AA20" i="13"/>
  <c r="R10" i="4"/>
  <c r="L10" i="5"/>
  <c r="P9" i="13"/>
  <c r="H10" i="5"/>
  <c r="N12" i="5"/>
  <c r="S12" i="4"/>
  <c r="AD21" i="4"/>
  <c r="AE13" i="2"/>
  <c r="AA13" i="5"/>
  <c r="I10" i="2"/>
  <c r="O12" i="2"/>
  <c r="E25" i="3"/>
  <c r="Q29" i="3"/>
  <c r="I24" i="3"/>
  <c r="G8" i="10"/>
  <c r="Q27" i="8"/>
  <c r="Q36" i="11" s="1"/>
  <c r="S23" i="10"/>
  <c r="N23" i="11"/>
  <c r="S23" i="11" s="1"/>
  <c r="AE20" i="10"/>
  <c r="AA20" i="11"/>
  <c r="AE20" i="11" s="1"/>
  <c r="AF18" i="13"/>
  <c r="AC12" i="13"/>
  <c r="AL12" i="13"/>
  <c r="F18" i="5"/>
  <c r="G17" i="4"/>
  <c r="K18" i="4"/>
  <c r="H29" i="5"/>
  <c r="AI19" i="13"/>
  <c r="Z19" i="13"/>
  <c r="AB12" i="13"/>
  <c r="AF12" i="13" s="1"/>
  <c r="AF12" i="5"/>
  <c r="R8" i="4"/>
  <c r="L8" i="5"/>
  <c r="N18" i="5"/>
  <c r="S18" i="4"/>
  <c r="P34" i="5"/>
  <c r="S29" i="4"/>
  <c r="N29" i="5"/>
  <c r="AF21" i="5"/>
  <c r="AB21" i="13"/>
  <c r="F10" i="5"/>
  <c r="K10" i="4"/>
  <c r="AI7" i="13"/>
  <c r="Z7" i="13"/>
  <c r="L11" i="5"/>
  <c r="R11" i="4"/>
  <c r="J10" i="4"/>
  <c r="D10" i="5"/>
  <c r="AI9" i="13"/>
  <c r="Z9" i="13"/>
  <c r="J24" i="4"/>
  <c r="D24" i="5"/>
  <c r="AE20" i="4"/>
  <c r="Y13" i="4"/>
  <c r="Y14" i="4" s="1"/>
  <c r="F17" i="4"/>
  <c r="F7" i="5"/>
  <c r="K7" i="4"/>
  <c r="AH18" i="13"/>
  <c r="Y18" i="13"/>
  <c r="P23" i="5"/>
  <c r="AC13" i="4"/>
  <c r="AE13" i="4" s="1"/>
  <c r="AD21" i="5"/>
  <c r="AC21" i="13"/>
  <c r="Y22" i="2"/>
  <c r="Y17" i="4"/>
  <c r="Y22" i="4" s="1"/>
  <c r="Y17" i="5"/>
  <c r="M31" i="2"/>
  <c r="AC14" i="2"/>
  <c r="AC13" i="5"/>
  <c r="E31" i="3"/>
  <c r="E22" i="4"/>
  <c r="I18" i="6"/>
  <c r="AE13" i="7"/>
  <c r="AA13" i="10"/>
  <c r="E20" i="11"/>
  <c r="H25" i="11"/>
  <c r="I25" i="11" s="1"/>
  <c r="U18" i="11"/>
  <c r="L16" i="13"/>
  <c r="R16" i="13" s="1"/>
  <c r="N22" i="10"/>
  <c r="N20" i="11"/>
  <c r="Q15" i="8"/>
  <c r="AC21" i="11"/>
  <c r="AD21" i="11" s="1"/>
  <c r="AD21" i="10"/>
  <c r="X14" i="10"/>
  <c r="X17" i="10" s="1"/>
  <c r="Q39" i="11"/>
  <c r="S16" i="13"/>
  <c r="Y21" i="13"/>
  <c r="AH21" i="13"/>
  <c r="K14" i="4"/>
  <c r="F14" i="5"/>
  <c r="AA18" i="13"/>
  <c r="AE18" i="13" s="1"/>
  <c r="AE18" i="5"/>
  <c r="J8" i="4"/>
  <c r="D8" i="5"/>
  <c r="K29" i="4"/>
  <c r="F29" i="5"/>
  <c r="R12" i="4"/>
  <c r="L12" i="5"/>
  <c r="AE9" i="5"/>
  <c r="AA9" i="13"/>
  <c r="AD9" i="5"/>
  <c r="L7" i="5"/>
  <c r="R7" i="4"/>
  <c r="Y10" i="13"/>
  <c r="AH10" i="13"/>
  <c r="S8" i="4"/>
  <c r="N8" i="5"/>
  <c r="Z13" i="4"/>
  <c r="Z14" i="4" s="1"/>
  <c r="Z17" i="4" s="1"/>
  <c r="Z22" i="4" s="1"/>
  <c r="R31" i="4"/>
  <c r="L31" i="5"/>
  <c r="R23" i="4"/>
  <c r="L23" i="5"/>
  <c r="AF19" i="4"/>
  <c r="Y9" i="13"/>
  <c r="AH9" i="13"/>
  <c r="J16" i="4"/>
  <c r="R14" i="4"/>
  <c r="L14" i="5"/>
  <c r="AD8" i="5"/>
  <c r="AJ8" i="13" s="1"/>
  <c r="AC8" i="13"/>
  <c r="AL8" i="13"/>
  <c r="J18" i="4"/>
  <c r="D18" i="5"/>
  <c r="I31" i="2"/>
  <c r="M24" i="2"/>
  <c r="I9" i="6"/>
  <c r="I7" i="6"/>
  <c r="AF11" i="11"/>
  <c r="AF8" i="11"/>
  <c r="AB13" i="11"/>
  <c r="AF9" i="11"/>
  <c r="P22" i="10"/>
  <c r="P20" i="11"/>
  <c r="N21" i="11"/>
  <c r="S21" i="11" s="1"/>
  <c r="S21" i="10"/>
  <c r="Y5" i="7"/>
  <c r="AB5" i="7" s="1"/>
  <c r="N5" i="7"/>
  <c r="P18" i="5"/>
  <c r="X13" i="4"/>
  <c r="X14" i="4" s="1"/>
  <c r="X17" i="4" s="1"/>
  <c r="AE12" i="5"/>
  <c r="AA12" i="13"/>
  <c r="AD12" i="5"/>
  <c r="AJ12" i="13" s="1"/>
  <c r="X21" i="13"/>
  <c r="P12" i="5"/>
  <c r="P17" i="4"/>
  <c r="Q28" i="4" s="1"/>
  <c r="P7" i="5"/>
  <c r="L22" i="4"/>
  <c r="L20" i="5"/>
  <c r="R20" i="4"/>
  <c r="S14" i="4"/>
  <c r="N14" i="5"/>
  <c r="S28" i="4"/>
  <c r="N28" i="5"/>
  <c r="P21" i="5"/>
  <c r="J12" i="4"/>
  <c r="D12" i="5"/>
  <c r="J7" i="4"/>
  <c r="D7" i="5"/>
  <c r="K9" i="4"/>
  <c r="F9" i="5"/>
  <c r="J31" i="4"/>
  <c r="D31" i="5"/>
  <c r="J23" i="4"/>
  <c r="D23" i="5"/>
  <c r="AF19" i="5"/>
  <c r="AB19" i="13"/>
  <c r="AF19" i="13" s="1"/>
  <c r="K8" i="4"/>
  <c r="F8" i="5"/>
  <c r="F13" i="5"/>
  <c r="K13" i="4"/>
  <c r="J13" i="4"/>
  <c r="D13" i="5"/>
  <c r="N17" i="4"/>
  <c r="N7" i="5"/>
  <c r="S7" i="4"/>
  <c r="N13" i="5"/>
  <c r="S13" i="4"/>
  <c r="Z14" i="2"/>
  <c r="Z17" i="2" s="1"/>
  <c r="Z22" i="2" s="1"/>
  <c r="Z13" i="5"/>
  <c r="AI13" i="13" s="1"/>
  <c r="G21" i="2"/>
  <c r="M14" i="2"/>
  <c r="Z17" i="7"/>
  <c r="Z22" i="7" s="1"/>
  <c r="AE22" i="7" s="1"/>
  <c r="Z14" i="11"/>
  <c r="AE10" i="10"/>
  <c r="AA10" i="11"/>
  <c r="AA10" i="13" s="1"/>
  <c r="AC20" i="11"/>
  <c r="AD20" i="11" s="1"/>
  <c r="AD20" i="10"/>
  <c r="L5" i="7"/>
  <c r="X5" i="7"/>
  <c r="AA5" i="7" s="1"/>
  <c r="Z20" i="13"/>
  <c r="AI20" i="13"/>
  <c r="H18" i="5"/>
  <c r="X13" i="13"/>
  <c r="R21" i="5"/>
  <c r="L21" i="13"/>
  <c r="F16" i="5"/>
  <c r="F16" i="13" s="1"/>
  <c r="K16" i="4"/>
  <c r="H12" i="5"/>
  <c r="H7" i="5"/>
  <c r="H17" i="4"/>
  <c r="I28" i="4" s="1"/>
  <c r="I7" i="4"/>
  <c r="D22" i="4"/>
  <c r="D20" i="5"/>
  <c r="J20" i="4"/>
  <c r="S34" i="4"/>
  <c r="N34" i="5"/>
  <c r="K28" i="4"/>
  <c r="F28" i="5"/>
  <c r="I21" i="4"/>
  <c r="H21" i="5"/>
  <c r="AB14" i="4"/>
  <c r="AF20" i="5"/>
  <c r="AB20" i="13"/>
  <c r="N9" i="5"/>
  <c r="S9" i="4"/>
  <c r="AA21" i="13"/>
  <c r="AE21" i="13" s="1"/>
  <c r="AE21" i="5"/>
  <c r="R29" i="4"/>
  <c r="L29" i="5"/>
  <c r="Z21" i="13"/>
  <c r="AI21" i="13"/>
  <c r="P24" i="5"/>
  <c r="AE11" i="5"/>
  <c r="AD11" i="5"/>
  <c r="D14" i="5"/>
  <c r="J14" i="4"/>
  <c r="I23" i="4"/>
  <c r="H23" i="5"/>
  <c r="K12" i="4"/>
  <c r="F12" i="5"/>
  <c r="M29" i="2"/>
  <c r="O21" i="3"/>
  <c r="AJ18" i="13"/>
  <c r="N28" i="11"/>
  <c r="S28" i="10"/>
  <c r="P17" i="11"/>
  <c r="AD11" i="10"/>
  <c r="AA11" i="11"/>
  <c r="AE11" i="10"/>
  <c r="AE7" i="11"/>
  <c r="P5" i="10"/>
  <c r="Z5" i="10" s="1"/>
  <c r="H5" i="11"/>
  <c r="P5" i="11" s="1"/>
  <c r="AC5" i="12"/>
  <c r="AC5" i="11"/>
  <c r="AL7" i="13"/>
  <c r="N22" i="4"/>
  <c r="N26" i="4" s="1"/>
  <c r="N20" i="5"/>
  <c r="S20" i="4"/>
  <c r="Q16" i="4"/>
  <c r="R9" i="4"/>
  <c r="L9" i="5"/>
  <c r="Q11" i="4"/>
  <c r="P11" i="5"/>
  <c r="J21" i="5"/>
  <c r="D21" i="13"/>
  <c r="S15" i="4"/>
  <c r="N15" i="5"/>
  <c r="AC11" i="13"/>
  <c r="AL11" i="13"/>
  <c r="Y19" i="13"/>
  <c r="AH19" i="13"/>
  <c r="AB11" i="13"/>
  <c r="AF11" i="5"/>
  <c r="S24" i="4"/>
  <c r="N24" i="5"/>
  <c r="Y11" i="13"/>
  <c r="AH11" i="13"/>
  <c r="AF8" i="5"/>
  <c r="AB8" i="13"/>
  <c r="AF8" i="13" s="1"/>
  <c r="AB14" i="5"/>
  <c r="AF20" i="4"/>
  <c r="AA14" i="5"/>
  <c r="AA8" i="13"/>
  <c r="P22" i="4"/>
  <c r="Q22" i="4" s="1"/>
  <c r="P20" i="5"/>
  <c r="Q20" i="4"/>
  <c r="Z14" i="5"/>
  <c r="AI14" i="13" s="1"/>
  <c r="Z8" i="13"/>
  <c r="AI8" i="13"/>
  <c r="J29" i="4"/>
  <c r="D29" i="5"/>
  <c r="AF18" i="5"/>
  <c r="AC18" i="13"/>
  <c r="AL18" i="13"/>
  <c r="R16" i="4"/>
  <c r="AD11" i="4"/>
  <c r="AI11" i="13"/>
  <c r="Z11" i="13"/>
  <c r="R15" i="4"/>
  <c r="L15" i="5"/>
  <c r="S11" i="4"/>
  <c r="N11" i="5"/>
  <c r="F11" i="5"/>
  <c r="K11" i="4"/>
  <c r="AF10" i="4"/>
  <c r="I25" i="2"/>
  <c r="AF14" i="11"/>
  <c r="AD14" i="11"/>
  <c r="F25" i="11"/>
  <c r="K23" i="11"/>
  <c r="P25" i="10"/>
  <c r="Q25" i="10" s="1"/>
  <c r="P23" i="11"/>
  <c r="P25" i="11" s="1"/>
  <c r="AE19" i="10"/>
  <c r="AA19" i="11"/>
  <c r="Q9" i="8"/>
  <c r="Q12" i="8"/>
  <c r="Q7" i="8"/>
  <c r="Q10" i="8"/>
  <c r="Q8" i="8"/>
  <c r="S24" i="10"/>
  <c r="N24" i="11"/>
  <c r="AD9" i="10"/>
  <c r="AC9" i="11"/>
  <c r="AC13" i="11" s="1"/>
  <c r="L5" i="10"/>
  <c r="D5" i="11"/>
  <c r="L5" i="11" s="1"/>
  <c r="X5" i="10"/>
  <c r="AA5" i="10" s="1"/>
  <c r="AC7" i="13"/>
  <c r="F22" i="4"/>
  <c r="F20" i="5"/>
  <c r="K20" i="4"/>
  <c r="I16" i="4"/>
  <c r="J9" i="4"/>
  <c r="D9" i="5"/>
  <c r="AF10" i="5"/>
  <c r="AL10" i="13"/>
  <c r="AC10" i="13"/>
  <c r="F15" i="5"/>
  <c r="K15" i="4"/>
  <c r="I34" i="4"/>
  <c r="H34" i="5"/>
  <c r="H11" i="5"/>
  <c r="I11" i="4"/>
  <c r="K34" i="4"/>
  <c r="F34" i="5"/>
  <c r="K24" i="4"/>
  <c r="F24" i="5"/>
  <c r="AD20" i="5"/>
  <c r="AJ20" i="13" s="1"/>
  <c r="AL20" i="13"/>
  <c r="Z10" i="13"/>
  <c r="AI10" i="13"/>
  <c r="P8" i="5"/>
  <c r="H22" i="4"/>
  <c r="I22" i="4" s="1"/>
  <c r="I20" i="4"/>
  <c r="H20" i="5"/>
  <c r="R34" i="4"/>
  <c r="L34" i="5"/>
  <c r="R28" i="4"/>
  <c r="L28" i="5"/>
  <c r="S21" i="4"/>
  <c r="N21" i="5"/>
  <c r="P15" i="5"/>
  <c r="AD10" i="4"/>
  <c r="AE10" i="4"/>
  <c r="Q10" i="4"/>
  <c r="P10" i="5"/>
  <c r="R18" i="4"/>
  <c r="L18" i="5"/>
  <c r="AB9" i="13"/>
  <c r="AF9" i="5"/>
  <c r="AF10" i="13"/>
  <c r="G26" i="12"/>
  <c r="K26" i="12"/>
  <c r="P26" i="12"/>
  <c r="Q26" i="12" s="1"/>
  <c r="Q22" i="12"/>
  <c r="R17" i="12"/>
  <c r="M9" i="12"/>
  <c r="M23" i="12"/>
  <c r="M18" i="12"/>
  <c r="M10" i="12"/>
  <c r="M8" i="12"/>
  <c r="M34" i="12"/>
  <c r="M21" i="12"/>
  <c r="M20" i="12"/>
  <c r="M11" i="12"/>
  <c r="M17" i="12"/>
  <c r="M22" i="12"/>
  <c r="M12" i="12"/>
  <c r="Q19" i="12"/>
  <c r="M29" i="12"/>
  <c r="R29" i="12"/>
  <c r="S19" i="12"/>
  <c r="N27" i="12"/>
  <c r="O19" i="12"/>
  <c r="H27" i="12"/>
  <c r="H40" i="6" s="1"/>
  <c r="I19" i="12"/>
  <c r="AD21" i="12"/>
  <c r="D19" i="12"/>
  <c r="E16" i="12"/>
  <c r="M16" i="12" s="1"/>
  <c r="K19" i="12"/>
  <c r="F27" i="12"/>
  <c r="G19" i="12"/>
  <c r="S22" i="12"/>
  <c r="O22" i="12"/>
  <c r="M31" i="12"/>
  <c r="M24" i="12"/>
  <c r="R24" i="12"/>
  <c r="E29" i="12"/>
  <c r="J29" i="12"/>
  <c r="X14" i="12"/>
  <c r="X17" i="12" s="1"/>
  <c r="X22" i="12" s="1"/>
  <c r="AF13" i="12"/>
  <c r="M7" i="12"/>
  <c r="O25" i="12"/>
  <c r="N26" i="12"/>
  <c r="S25" i="12"/>
  <c r="AF14" i="12"/>
  <c r="J22" i="12"/>
  <c r="D26" i="12"/>
  <c r="E22" i="12"/>
  <c r="E24" i="12"/>
  <c r="J24" i="12"/>
  <c r="M28" i="12"/>
  <c r="R28" i="12"/>
  <c r="AA14" i="12"/>
  <c r="AE14" i="12" s="1"/>
  <c r="AE8" i="12"/>
  <c r="AE7" i="12"/>
  <c r="AA13" i="12"/>
  <c r="AE13" i="12" s="1"/>
  <c r="AE12" i="12"/>
  <c r="AD12" i="12"/>
  <c r="AF22" i="12"/>
  <c r="E25" i="12"/>
  <c r="J25" i="12"/>
  <c r="L25" i="12"/>
  <c r="Q25" i="12"/>
  <c r="R19" i="12"/>
  <c r="M19" i="12"/>
  <c r="G25" i="12"/>
  <c r="K25" i="12"/>
  <c r="AF17" i="12"/>
  <c r="AC22" i="12"/>
  <c r="E25" i="11"/>
  <c r="J25" i="11"/>
  <c r="G31" i="11"/>
  <c r="G21" i="11"/>
  <c r="I19" i="11"/>
  <c r="M18" i="11"/>
  <c r="M34" i="11"/>
  <c r="G28" i="11"/>
  <c r="E21" i="11"/>
  <c r="M22" i="11"/>
  <c r="G24" i="11"/>
  <c r="M11" i="11"/>
  <c r="M24" i="11"/>
  <c r="G18" i="11"/>
  <c r="G25" i="11"/>
  <c r="G22" i="11"/>
  <c r="G12" i="11"/>
  <c r="E18" i="11"/>
  <c r="M23" i="11"/>
  <c r="L19" i="11"/>
  <c r="M10" i="11"/>
  <c r="M29" i="11"/>
  <c r="M17" i="11"/>
  <c r="M9" i="11"/>
  <c r="M8" i="11"/>
  <c r="R17" i="11"/>
  <c r="M7" i="11"/>
  <c r="M12" i="11"/>
  <c r="E23" i="11"/>
  <c r="D19" i="11"/>
  <c r="U11" i="11" s="1"/>
  <c r="E10" i="11"/>
  <c r="E29" i="11"/>
  <c r="E17" i="11"/>
  <c r="E9" i="11"/>
  <c r="E8" i="11"/>
  <c r="J17" i="11"/>
  <c r="M20" i="11"/>
  <c r="G10" i="11"/>
  <c r="E7" i="11"/>
  <c r="E28" i="11"/>
  <c r="U20" i="11"/>
  <c r="G29" i="11"/>
  <c r="G17" i="11"/>
  <c r="G8" i="11"/>
  <c r="K17" i="11"/>
  <c r="G7" i="11"/>
  <c r="G23" i="11"/>
  <c r="F19" i="11"/>
  <c r="G34" i="11"/>
  <c r="G33" i="11"/>
  <c r="U17" i="11"/>
  <c r="I22" i="11"/>
  <c r="E34" i="11"/>
  <c r="D26" i="11"/>
  <c r="G9" i="11"/>
  <c r="M21" i="11"/>
  <c r="E22" i="11"/>
  <c r="E10" i="10"/>
  <c r="M34" i="10"/>
  <c r="M24" i="10"/>
  <c r="M23" i="10"/>
  <c r="R17" i="10"/>
  <c r="M12" i="10"/>
  <c r="M11" i="10"/>
  <c r="M9" i="10"/>
  <c r="L19" i="10"/>
  <c r="M17" i="10"/>
  <c r="M25" i="10"/>
  <c r="E21" i="10"/>
  <c r="S25" i="10"/>
  <c r="O25" i="10"/>
  <c r="E34" i="10"/>
  <c r="E28" i="10"/>
  <c r="E24" i="10"/>
  <c r="E23" i="10"/>
  <c r="J17" i="10"/>
  <c r="E11" i="10"/>
  <c r="E29" i="10"/>
  <c r="E9" i="10"/>
  <c r="D19" i="10"/>
  <c r="E17" i="10"/>
  <c r="E14" i="10"/>
  <c r="E13" i="10"/>
  <c r="H27" i="10"/>
  <c r="I19" i="10"/>
  <c r="M10" i="10"/>
  <c r="E8" i="10"/>
  <c r="Q19" i="10"/>
  <c r="K25" i="10"/>
  <c r="G25" i="10"/>
  <c r="M18" i="10"/>
  <c r="M28" i="10"/>
  <c r="O19" i="10"/>
  <c r="S19" i="10"/>
  <c r="N27" i="10"/>
  <c r="E16" i="10"/>
  <c r="M8" i="10"/>
  <c r="M21" i="10"/>
  <c r="G19" i="10"/>
  <c r="K19" i="10"/>
  <c r="M29" i="10"/>
  <c r="M7" i="10"/>
  <c r="N26" i="10"/>
  <c r="M22" i="10"/>
  <c r="E22" i="10"/>
  <c r="M20" i="10"/>
  <c r="E7" i="10"/>
  <c r="E25" i="10"/>
  <c r="E18" i="10"/>
  <c r="F26" i="10"/>
  <c r="F27" i="10" s="1"/>
  <c r="J26" i="10"/>
  <c r="E26" i="10"/>
  <c r="M19" i="9"/>
  <c r="R19" i="9"/>
  <c r="L22" i="9"/>
  <c r="N19" i="9"/>
  <c r="O34" i="9"/>
  <c r="O29" i="9"/>
  <c r="O24" i="9"/>
  <c r="O17" i="9"/>
  <c r="O20" i="9"/>
  <c r="O33" i="9" s="1"/>
  <c r="O28" i="9"/>
  <c r="O11" i="9"/>
  <c r="O9" i="9"/>
  <c r="O7" i="9"/>
  <c r="O18" i="9"/>
  <c r="S17" i="9"/>
  <c r="E19" i="9"/>
  <c r="D22" i="9"/>
  <c r="D26" i="9" s="1"/>
  <c r="J19" i="9"/>
  <c r="J22" i="9" s="1"/>
  <c r="J26" i="9" s="1"/>
  <c r="K32" i="9"/>
  <c r="G32" i="9"/>
  <c r="O23" i="9"/>
  <c r="O25" i="9" s="1"/>
  <c r="G19" i="9"/>
  <c r="K19" i="9"/>
  <c r="O12" i="9"/>
  <c r="O8" i="9"/>
  <c r="O10" i="9"/>
  <c r="I22" i="9"/>
  <c r="I26" i="9" s="1"/>
  <c r="I27" i="9" s="1"/>
  <c r="O21" i="9"/>
  <c r="J30" i="9"/>
  <c r="E30" i="9"/>
  <c r="D32" i="9"/>
  <c r="P27" i="9"/>
  <c r="P30" i="9" s="1"/>
  <c r="I32" i="9"/>
  <c r="H33" i="9"/>
  <c r="N26" i="9"/>
  <c r="S26" i="9" s="1"/>
  <c r="S27" i="9" s="1"/>
  <c r="S22" i="9"/>
  <c r="L32" i="8"/>
  <c r="M26" i="8"/>
  <c r="R26" i="8"/>
  <c r="L29" i="8"/>
  <c r="M25" i="8"/>
  <c r="R25" i="8"/>
  <c r="P26" i="8"/>
  <c r="P35" i="11" s="1"/>
  <c r="Q18" i="8"/>
  <c r="Q21" i="8"/>
  <c r="P25" i="8"/>
  <c r="Q25" i="8" s="1"/>
  <c r="H29" i="8"/>
  <c r="I26" i="8"/>
  <c r="J18" i="8"/>
  <c r="D26" i="8"/>
  <c r="D35" i="11" s="1"/>
  <c r="E18" i="8"/>
  <c r="M19" i="7"/>
  <c r="L27" i="7"/>
  <c r="R19" i="7"/>
  <c r="AE14" i="7"/>
  <c r="AA17" i="7"/>
  <c r="AA17" i="10" s="1"/>
  <c r="D30" i="7"/>
  <c r="E27" i="7"/>
  <c r="J27" i="7"/>
  <c r="Q27" i="7"/>
  <c r="S27" i="7"/>
  <c r="P30" i="7"/>
  <c r="AF14" i="7"/>
  <c r="AD14" i="7"/>
  <c r="AC17" i="7"/>
  <c r="AC17" i="10" s="1"/>
  <c r="H27" i="7"/>
  <c r="H35" i="11" s="1"/>
  <c r="K19" i="7"/>
  <c r="I19" i="7"/>
  <c r="S25" i="6"/>
  <c r="O25" i="6"/>
  <c r="Q28" i="6"/>
  <c r="Q18" i="6"/>
  <c r="E25" i="6"/>
  <c r="J25" i="6"/>
  <c r="H19" i="6"/>
  <c r="I17" i="6"/>
  <c r="O18" i="6"/>
  <c r="I25" i="6"/>
  <c r="Q8" i="6"/>
  <c r="Q29" i="6"/>
  <c r="AD13" i="6"/>
  <c r="AF13" i="6"/>
  <c r="N26" i="6"/>
  <c r="S22" i="6"/>
  <c r="O22" i="6"/>
  <c r="Q21" i="6"/>
  <c r="G17" i="6"/>
  <c r="K17" i="6"/>
  <c r="F19" i="6"/>
  <c r="E18" i="6"/>
  <c r="E31" i="6"/>
  <c r="I8" i="6"/>
  <c r="I29" i="6"/>
  <c r="AC14" i="6"/>
  <c r="K25" i="6"/>
  <c r="G25" i="6"/>
  <c r="I21" i="6"/>
  <c r="M22" i="6"/>
  <c r="L26" i="6"/>
  <c r="R22" i="6"/>
  <c r="Q10" i="6"/>
  <c r="Q20" i="6"/>
  <c r="O20" i="6"/>
  <c r="Q34" i="6"/>
  <c r="E9" i="6"/>
  <c r="Q24" i="6"/>
  <c r="L19" i="6"/>
  <c r="M17" i="6"/>
  <c r="R17" i="6"/>
  <c r="Q22" i="6"/>
  <c r="P26" i="6"/>
  <c r="Q26" i="6" s="1"/>
  <c r="AA14" i="6"/>
  <c r="F26" i="6"/>
  <c r="K22" i="6"/>
  <c r="G22" i="6"/>
  <c r="I34" i="6"/>
  <c r="M25" i="6"/>
  <c r="R25" i="6"/>
  <c r="O34" i="6"/>
  <c r="I24" i="6"/>
  <c r="I20" i="6"/>
  <c r="P19" i="6"/>
  <c r="Q17" i="6"/>
  <c r="E22" i="6"/>
  <c r="D26" i="6"/>
  <c r="J22" i="6"/>
  <c r="Q25" i="6"/>
  <c r="I22" i="6"/>
  <c r="H26" i="6"/>
  <c r="I26" i="6" s="1"/>
  <c r="AA26" i="6"/>
  <c r="O17" i="6"/>
  <c r="S17" i="6"/>
  <c r="N19" i="6"/>
  <c r="Q23" i="6"/>
  <c r="D19" i="6"/>
  <c r="E17" i="6"/>
  <c r="J17" i="6"/>
  <c r="M31" i="4"/>
  <c r="E23" i="4"/>
  <c r="E15" i="4"/>
  <c r="S25" i="4"/>
  <c r="O25" i="4"/>
  <c r="M29" i="4"/>
  <c r="P26" i="4"/>
  <c r="M21" i="4"/>
  <c r="AA14" i="4"/>
  <c r="K25" i="4"/>
  <c r="G25" i="4"/>
  <c r="E29" i="4"/>
  <c r="R25" i="4"/>
  <c r="M25" i="4"/>
  <c r="M22" i="4"/>
  <c r="M34" i="4"/>
  <c r="J25" i="4"/>
  <c r="E25" i="4"/>
  <c r="D26" i="4"/>
  <c r="L26" i="4"/>
  <c r="E8" i="4"/>
  <c r="E20" i="4"/>
  <c r="E12" i="4"/>
  <c r="D19" i="4"/>
  <c r="E18" i="4"/>
  <c r="E11" i="4"/>
  <c r="E7" i="4"/>
  <c r="E13" i="4"/>
  <c r="E17" i="4"/>
  <c r="E10" i="4"/>
  <c r="E14" i="4"/>
  <c r="E9" i="4"/>
  <c r="M12" i="4"/>
  <c r="M9" i="4"/>
  <c r="M20" i="4"/>
  <c r="M8" i="4"/>
  <c r="L19" i="4"/>
  <c r="M18" i="4"/>
  <c r="M11" i="4"/>
  <c r="M7" i="4"/>
  <c r="M17" i="4"/>
  <c r="M16" i="4"/>
  <c r="M15" i="4"/>
  <c r="M13" i="4"/>
  <c r="M10" i="4"/>
  <c r="R17" i="4"/>
  <c r="E34" i="4"/>
  <c r="E28" i="4"/>
  <c r="E21" i="4"/>
  <c r="M24" i="4"/>
  <c r="F26" i="4"/>
  <c r="E24" i="4"/>
  <c r="M14" i="4"/>
  <c r="H26" i="4"/>
  <c r="M23" i="4"/>
  <c r="E31" i="4"/>
  <c r="E16" i="4"/>
  <c r="M24" i="3"/>
  <c r="M14" i="3"/>
  <c r="R17" i="3"/>
  <c r="M28" i="3"/>
  <c r="M13" i="3"/>
  <c r="M11" i="3"/>
  <c r="M23" i="3"/>
  <c r="M8" i="3"/>
  <c r="M12" i="3"/>
  <c r="M29" i="3"/>
  <c r="M17" i="3"/>
  <c r="M9" i="3"/>
  <c r="M7" i="3"/>
  <c r="L19" i="3"/>
  <c r="K25" i="3"/>
  <c r="G25" i="3"/>
  <c r="F26" i="3"/>
  <c r="Q34" i="3"/>
  <c r="Q17" i="3"/>
  <c r="P19" i="3"/>
  <c r="Q31" i="3"/>
  <c r="K22" i="3"/>
  <c r="G22" i="3"/>
  <c r="M18" i="3"/>
  <c r="M21" i="3"/>
  <c r="K19" i="3"/>
  <c r="G19" i="3"/>
  <c r="Q22" i="3"/>
  <c r="P26" i="3"/>
  <c r="Q26" i="3" s="1"/>
  <c r="E28" i="3"/>
  <c r="E12" i="3"/>
  <c r="E17" i="3"/>
  <c r="E9" i="3"/>
  <c r="E11" i="3"/>
  <c r="D19" i="3"/>
  <c r="E8" i="3"/>
  <c r="J17" i="3"/>
  <c r="E18" i="3"/>
  <c r="Q18" i="3"/>
  <c r="M25" i="3"/>
  <c r="Q24" i="3"/>
  <c r="Q11" i="3"/>
  <c r="Q12" i="3"/>
  <c r="S22" i="3"/>
  <c r="O22" i="3"/>
  <c r="N26" i="3"/>
  <c r="O8" i="3"/>
  <c r="O17" i="3"/>
  <c r="O34" i="3"/>
  <c r="O12" i="3"/>
  <c r="O9" i="3"/>
  <c r="N19" i="3"/>
  <c r="O7" i="3"/>
  <c r="O13" i="3"/>
  <c r="O31" i="3"/>
  <c r="O14" i="3"/>
  <c r="S17" i="3"/>
  <c r="D26" i="3"/>
  <c r="J22" i="3"/>
  <c r="E22" i="3"/>
  <c r="Q25" i="3"/>
  <c r="I22" i="3"/>
  <c r="H26" i="3"/>
  <c r="I26" i="3" s="1"/>
  <c r="Q9" i="3"/>
  <c r="I34" i="3"/>
  <c r="I37" i="5" s="1"/>
  <c r="I17" i="3"/>
  <c r="I9" i="3"/>
  <c r="I7" i="3"/>
  <c r="I11" i="3"/>
  <c r="I14" i="3"/>
  <c r="H19" i="3"/>
  <c r="I13" i="3"/>
  <c r="I31" i="3"/>
  <c r="I8" i="3"/>
  <c r="I12" i="3"/>
  <c r="Q21" i="3"/>
  <c r="O20" i="3"/>
  <c r="O10" i="3"/>
  <c r="M20" i="3"/>
  <c r="Q13" i="3"/>
  <c r="S25" i="3"/>
  <c r="O25" i="3"/>
  <c r="L26" i="3"/>
  <c r="R22" i="3"/>
  <c r="M22" i="3"/>
  <c r="AE22" i="2"/>
  <c r="AC17" i="2"/>
  <c r="Q12" i="2"/>
  <c r="Q7" i="2"/>
  <c r="M11" i="2"/>
  <c r="F19" i="2"/>
  <c r="K17" i="2"/>
  <c r="AF13" i="2"/>
  <c r="G12" i="2"/>
  <c r="G20" i="2"/>
  <c r="Q31" i="2"/>
  <c r="I17" i="2"/>
  <c r="H19" i="2"/>
  <c r="Q21" i="2"/>
  <c r="E31" i="2"/>
  <c r="E28" i="2"/>
  <c r="G8" i="2"/>
  <c r="Q10" i="2"/>
  <c r="N19" i="2"/>
  <c r="O17" i="2"/>
  <c r="S17" i="2"/>
  <c r="K22" i="2"/>
  <c r="F26" i="2"/>
  <c r="G22" i="2"/>
  <c r="I14" i="2"/>
  <c r="I29" i="2"/>
  <c r="O15" i="2"/>
  <c r="I7" i="2"/>
  <c r="E20" i="2"/>
  <c r="I11" i="2"/>
  <c r="O31" i="2"/>
  <c r="O28" i="2"/>
  <c r="O23" i="2"/>
  <c r="I21" i="2"/>
  <c r="O10" i="2"/>
  <c r="AB14" i="2"/>
  <c r="E7" i="2"/>
  <c r="O9" i="2"/>
  <c r="J25" i="2"/>
  <c r="E25" i="2"/>
  <c r="G7" i="2"/>
  <c r="I24" i="2"/>
  <c r="M15" i="2"/>
  <c r="M18" i="2"/>
  <c r="S22" i="2"/>
  <c r="N26" i="2"/>
  <c r="O22" i="2"/>
  <c r="P26" i="2"/>
  <c r="Q26" i="2" s="1"/>
  <c r="Q22" i="2"/>
  <c r="E23" i="2"/>
  <c r="J22" i="2"/>
  <c r="D26" i="2"/>
  <c r="E22" i="2"/>
  <c r="Q24" i="2"/>
  <c r="Q15" i="2"/>
  <c r="Q8" i="2"/>
  <c r="Q17" i="2"/>
  <c r="P19" i="2"/>
  <c r="S25" i="2"/>
  <c r="O25" i="2"/>
  <c r="J17" i="2"/>
  <c r="D19" i="2"/>
  <c r="E17" i="2"/>
  <c r="Q29" i="2"/>
  <c r="Q28" i="2"/>
  <c r="M13" i="2"/>
  <c r="Q20" i="2"/>
  <c r="M16" i="2"/>
  <c r="E16" i="2"/>
  <c r="Q25" i="2"/>
  <c r="Q18" i="2"/>
  <c r="G14" i="2"/>
  <c r="I28" i="2"/>
  <c r="Q34" i="2"/>
  <c r="Q37" i="5" s="1"/>
  <c r="G23" i="2"/>
  <c r="H26" i="2"/>
  <c r="I26" i="2" s="1"/>
  <c r="I22" i="2"/>
  <c r="AA14" i="2"/>
  <c r="E11" i="2"/>
  <c r="E34" i="2"/>
  <c r="E29" i="2"/>
  <c r="E24" i="2"/>
  <c r="I15" i="2"/>
  <c r="Q23" i="2"/>
  <c r="E15" i="2"/>
  <c r="I23" i="2"/>
  <c r="I18" i="2"/>
  <c r="E9" i="2"/>
  <c r="E21" i="2"/>
  <c r="I13" i="2"/>
  <c r="E8" i="2"/>
  <c r="O16" i="2"/>
  <c r="O34" i="2"/>
  <c r="O37" i="5" s="1"/>
  <c r="O29" i="2"/>
  <c r="O24" i="2"/>
  <c r="K25" i="2"/>
  <c r="G25" i="2"/>
  <c r="M12" i="2"/>
  <c r="M7" i="2"/>
  <c r="I20" i="2"/>
  <c r="E10" i="2"/>
  <c r="G13" i="2"/>
  <c r="I9" i="2"/>
  <c r="E14" i="2"/>
  <c r="G11" i="2"/>
  <c r="O13" i="2"/>
  <c r="Q9" i="2"/>
  <c r="Q11" i="2"/>
  <c r="R22" i="2"/>
  <c r="L26" i="2"/>
  <c r="M22" i="2"/>
  <c r="E12" i="2"/>
  <c r="R25" i="2"/>
  <c r="M25" i="2"/>
  <c r="R17" i="2"/>
  <c r="M17" i="2"/>
  <c r="L19" i="2"/>
  <c r="M23" i="2"/>
  <c r="AD13" i="2"/>
  <c r="Q14" i="2"/>
  <c r="AE22" i="12" l="1"/>
  <c r="X28" i="6"/>
  <c r="AE10" i="13"/>
  <c r="AD10" i="13"/>
  <c r="J17" i="4"/>
  <c r="Q15" i="4"/>
  <c r="U11" i="5"/>
  <c r="H20" i="13"/>
  <c r="H22" i="5"/>
  <c r="AC20" i="13"/>
  <c r="AD20" i="13" s="1"/>
  <c r="U30" i="5"/>
  <c r="H38" i="13"/>
  <c r="H34" i="13"/>
  <c r="AD18" i="13"/>
  <c r="P22" i="5"/>
  <c r="P20" i="13"/>
  <c r="Q20" i="5"/>
  <c r="R9" i="5"/>
  <c r="L9" i="13"/>
  <c r="U19" i="5"/>
  <c r="H23" i="13"/>
  <c r="H25" i="5"/>
  <c r="Q24" i="4"/>
  <c r="N9" i="13"/>
  <c r="S9" i="5"/>
  <c r="N34" i="13"/>
  <c r="N38" i="13"/>
  <c r="S34" i="5"/>
  <c r="I12" i="4"/>
  <c r="H18" i="13"/>
  <c r="U9" i="5"/>
  <c r="F13" i="13"/>
  <c r="K13" i="5"/>
  <c r="G13" i="5"/>
  <c r="Q21" i="4"/>
  <c r="P17" i="5"/>
  <c r="P7" i="13"/>
  <c r="Q7" i="5"/>
  <c r="Q20" i="11"/>
  <c r="P22" i="11"/>
  <c r="AE13" i="10"/>
  <c r="AA14" i="10"/>
  <c r="AJ21" i="13"/>
  <c r="F17" i="5"/>
  <c r="G9" i="5" s="1"/>
  <c r="G7" i="4"/>
  <c r="G8" i="4"/>
  <c r="G28" i="4"/>
  <c r="G34" i="4"/>
  <c r="G10" i="4"/>
  <c r="G13" i="4"/>
  <c r="G21" i="4"/>
  <c r="G29" i="4"/>
  <c r="G9" i="4"/>
  <c r="G18" i="4"/>
  <c r="G12" i="4"/>
  <c r="G23" i="4"/>
  <c r="G31" i="4"/>
  <c r="G11" i="4"/>
  <c r="K17" i="4"/>
  <c r="F19" i="4"/>
  <c r="G20" i="4"/>
  <c r="G24" i="4"/>
  <c r="L8" i="13"/>
  <c r="R8" i="5"/>
  <c r="N12" i="13"/>
  <c r="S12" i="5"/>
  <c r="R24" i="5"/>
  <c r="L24" i="13"/>
  <c r="O10" i="5"/>
  <c r="N10" i="13"/>
  <c r="S10" i="5"/>
  <c r="Q31" i="5"/>
  <c r="P31" i="13"/>
  <c r="AF13" i="5"/>
  <c r="AB13" i="13"/>
  <c r="Q29" i="5"/>
  <c r="P29" i="13"/>
  <c r="AE9" i="11"/>
  <c r="AA13" i="11"/>
  <c r="AD9" i="11"/>
  <c r="L18" i="13"/>
  <c r="R18" i="5"/>
  <c r="P15" i="13"/>
  <c r="Q15" i="5"/>
  <c r="R15" i="5"/>
  <c r="L15" i="13"/>
  <c r="H12" i="13"/>
  <c r="N13" i="13"/>
  <c r="S13" i="5"/>
  <c r="F8" i="13"/>
  <c r="K8" i="5"/>
  <c r="G8" i="5"/>
  <c r="F9" i="13"/>
  <c r="K9" i="5"/>
  <c r="N28" i="13"/>
  <c r="S28" i="5"/>
  <c r="O28" i="5"/>
  <c r="Q17" i="4"/>
  <c r="P19" i="4"/>
  <c r="Q19" i="4" s="1"/>
  <c r="Q13" i="4"/>
  <c r="Q9" i="4"/>
  <c r="X22" i="4"/>
  <c r="AE22" i="4" s="1"/>
  <c r="X17" i="5"/>
  <c r="X22" i="5" s="1"/>
  <c r="P26" i="10"/>
  <c r="Q22" i="10"/>
  <c r="I25" i="4"/>
  <c r="AD8" i="13"/>
  <c r="L25" i="5"/>
  <c r="L23" i="13"/>
  <c r="R23" i="5"/>
  <c r="G29" i="5"/>
  <c r="F29" i="13"/>
  <c r="K29" i="5"/>
  <c r="N22" i="11"/>
  <c r="S20" i="11"/>
  <c r="AC14" i="4"/>
  <c r="AD13" i="4"/>
  <c r="H10" i="13"/>
  <c r="I10" i="5"/>
  <c r="Q31" i="4"/>
  <c r="AE7" i="13"/>
  <c r="R25" i="10"/>
  <c r="L26" i="10"/>
  <c r="H24" i="13"/>
  <c r="U20" i="5"/>
  <c r="I24" i="5"/>
  <c r="J28" i="5"/>
  <c r="D28" i="13"/>
  <c r="R13" i="5"/>
  <c r="L13" i="13"/>
  <c r="Q29" i="4"/>
  <c r="S21" i="5"/>
  <c r="N21" i="13"/>
  <c r="O21" i="5"/>
  <c r="F24" i="13"/>
  <c r="K24" i="5"/>
  <c r="G24" i="5"/>
  <c r="AE19" i="11"/>
  <c r="AD19" i="11"/>
  <c r="U25" i="5"/>
  <c r="D29" i="13"/>
  <c r="J29" i="5"/>
  <c r="AE8" i="13"/>
  <c r="N24" i="13"/>
  <c r="S24" i="5"/>
  <c r="N15" i="13"/>
  <c r="S15" i="5"/>
  <c r="Q7" i="4"/>
  <c r="Q18" i="4"/>
  <c r="O22" i="10"/>
  <c r="S22" i="10"/>
  <c r="Y22" i="5"/>
  <c r="P23" i="13"/>
  <c r="P25" i="5"/>
  <c r="Q23" i="5"/>
  <c r="L11" i="13"/>
  <c r="R11" i="5"/>
  <c r="N29" i="13"/>
  <c r="S29" i="5"/>
  <c r="G18" i="5"/>
  <c r="F18" i="13"/>
  <c r="K18" i="5"/>
  <c r="I10" i="4"/>
  <c r="D38" i="13"/>
  <c r="D34" i="13"/>
  <c r="J34" i="5"/>
  <c r="J38" i="13" s="1"/>
  <c r="I24" i="4"/>
  <c r="N23" i="13"/>
  <c r="N25" i="5"/>
  <c r="S23" i="5"/>
  <c r="AD17" i="10"/>
  <c r="AC17" i="11"/>
  <c r="AF17" i="10"/>
  <c r="AC22" i="10"/>
  <c r="P8" i="13"/>
  <c r="Q8" i="5"/>
  <c r="F15" i="13"/>
  <c r="K15" i="5"/>
  <c r="G15" i="5"/>
  <c r="K20" i="5"/>
  <c r="F20" i="13"/>
  <c r="G20" i="5"/>
  <c r="S24" i="11"/>
  <c r="N25" i="11"/>
  <c r="D14" i="13"/>
  <c r="J14" i="5"/>
  <c r="L29" i="13"/>
  <c r="R29" i="5"/>
  <c r="AF14" i="4"/>
  <c r="D20" i="13"/>
  <c r="D22" i="5"/>
  <c r="J20" i="5"/>
  <c r="K16" i="13"/>
  <c r="N7" i="13"/>
  <c r="N17" i="5"/>
  <c r="O9" i="5" s="1"/>
  <c r="S7" i="5"/>
  <c r="J7" i="5"/>
  <c r="D7" i="13"/>
  <c r="D17" i="5"/>
  <c r="E23" i="5" s="1"/>
  <c r="N14" i="13"/>
  <c r="S14" i="5"/>
  <c r="P12" i="13"/>
  <c r="Q12" i="5"/>
  <c r="P18" i="13"/>
  <c r="Q18" i="5"/>
  <c r="AF13" i="11"/>
  <c r="L14" i="13"/>
  <c r="R14" i="5"/>
  <c r="R31" i="5"/>
  <c r="R7" i="5"/>
  <c r="L7" i="13"/>
  <c r="L17" i="5"/>
  <c r="D8" i="13"/>
  <c r="J8" i="5"/>
  <c r="Q23" i="4"/>
  <c r="J24" i="5"/>
  <c r="D24" i="13"/>
  <c r="G23" i="5"/>
  <c r="F23" i="13"/>
  <c r="F25" i="5"/>
  <c r="K23" i="5"/>
  <c r="H28" i="13"/>
  <c r="U24" i="5"/>
  <c r="Y22" i="10"/>
  <c r="Y17" i="11"/>
  <c r="Y22" i="11" s="1"/>
  <c r="AF22" i="11" s="1"/>
  <c r="J15" i="5"/>
  <c r="D15" i="13"/>
  <c r="AD19" i="13"/>
  <c r="D38" i="11"/>
  <c r="AA22" i="10"/>
  <c r="AA17" i="11"/>
  <c r="AE17" i="10"/>
  <c r="H26" i="11"/>
  <c r="K26" i="11" s="1"/>
  <c r="P10" i="13"/>
  <c r="Q10" i="5"/>
  <c r="R28" i="5"/>
  <c r="L28" i="13"/>
  <c r="Q8" i="4"/>
  <c r="G34" i="5"/>
  <c r="G38" i="13" s="1"/>
  <c r="F34" i="13"/>
  <c r="F38" i="13"/>
  <c r="K34" i="5"/>
  <c r="K38" i="13" s="1"/>
  <c r="F22" i="5"/>
  <c r="K22" i="4"/>
  <c r="G22" i="4"/>
  <c r="Q25" i="11"/>
  <c r="J21" i="13"/>
  <c r="D22" i="13"/>
  <c r="S20" i="5"/>
  <c r="N20" i="13"/>
  <c r="N22" i="5"/>
  <c r="O20" i="5"/>
  <c r="H21" i="13"/>
  <c r="U17" i="5"/>
  <c r="I21" i="5"/>
  <c r="J22" i="4"/>
  <c r="N19" i="4"/>
  <c r="N27" i="4" s="1"/>
  <c r="O8" i="4"/>
  <c r="O24" i="4"/>
  <c r="O18" i="4"/>
  <c r="O13" i="4"/>
  <c r="O11" i="4"/>
  <c r="O9" i="4"/>
  <c r="O28" i="4"/>
  <c r="O34" i="4"/>
  <c r="O12" i="4"/>
  <c r="S17" i="4"/>
  <c r="O17" i="4"/>
  <c r="O20" i="4"/>
  <c r="O21" i="4"/>
  <c r="O14" i="4"/>
  <c r="O29" i="4"/>
  <c r="O16" i="4"/>
  <c r="O15" i="4"/>
  <c r="O23" i="4"/>
  <c r="O31" i="4"/>
  <c r="O7" i="4"/>
  <c r="O10" i="4"/>
  <c r="Q12" i="4"/>
  <c r="D18" i="13"/>
  <c r="J18" i="5"/>
  <c r="AJ9" i="13"/>
  <c r="Q25" i="4"/>
  <c r="Q34" i="5"/>
  <c r="P34" i="13"/>
  <c r="P38" i="13"/>
  <c r="AA13" i="13"/>
  <c r="AE13" i="5"/>
  <c r="L10" i="13"/>
  <c r="R10" i="5"/>
  <c r="N31" i="13"/>
  <c r="S31" i="5"/>
  <c r="P14" i="13"/>
  <c r="Q14" i="5"/>
  <c r="F27" i="4"/>
  <c r="AD7" i="13"/>
  <c r="AF11" i="13"/>
  <c r="S22" i="4"/>
  <c r="O22" i="4"/>
  <c r="AE11" i="11"/>
  <c r="AD11" i="11"/>
  <c r="AJ11" i="13" s="1"/>
  <c r="AA11" i="13"/>
  <c r="J13" i="5"/>
  <c r="D13" i="13"/>
  <c r="D25" i="5"/>
  <c r="D23" i="13"/>
  <c r="J23" i="5"/>
  <c r="D12" i="13"/>
  <c r="J12" i="5"/>
  <c r="AE9" i="13"/>
  <c r="X22" i="10"/>
  <c r="AE22" i="10" s="1"/>
  <c r="X17" i="11"/>
  <c r="X22" i="11" s="1"/>
  <c r="Z13" i="13"/>
  <c r="Z14" i="13" s="1"/>
  <c r="Z17" i="13" s="1"/>
  <c r="Z22" i="13" s="1"/>
  <c r="AD22" i="13" s="1"/>
  <c r="Z17" i="5"/>
  <c r="Q34" i="4"/>
  <c r="D11" i="13"/>
  <c r="J11" i="5"/>
  <c r="G31" i="5"/>
  <c r="F31" i="13"/>
  <c r="K31" i="5"/>
  <c r="X14" i="13"/>
  <c r="X17" i="13" s="1"/>
  <c r="X22" i="13" s="1"/>
  <c r="H14" i="13"/>
  <c r="H15" i="13"/>
  <c r="I15" i="5"/>
  <c r="AJ19" i="13"/>
  <c r="Q14" i="4"/>
  <c r="P38" i="11"/>
  <c r="L38" i="13"/>
  <c r="L34" i="13"/>
  <c r="R34" i="5"/>
  <c r="AA5" i="12"/>
  <c r="AA5" i="11"/>
  <c r="F11" i="13"/>
  <c r="K11" i="5"/>
  <c r="G11" i="5"/>
  <c r="P11" i="13"/>
  <c r="Q11" i="5"/>
  <c r="G12" i="5"/>
  <c r="F12" i="13"/>
  <c r="K12" i="5"/>
  <c r="F28" i="13"/>
  <c r="K28" i="5"/>
  <c r="G28" i="5"/>
  <c r="I17" i="4"/>
  <c r="H19" i="4"/>
  <c r="I19" i="4" s="1"/>
  <c r="I9" i="4"/>
  <c r="I13" i="4"/>
  <c r="L20" i="13"/>
  <c r="L22" i="5"/>
  <c r="R20" i="5"/>
  <c r="AC9" i="13"/>
  <c r="AF9" i="13" s="1"/>
  <c r="N8" i="13"/>
  <c r="S8" i="5"/>
  <c r="AD13" i="5"/>
  <c r="AL13" i="13"/>
  <c r="AC13" i="13"/>
  <c r="AD13" i="13" s="1"/>
  <c r="AC14" i="5"/>
  <c r="AF21" i="13"/>
  <c r="AD21" i="13"/>
  <c r="H29" i="13"/>
  <c r="AF7" i="13"/>
  <c r="AE20" i="13"/>
  <c r="I14" i="4"/>
  <c r="S12" i="11"/>
  <c r="N17" i="11"/>
  <c r="O23" i="11" s="1"/>
  <c r="I15" i="4"/>
  <c r="I8" i="4"/>
  <c r="H31" i="13"/>
  <c r="U27" i="5"/>
  <c r="I31" i="5"/>
  <c r="Z27" i="6"/>
  <c r="Z29" i="6" s="1"/>
  <c r="Z30" i="6" s="1"/>
  <c r="AA17" i="12"/>
  <c r="AD17" i="12" s="1"/>
  <c r="AD13" i="12"/>
  <c r="H11" i="13"/>
  <c r="J9" i="5"/>
  <c r="D9" i="13"/>
  <c r="F26" i="11"/>
  <c r="G26" i="11" s="1"/>
  <c r="K25" i="11"/>
  <c r="N11" i="13"/>
  <c r="O11" i="5"/>
  <c r="S11" i="5"/>
  <c r="Q31" i="11"/>
  <c r="Q12" i="11"/>
  <c r="Q24" i="11"/>
  <c r="Q7" i="11"/>
  <c r="Q11" i="11"/>
  <c r="Q23" i="11"/>
  <c r="Q9" i="11"/>
  <c r="P19" i="11"/>
  <c r="Q21" i="11"/>
  <c r="Q10" i="11"/>
  <c r="Q29" i="11"/>
  <c r="Q18" i="11"/>
  <c r="Q8" i="11"/>
  <c r="Q17" i="11"/>
  <c r="Q34" i="11"/>
  <c r="P24" i="13"/>
  <c r="Q24" i="5"/>
  <c r="H17" i="5"/>
  <c r="I18" i="5" s="1"/>
  <c r="H7" i="13"/>
  <c r="I18" i="4"/>
  <c r="AD10" i="11"/>
  <c r="AJ10" i="13" s="1"/>
  <c r="AE10" i="11"/>
  <c r="J31" i="5"/>
  <c r="Q21" i="5"/>
  <c r="P21" i="13"/>
  <c r="R22" i="4"/>
  <c r="AE12" i="13"/>
  <c r="AD12" i="13"/>
  <c r="AL9" i="13"/>
  <c r="Y13" i="13"/>
  <c r="Y14" i="13" s="1"/>
  <c r="L12" i="13"/>
  <c r="R12" i="5"/>
  <c r="G14" i="5"/>
  <c r="F14" i="13"/>
  <c r="K14" i="5"/>
  <c r="AL21" i="13"/>
  <c r="F7" i="13"/>
  <c r="K7" i="5"/>
  <c r="G7" i="5"/>
  <c r="D10" i="13"/>
  <c r="J10" i="5"/>
  <c r="G10" i="5"/>
  <c r="F10" i="13"/>
  <c r="K10" i="5"/>
  <c r="O18" i="5"/>
  <c r="N18" i="13"/>
  <c r="S18" i="5"/>
  <c r="I29" i="4"/>
  <c r="P28" i="13"/>
  <c r="Q28" i="5"/>
  <c r="AA19" i="13"/>
  <c r="AE19" i="13" s="1"/>
  <c r="R23" i="11"/>
  <c r="L25" i="11"/>
  <c r="AF13" i="4"/>
  <c r="K21" i="5"/>
  <c r="F21" i="13"/>
  <c r="G21" i="5"/>
  <c r="H8" i="13"/>
  <c r="I31" i="4"/>
  <c r="Z24" i="11"/>
  <c r="AD22" i="10"/>
  <c r="M25" i="12"/>
  <c r="L26" i="12"/>
  <c r="R25" i="12"/>
  <c r="AA22" i="12"/>
  <c r="E26" i="12"/>
  <c r="J26" i="12"/>
  <c r="P27" i="12"/>
  <c r="P40" i="6" s="1"/>
  <c r="H30" i="12"/>
  <c r="H33" i="12"/>
  <c r="I33" i="12" s="1"/>
  <c r="I27" i="12"/>
  <c r="AD22" i="12"/>
  <c r="AD14" i="12"/>
  <c r="G27" i="12"/>
  <c r="G33" i="12" s="1"/>
  <c r="F30" i="12"/>
  <c r="K27" i="12"/>
  <c r="F33" i="12"/>
  <c r="O27" i="12"/>
  <c r="N30" i="12"/>
  <c r="S27" i="12"/>
  <c r="N33" i="12"/>
  <c r="O26" i="12"/>
  <c r="S26" i="12"/>
  <c r="J19" i="12"/>
  <c r="D27" i="12"/>
  <c r="D40" i="6" s="1"/>
  <c r="E19" i="12"/>
  <c r="R19" i="11"/>
  <c r="M19" i="11"/>
  <c r="E26" i="11"/>
  <c r="J26" i="11"/>
  <c r="F27" i="11"/>
  <c r="K19" i="11"/>
  <c r="G19" i="11"/>
  <c r="J19" i="11"/>
  <c r="D27" i="11"/>
  <c r="D39" i="6" s="1"/>
  <c r="E19" i="11"/>
  <c r="F30" i="10"/>
  <c r="K27" i="10"/>
  <c r="G27" i="10"/>
  <c r="N30" i="10"/>
  <c r="O27" i="10"/>
  <c r="D27" i="10"/>
  <c r="E19" i="10"/>
  <c r="J19" i="10"/>
  <c r="K26" i="10"/>
  <c r="G26" i="10"/>
  <c r="S26" i="10"/>
  <c r="O26" i="10"/>
  <c r="I27" i="10"/>
  <c r="H30" i="10"/>
  <c r="L27" i="10"/>
  <c r="M19" i="10"/>
  <c r="R19" i="10"/>
  <c r="K22" i="9"/>
  <c r="K26" i="9" s="1"/>
  <c r="K27" i="9" s="1"/>
  <c r="G22" i="9"/>
  <c r="G26" i="9" s="1"/>
  <c r="G27" i="9" s="1"/>
  <c r="O19" i="9"/>
  <c r="N27" i="9"/>
  <c r="S19" i="9"/>
  <c r="R22" i="9"/>
  <c r="L26" i="9"/>
  <c r="Q30" i="9"/>
  <c r="P32" i="9"/>
  <c r="J32" i="9"/>
  <c r="E32" i="9"/>
  <c r="D33" i="9"/>
  <c r="E33" i="9" s="1"/>
  <c r="E22" i="9"/>
  <c r="E26" i="9" s="1"/>
  <c r="E27" i="9" s="1"/>
  <c r="M22" i="9"/>
  <c r="M26" i="9" s="1"/>
  <c r="M27" i="9" s="1"/>
  <c r="P29" i="8"/>
  <c r="Q26" i="8"/>
  <c r="Q35" i="11" s="1"/>
  <c r="E26" i="8"/>
  <c r="J26" i="8"/>
  <c r="D29" i="8"/>
  <c r="L30" i="8"/>
  <c r="R29" i="8"/>
  <c r="M29" i="8"/>
  <c r="H31" i="8"/>
  <c r="I29" i="8"/>
  <c r="R32" i="8"/>
  <c r="M32" i="8"/>
  <c r="S30" i="7"/>
  <c r="P32" i="7"/>
  <c r="Q30" i="7"/>
  <c r="R27" i="7"/>
  <c r="L30" i="7"/>
  <c r="M27" i="7"/>
  <c r="I27" i="7"/>
  <c r="H30" i="7"/>
  <c r="H38" i="11" s="1"/>
  <c r="K27" i="7"/>
  <c r="AC22" i="7"/>
  <c r="AF17" i="7"/>
  <c r="AD17" i="7"/>
  <c r="D32" i="7"/>
  <c r="E30" i="7"/>
  <c r="J30" i="7"/>
  <c r="AA22" i="7"/>
  <c r="AE17" i="7"/>
  <c r="S19" i="6"/>
  <c r="N27" i="6"/>
  <c r="O19" i="6"/>
  <c r="E26" i="6"/>
  <c r="J26" i="6"/>
  <c r="AC17" i="6"/>
  <c r="AD14" i="6"/>
  <c r="AF14" i="6"/>
  <c r="P27" i="6"/>
  <c r="Q19" i="6"/>
  <c r="R19" i="6"/>
  <c r="L27" i="6"/>
  <c r="M19" i="6"/>
  <c r="M26" i="6"/>
  <c r="R26" i="6"/>
  <c r="S26" i="6"/>
  <c r="O26" i="6"/>
  <c r="H27" i="6"/>
  <c r="I19" i="6"/>
  <c r="K26" i="6"/>
  <c r="G26" i="6"/>
  <c r="K19" i="6"/>
  <c r="F27" i="6"/>
  <c r="G19" i="6"/>
  <c r="J19" i="6"/>
  <c r="D27" i="6"/>
  <c r="E19" i="6"/>
  <c r="AE14" i="6"/>
  <c r="AA17" i="6"/>
  <c r="G27" i="4"/>
  <c r="F30" i="4"/>
  <c r="AE14" i="4"/>
  <c r="AA17" i="4"/>
  <c r="K26" i="4"/>
  <c r="G26" i="4"/>
  <c r="E19" i="4"/>
  <c r="J19" i="4"/>
  <c r="D27" i="4"/>
  <c r="Q26" i="4"/>
  <c r="P27" i="4"/>
  <c r="S26" i="4"/>
  <c r="O26" i="4"/>
  <c r="I26" i="4"/>
  <c r="H27" i="4"/>
  <c r="K27" i="4" s="1"/>
  <c r="M19" i="4"/>
  <c r="R19" i="4"/>
  <c r="L27" i="4"/>
  <c r="R26" i="4"/>
  <c r="M26" i="4"/>
  <c r="J26" i="4"/>
  <c r="E26" i="4"/>
  <c r="K26" i="3"/>
  <c r="G26" i="3"/>
  <c r="I19" i="3"/>
  <c r="H27" i="3"/>
  <c r="S26" i="3"/>
  <c r="O26" i="3"/>
  <c r="L27" i="3"/>
  <c r="R19" i="3"/>
  <c r="M19" i="3"/>
  <c r="S19" i="3"/>
  <c r="O19" i="3"/>
  <c r="N27" i="3"/>
  <c r="M26" i="3"/>
  <c r="R26" i="3"/>
  <c r="D27" i="3"/>
  <c r="J19" i="3"/>
  <c r="E19" i="3"/>
  <c r="F27" i="3"/>
  <c r="Q19" i="3"/>
  <c r="P27" i="3"/>
  <c r="E26" i="3"/>
  <c r="J26" i="3"/>
  <c r="AC22" i="2"/>
  <c r="K26" i="2"/>
  <c r="G26" i="2"/>
  <c r="R26" i="2"/>
  <c r="M26" i="2"/>
  <c r="AA17" i="2"/>
  <c r="AE14" i="2"/>
  <c r="E19" i="2"/>
  <c r="J19" i="2"/>
  <c r="D27" i="2"/>
  <c r="S26" i="2"/>
  <c r="O26" i="2"/>
  <c r="G19" i="2"/>
  <c r="F27" i="2"/>
  <c r="K19" i="2"/>
  <c r="M19" i="2"/>
  <c r="R19" i="2"/>
  <c r="L27" i="2"/>
  <c r="H27" i="2"/>
  <c r="I19" i="2"/>
  <c r="J26" i="2"/>
  <c r="E26" i="2"/>
  <c r="AB17" i="2"/>
  <c r="AF14" i="2"/>
  <c r="O19" i="2"/>
  <c r="N27" i="2"/>
  <c r="S19" i="2"/>
  <c r="P27" i="2"/>
  <c r="Q19" i="2"/>
  <c r="AD14" i="2"/>
  <c r="O27" i="4" l="1"/>
  <c r="N30" i="4"/>
  <c r="O30" i="4" s="1"/>
  <c r="J9" i="13"/>
  <c r="L39" i="11"/>
  <c r="L31" i="10"/>
  <c r="K33" i="12"/>
  <c r="K21" i="13"/>
  <c r="K12" i="13"/>
  <c r="G12" i="13"/>
  <c r="AB17" i="5"/>
  <c r="AB17" i="4"/>
  <c r="Q24" i="13"/>
  <c r="Q19" i="11"/>
  <c r="I11" i="13"/>
  <c r="J29" i="13"/>
  <c r="O8" i="5"/>
  <c r="R34" i="13"/>
  <c r="M34" i="13"/>
  <c r="I14" i="5"/>
  <c r="Z22" i="5"/>
  <c r="AI17" i="13"/>
  <c r="AE13" i="13"/>
  <c r="K25" i="5"/>
  <c r="F25" i="13"/>
  <c r="G25" i="5"/>
  <c r="R14" i="13"/>
  <c r="O14" i="5"/>
  <c r="R26" i="10"/>
  <c r="M26" i="10"/>
  <c r="AC17" i="4"/>
  <c r="AD14" i="4"/>
  <c r="R23" i="13"/>
  <c r="M23" i="13"/>
  <c r="S13" i="13"/>
  <c r="I23" i="5"/>
  <c r="P22" i="13"/>
  <c r="Q22" i="5"/>
  <c r="P26" i="5"/>
  <c r="H22" i="13"/>
  <c r="I22" i="5"/>
  <c r="H26" i="5"/>
  <c r="U18" i="5"/>
  <c r="AD17" i="2"/>
  <c r="AA17" i="5"/>
  <c r="F17" i="13"/>
  <c r="K7" i="13"/>
  <c r="G7" i="13"/>
  <c r="Q11" i="13"/>
  <c r="E22" i="13"/>
  <c r="G34" i="13"/>
  <c r="E31" i="5"/>
  <c r="E21" i="5"/>
  <c r="E24" i="5"/>
  <c r="E11" i="5"/>
  <c r="J17" i="5"/>
  <c r="E18" i="5"/>
  <c r="E34" i="5"/>
  <c r="E38" i="13" s="1"/>
  <c r="E7" i="5"/>
  <c r="E12" i="5"/>
  <c r="E28" i="5"/>
  <c r="E9" i="5"/>
  <c r="D19" i="5"/>
  <c r="E17" i="5"/>
  <c r="E8" i="5"/>
  <c r="E10" i="5"/>
  <c r="J14" i="13"/>
  <c r="R11" i="13"/>
  <c r="S24" i="13"/>
  <c r="R13" i="13"/>
  <c r="M13" i="13"/>
  <c r="L25" i="13"/>
  <c r="R25" i="5"/>
  <c r="M25" i="5"/>
  <c r="I12" i="5"/>
  <c r="R18" i="13"/>
  <c r="Q31" i="13"/>
  <c r="S12" i="13"/>
  <c r="AE14" i="10"/>
  <c r="AD14" i="10"/>
  <c r="H25" i="13"/>
  <c r="I25" i="13" s="1"/>
  <c r="I25" i="5"/>
  <c r="U21" i="5"/>
  <c r="I20" i="13"/>
  <c r="L26" i="11"/>
  <c r="M25" i="11"/>
  <c r="R25" i="11"/>
  <c r="S8" i="13"/>
  <c r="O8" i="13"/>
  <c r="H27" i="11"/>
  <c r="H39" i="6" s="1"/>
  <c r="O10" i="11"/>
  <c r="O11" i="11"/>
  <c r="O8" i="11"/>
  <c r="S17" i="11"/>
  <c r="O28" i="11"/>
  <c r="O7" i="11"/>
  <c r="O18" i="11"/>
  <c r="N19" i="11"/>
  <c r="O12" i="11"/>
  <c r="O34" i="11"/>
  <c r="O29" i="11"/>
  <c r="O33" i="11"/>
  <c r="O17" i="11"/>
  <c r="O9" i="11"/>
  <c r="O31" i="11"/>
  <c r="AE22" i="11"/>
  <c r="X27" i="6"/>
  <c r="X29" i="6" s="1"/>
  <c r="X30" i="6" s="1"/>
  <c r="AF22" i="10"/>
  <c r="Y24" i="11"/>
  <c r="M31" i="5"/>
  <c r="M12" i="5"/>
  <c r="M28" i="5"/>
  <c r="M21" i="5"/>
  <c r="M9" i="5"/>
  <c r="M29" i="5"/>
  <c r="L19" i="5"/>
  <c r="M14" i="5"/>
  <c r="M13" i="5"/>
  <c r="M34" i="5"/>
  <c r="M38" i="13" s="1"/>
  <c r="M18" i="5"/>
  <c r="M24" i="5"/>
  <c r="M17" i="5"/>
  <c r="M23" i="5"/>
  <c r="M20" i="5"/>
  <c r="R17" i="5"/>
  <c r="M8" i="5"/>
  <c r="M11" i="5"/>
  <c r="M10" i="5"/>
  <c r="M7" i="5"/>
  <c r="J7" i="13"/>
  <c r="D17" i="13"/>
  <c r="E9" i="13" s="1"/>
  <c r="E7" i="13"/>
  <c r="S25" i="5"/>
  <c r="N25" i="13"/>
  <c r="O25" i="5"/>
  <c r="O20" i="11"/>
  <c r="K9" i="13"/>
  <c r="G9" i="13"/>
  <c r="O12" i="5"/>
  <c r="I34" i="5"/>
  <c r="I38" i="13" s="1"/>
  <c r="J8" i="13"/>
  <c r="E8" i="13"/>
  <c r="D25" i="13"/>
  <c r="D26" i="13" s="1"/>
  <c r="J23" i="13"/>
  <c r="E23" i="13"/>
  <c r="S34" i="13"/>
  <c r="Q34" i="13"/>
  <c r="O24" i="11"/>
  <c r="I26" i="11"/>
  <c r="AE17" i="12"/>
  <c r="I8" i="5"/>
  <c r="G10" i="13"/>
  <c r="K10" i="13"/>
  <c r="AD22" i="11"/>
  <c r="AD14" i="5"/>
  <c r="AJ14" i="13" s="1"/>
  <c r="AL14" i="13"/>
  <c r="AE14" i="5"/>
  <c r="AF14" i="5"/>
  <c r="K31" i="13"/>
  <c r="G31" i="13"/>
  <c r="J25" i="5"/>
  <c r="E25" i="5"/>
  <c r="S31" i="13"/>
  <c r="Q38" i="13"/>
  <c r="I21" i="13"/>
  <c r="AE17" i="11"/>
  <c r="AA22" i="11"/>
  <c r="R7" i="13"/>
  <c r="L17" i="13"/>
  <c r="M14" i="13" s="1"/>
  <c r="M7" i="13"/>
  <c r="S18" i="13"/>
  <c r="D26" i="5"/>
  <c r="E22" i="5"/>
  <c r="J22" i="5"/>
  <c r="N26" i="11"/>
  <c r="O25" i="11"/>
  <c r="S25" i="11"/>
  <c r="S23" i="13"/>
  <c r="G18" i="13"/>
  <c r="P25" i="13"/>
  <c r="Q25" i="5"/>
  <c r="AA14" i="13"/>
  <c r="J28" i="13"/>
  <c r="E28" i="13"/>
  <c r="S22" i="11"/>
  <c r="O22" i="11"/>
  <c r="AC14" i="13"/>
  <c r="AF20" i="13"/>
  <c r="AE13" i="11"/>
  <c r="AD13" i="11"/>
  <c r="P26" i="11"/>
  <c r="Q26" i="11" s="1"/>
  <c r="Q22" i="11"/>
  <c r="K13" i="13"/>
  <c r="G13" i="13"/>
  <c r="O34" i="5"/>
  <c r="O38" i="13" s="1"/>
  <c r="K34" i="13"/>
  <c r="M15" i="5"/>
  <c r="AE22" i="13"/>
  <c r="K23" i="13"/>
  <c r="G23" i="13"/>
  <c r="O11" i="13"/>
  <c r="S11" i="13"/>
  <c r="G15" i="13"/>
  <c r="L31" i="8"/>
  <c r="U21" i="11"/>
  <c r="G14" i="13"/>
  <c r="K14" i="13"/>
  <c r="I7" i="5"/>
  <c r="AA30" i="6"/>
  <c r="L22" i="13"/>
  <c r="L26" i="5"/>
  <c r="R22" i="5"/>
  <c r="M22" i="5"/>
  <c r="K28" i="13"/>
  <c r="G28" i="13"/>
  <c r="K11" i="13"/>
  <c r="G11" i="13"/>
  <c r="AD9" i="13"/>
  <c r="J13" i="13"/>
  <c r="E13" i="13"/>
  <c r="O31" i="5"/>
  <c r="R28" i="13"/>
  <c r="M28" i="13"/>
  <c r="I28" i="5"/>
  <c r="O7" i="5"/>
  <c r="J20" i="13"/>
  <c r="E20" i="13"/>
  <c r="Q8" i="13"/>
  <c r="O23" i="5"/>
  <c r="O15" i="5"/>
  <c r="K24" i="13"/>
  <c r="G24" i="13"/>
  <c r="R15" i="13"/>
  <c r="M15" i="13"/>
  <c r="O10" i="13"/>
  <c r="S10" i="13"/>
  <c r="R8" i="13"/>
  <c r="M8" i="13"/>
  <c r="R9" i="13"/>
  <c r="E20" i="5"/>
  <c r="J24" i="13"/>
  <c r="E24" i="13"/>
  <c r="AH17" i="13"/>
  <c r="E29" i="5"/>
  <c r="K29" i="13"/>
  <c r="G29" i="13"/>
  <c r="K8" i="13"/>
  <c r="G8" i="13"/>
  <c r="R29" i="13"/>
  <c r="O21" i="11"/>
  <c r="Q28" i="13"/>
  <c r="H17" i="13"/>
  <c r="I8" i="13" s="1"/>
  <c r="I7" i="13"/>
  <c r="N30" i="9"/>
  <c r="N38" i="11" s="1"/>
  <c r="N35" i="11"/>
  <c r="J11" i="13"/>
  <c r="E11" i="13"/>
  <c r="AE11" i="13"/>
  <c r="AD11" i="13"/>
  <c r="R10" i="13"/>
  <c r="M10" i="13"/>
  <c r="O19" i="4"/>
  <c r="S19" i="4"/>
  <c r="G22" i="5"/>
  <c r="F22" i="13"/>
  <c r="F26" i="5"/>
  <c r="K22" i="5"/>
  <c r="I28" i="13"/>
  <c r="N19" i="5"/>
  <c r="O17" i="5"/>
  <c r="S17" i="5"/>
  <c r="S29" i="13"/>
  <c r="Y17" i="13"/>
  <c r="Y22" i="13" s="1"/>
  <c r="AF22" i="13" s="1"/>
  <c r="O15" i="13"/>
  <c r="E29" i="13"/>
  <c r="S21" i="13"/>
  <c r="O21" i="13"/>
  <c r="I10" i="13"/>
  <c r="Q26" i="10"/>
  <c r="P27" i="10"/>
  <c r="O13" i="5"/>
  <c r="R24" i="13"/>
  <c r="M24" i="13"/>
  <c r="P17" i="13"/>
  <c r="Q14" i="13" s="1"/>
  <c r="Q7" i="13"/>
  <c r="K18" i="13"/>
  <c r="I18" i="13"/>
  <c r="S9" i="13"/>
  <c r="O9" i="13"/>
  <c r="Q21" i="13"/>
  <c r="R20" i="13"/>
  <c r="M20" i="13"/>
  <c r="J10" i="13"/>
  <c r="E10" i="13"/>
  <c r="H19" i="5"/>
  <c r="I13" i="5"/>
  <c r="I9" i="5"/>
  <c r="I17" i="5"/>
  <c r="AJ13" i="13"/>
  <c r="K15" i="13"/>
  <c r="I15" i="13"/>
  <c r="N22" i="13"/>
  <c r="O22" i="5"/>
  <c r="N26" i="5"/>
  <c r="S22" i="5"/>
  <c r="G20" i="13"/>
  <c r="K20" i="13"/>
  <c r="R12" i="13"/>
  <c r="M12" i="13"/>
  <c r="I11" i="5"/>
  <c r="I31" i="13"/>
  <c r="I29" i="5"/>
  <c r="I14" i="13"/>
  <c r="J12" i="13"/>
  <c r="E12" i="13"/>
  <c r="J18" i="13"/>
  <c r="E18" i="13"/>
  <c r="R21" i="13"/>
  <c r="S20" i="13"/>
  <c r="Q10" i="13"/>
  <c r="J15" i="13"/>
  <c r="E15" i="13"/>
  <c r="O14" i="13"/>
  <c r="S14" i="13"/>
  <c r="N17" i="13"/>
  <c r="S7" i="13"/>
  <c r="O7" i="13"/>
  <c r="M29" i="13"/>
  <c r="AC22" i="11"/>
  <c r="AD17" i="11"/>
  <c r="AF17" i="11"/>
  <c r="J34" i="13"/>
  <c r="E34" i="13"/>
  <c r="O29" i="5"/>
  <c r="AH22" i="13"/>
  <c r="Y23" i="13"/>
  <c r="O24" i="5"/>
  <c r="I24" i="13"/>
  <c r="X23" i="13"/>
  <c r="AE22" i="5"/>
  <c r="S28" i="13"/>
  <c r="S15" i="13"/>
  <c r="Q15" i="13"/>
  <c r="AB14" i="13"/>
  <c r="AF13" i="13"/>
  <c r="F19" i="5"/>
  <c r="G19" i="4"/>
  <c r="K19" i="4"/>
  <c r="K17" i="5"/>
  <c r="G17" i="5"/>
  <c r="Q17" i="5"/>
  <c r="P19" i="5"/>
  <c r="Q9" i="5"/>
  <c r="Q13" i="5"/>
  <c r="Q20" i="13"/>
  <c r="I20" i="5"/>
  <c r="O30" i="12"/>
  <c r="N32" i="12"/>
  <c r="D33" i="12"/>
  <c r="J33" i="12" s="1"/>
  <c r="E27" i="12"/>
  <c r="E33" i="12" s="1"/>
  <c r="D30" i="12"/>
  <c r="J27" i="12"/>
  <c r="I30" i="12"/>
  <c r="H32" i="12"/>
  <c r="P30" i="12"/>
  <c r="S30" i="12" s="1"/>
  <c r="P33" i="12"/>
  <c r="Q33" i="12" s="1"/>
  <c r="Q27" i="12"/>
  <c r="G30" i="12"/>
  <c r="K30" i="12"/>
  <c r="F32" i="12"/>
  <c r="O33" i="12"/>
  <c r="M26" i="12"/>
  <c r="R26" i="12"/>
  <c r="L27" i="12"/>
  <c r="L40" i="6" s="1"/>
  <c r="F30" i="11"/>
  <c r="G27" i="11"/>
  <c r="K27" i="11"/>
  <c r="D30" i="11"/>
  <c r="E27" i="11"/>
  <c r="J27" i="11"/>
  <c r="U22" i="11"/>
  <c r="H30" i="11"/>
  <c r="I27" i="11"/>
  <c r="N32" i="10"/>
  <c r="O30" i="10"/>
  <c r="L30" i="10"/>
  <c r="R27" i="10"/>
  <c r="M27" i="10"/>
  <c r="I30" i="10"/>
  <c r="H32" i="10"/>
  <c r="I32" i="10" s="1"/>
  <c r="D30" i="10"/>
  <c r="J27" i="10"/>
  <c r="E27" i="10"/>
  <c r="F32" i="10"/>
  <c r="K30" i="10"/>
  <c r="G30" i="10"/>
  <c r="O30" i="9"/>
  <c r="N32" i="9"/>
  <c r="N40" i="11" s="1"/>
  <c r="O22" i="9"/>
  <c r="O26" i="9" s="1"/>
  <c r="O27" i="9" s="1"/>
  <c r="Q32" i="9"/>
  <c r="P33" i="9"/>
  <c r="R26" i="9"/>
  <c r="R27" i="9" s="1"/>
  <c r="L27" i="9"/>
  <c r="R31" i="8"/>
  <c r="M31" i="8"/>
  <c r="M30" i="8"/>
  <c r="M39" i="11" s="1"/>
  <c r="R30" i="8"/>
  <c r="D30" i="8"/>
  <c r="D31" i="8" s="1"/>
  <c r="J29" i="8"/>
  <c r="E29" i="8"/>
  <c r="I31" i="8"/>
  <c r="H32" i="8"/>
  <c r="I32" i="8" s="1"/>
  <c r="P31" i="8"/>
  <c r="Q31" i="8" s="1"/>
  <c r="Q29" i="8"/>
  <c r="Q38" i="11" s="1"/>
  <c r="P32" i="8"/>
  <c r="Q32" i="8" s="1"/>
  <c r="K30" i="7"/>
  <c r="H32" i="7"/>
  <c r="H40" i="11" s="1"/>
  <c r="I30" i="7"/>
  <c r="E32" i="7"/>
  <c r="J32" i="7"/>
  <c r="D33" i="7"/>
  <c r="L32" i="7"/>
  <c r="M30" i="7"/>
  <c r="R30" i="7"/>
  <c r="AD22" i="7"/>
  <c r="AF22" i="7"/>
  <c r="P33" i="7"/>
  <c r="S32" i="7"/>
  <c r="Q32" i="7"/>
  <c r="Q27" i="6"/>
  <c r="P38" i="6"/>
  <c r="P30" i="6"/>
  <c r="K27" i="6"/>
  <c r="G27" i="6"/>
  <c r="F30" i="6"/>
  <c r="AD17" i="6"/>
  <c r="AC22" i="6"/>
  <c r="AF17" i="6"/>
  <c r="AA22" i="6"/>
  <c r="AE17" i="6"/>
  <c r="L30" i="6"/>
  <c r="R27" i="6"/>
  <c r="L38" i="6"/>
  <c r="M27" i="6"/>
  <c r="D30" i="6"/>
  <c r="J27" i="6"/>
  <c r="D38" i="6"/>
  <c r="D41" i="6" s="1"/>
  <c r="D42" i="6" s="1"/>
  <c r="E27" i="6"/>
  <c r="I27" i="6"/>
  <c r="H38" i="6"/>
  <c r="H41" i="6" s="1"/>
  <c r="H42" i="6" s="1"/>
  <c r="H30" i="6"/>
  <c r="S27" i="6"/>
  <c r="O27" i="6"/>
  <c r="N30" i="6"/>
  <c r="AA22" i="4"/>
  <c r="AE17" i="4"/>
  <c r="AD17" i="4"/>
  <c r="Q27" i="4"/>
  <c r="P30" i="4"/>
  <c r="R27" i="4"/>
  <c r="M27" i="4"/>
  <c r="L30" i="4"/>
  <c r="G30" i="4"/>
  <c r="F32" i="4"/>
  <c r="J27" i="4"/>
  <c r="E27" i="4"/>
  <c r="D30" i="4"/>
  <c r="I27" i="4"/>
  <c r="H30" i="4"/>
  <c r="N32" i="4"/>
  <c r="S27" i="4"/>
  <c r="K27" i="3"/>
  <c r="F30" i="3"/>
  <c r="G27" i="3"/>
  <c r="E27" i="3"/>
  <c r="J27" i="3"/>
  <c r="D30" i="3"/>
  <c r="M27" i="3"/>
  <c r="R27" i="3"/>
  <c r="L30" i="3"/>
  <c r="P30" i="3"/>
  <c r="Q27" i="3"/>
  <c r="S27" i="3"/>
  <c r="N30" i="3"/>
  <c r="O27" i="3"/>
  <c r="H30" i="3"/>
  <c r="I27" i="3"/>
  <c r="R27" i="2"/>
  <c r="M27" i="2"/>
  <c r="L30" i="2"/>
  <c r="AF17" i="2"/>
  <c r="AB22" i="2"/>
  <c r="AF22" i="2" s="1"/>
  <c r="S27" i="2"/>
  <c r="N30" i="2"/>
  <c r="O27" i="2"/>
  <c r="K27" i="2"/>
  <c r="F30" i="2"/>
  <c r="G27" i="2"/>
  <c r="AA22" i="2"/>
  <c r="AE17" i="2"/>
  <c r="P30" i="2"/>
  <c r="Q27" i="2"/>
  <c r="H30" i="2"/>
  <c r="I27" i="2"/>
  <c r="J27" i="2"/>
  <c r="E27" i="2"/>
  <c r="D30" i="2"/>
  <c r="D36" i="5" l="1"/>
  <c r="D33" i="4"/>
  <c r="P36" i="5"/>
  <c r="P33" i="4"/>
  <c r="N36" i="5"/>
  <c r="N33" i="4"/>
  <c r="H33" i="4"/>
  <c r="H36" i="5"/>
  <c r="L36" i="5"/>
  <c r="L33" i="4"/>
  <c r="D35" i="10"/>
  <c r="D40" i="11"/>
  <c r="E26" i="13"/>
  <c r="S17" i="13"/>
  <c r="O17" i="13"/>
  <c r="O16" i="13"/>
  <c r="H19" i="13"/>
  <c r="I19" i="13" s="1"/>
  <c r="U10" i="5"/>
  <c r="I19" i="5"/>
  <c r="H27" i="5"/>
  <c r="O31" i="13"/>
  <c r="N27" i="11"/>
  <c r="S19" i="11"/>
  <c r="O19" i="11"/>
  <c r="M18" i="13"/>
  <c r="O24" i="13"/>
  <c r="H26" i="13"/>
  <c r="J26" i="13" s="1"/>
  <c r="U22" i="5"/>
  <c r="I26" i="5"/>
  <c r="P41" i="11"/>
  <c r="P33" i="10"/>
  <c r="S22" i="13"/>
  <c r="O22" i="13"/>
  <c r="J19" i="5"/>
  <c r="E19" i="5"/>
  <c r="D27" i="5"/>
  <c r="L30" i="9"/>
  <c r="L38" i="11" s="1"/>
  <c r="L35" i="11"/>
  <c r="G19" i="5"/>
  <c r="F19" i="13"/>
  <c r="K19" i="5"/>
  <c r="F27" i="5"/>
  <c r="P40" i="11"/>
  <c r="L26" i="13"/>
  <c r="R26" i="5"/>
  <c r="M26" i="5"/>
  <c r="R17" i="13"/>
  <c r="M21" i="13"/>
  <c r="M16" i="13"/>
  <c r="M17" i="13"/>
  <c r="M11" i="13"/>
  <c r="I22" i="13"/>
  <c r="O18" i="13"/>
  <c r="L31" i="11"/>
  <c r="R31" i="10"/>
  <c r="M31" i="10"/>
  <c r="Q16" i="13"/>
  <c r="Q17" i="13"/>
  <c r="Q13" i="13"/>
  <c r="Q9" i="13"/>
  <c r="N19" i="13"/>
  <c r="O19" i="5"/>
  <c r="S19" i="5"/>
  <c r="R22" i="13"/>
  <c r="M22" i="13"/>
  <c r="AE14" i="13"/>
  <c r="AA17" i="13"/>
  <c r="O26" i="11"/>
  <c r="S26" i="11"/>
  <c r="Q26" i="5"/>
  <c r="P26" i="13"/>
  <c r="G25" i="13"/>
  <c r="K25" i="13"/>
  <c r="AB22" i="4"/>
  <c r="AF17" i="4"/>
  <c r="P19" i="13"/>
  <c r="Q19" i="13" s="1"/>
  <c r="P27" i="5"/>
  <c r="Q19" i="5"/>
  <c r="AF14" i="13"/>
  <c r="AB17" i="13"/>
  <c r="I16" i="13"/>
  <c r="I17" i="13"/>
  <c r="I13" i="13"/>
  <c r="I9" i="13"/>
  <c r="M9" i="13"/>
  <c r="I34" i="13"/>
  <c r="I23" i="13"/>
  <c r="O25" i="13"/>
  <c r="S25" i="13"/>
  <c r="O12" i="13"/>
  <c r="E14" i="13"/>
  <c r="K17" i="13"/>
  <c r="G17" i="13"/>
  <c r="G16" i="13"/>
  <c r="AC17" i="5"/>
  <c r="AF17" i="5" s="1"/>
  <c r="AC22" i="4"/>
  <c r="AC22" i="5" s="1"/>
  <c r="I29" i="13"/>
  <c r="AB22" i="5"/>
  <c r="D39" i="11"/>
  <c r="D31" i="10"/>
  <c r="D32" i="10" s="1"/>
  <c r="I32" i="12"/>
  <c r="H46" i="6"/>
  <c r="Q25" i="13"/>
  <c r="J25" i="13"/>
  <c r="E25" i="13"/>
  <c r="O34" i="13"/>
  <c r="R26" i="11"/>
  <c r="M26" i="11"/>
  <c r="L27" i="11"/>
  <c r="R25" i="13"/>
  <c r="M25" i="13"/>
  <c r="AE17" i="5"/>
  <c r="Q22" i="13"/>
  <c r="AD22" i="2"/>
  <c r="AA22" i="5"/>
  <c r="AA23" i="13" s="1"/>
  <c r="F26" i="13"/>
  <c r="K26" i="5"/>
  <c r="G26" i="5"/>
  <c r="AD14" i="13"/>
  <c r="AC17" i="13"/>
  <c r="E26" i="5"/>
  <c r="J26" i="5"/>
  <c r="L19" i="13"/>
  <c r="M19" i="5"/>
  <c r="R19" i="5"/>
  <c r="L27" i="5"/>
  <c r="Q40" i="11"/>
  <c r="D33" i="10"/>
  <c r="D41" i="11"/>
  <c r="S30" i="9"/>
  <c r="O28" i="13"/>
  <c r="O20" i="13"/>
  <c r="N27" i="5"/>
  <c r="N26" i="13"/>
  <c r="S26" i="5"/>
  <c r="O26" i="5"/>
  <c r="P30" i="10"/>
  <c r="S27" i="10"/>
  <c r="Q27" i="10"/>
  <c r="O29" i="13"/>
  <c r="K22" i="13"/>
  <c r="G22" i="13"/>
  <c r="Q29" i="13"/>
  <c r="Q12" i="13"/>
  <c r="Q23" i="13"/>
  <c r="O23" i="13"/>
  <c r="Q18" i="13"/>
  <c r="I12" i="13"/>
  <c r="E21" i="13"/>
  <c r="E16" i="13"/>
  <c r="E17" i="13"/>
  <c r="D19" i="13"/>
  <c r="J17" i="13"/>
  <c r="J22" i="13"/>
  <c r="O13" i="13"/>
  <c r="AI22" i="13"/>
  <c r="Z23" i="13"/>
  <c r="P27" i="11"/>
  <c r="G21" i="13"/>
  <c r="S33" i="12"/>
  <c r="K32" i="12"/>
  <c r="G32" i="12"/>
  <c r="D32" i="12"/>
  <c r="D46" i="6" s="1"/>
  <c r="E30" i="12"/>
  <c r="J30" i="12"/>
  <c r="L33" i="12"/>
  <c r="M27" i="12"/>
  <c r="L30" i="12"/>
  <c r="R27" i="12"/>
  <c r="O32" i="12"/>
  <c r="Q30" i="12"/>
  <c r="P32" i="12"/>
  <c r="Q32" i="12" s="1"/>
  <c r="I30" i="11"/>
  <c r="U25" i="11"/>
  <c r="H32" i="11"/>
  <c r="H45" i="6" s="1"/>
  <c r="E30" i="11"/>
  <c r="J30" i="11"/>
  <c r="F32" i="11"/>
  <c r="K30" i="11"/>
  <c r="G30" i="11"/>
  <c r="K32" i="10"/>
  <c r="G32" i="10"/>
  <c r="M30" i="10"/>
  <c r="L32" i="10"/>
  <c r="R30" i="10"/>
  <c r="E30" i="10"/>
  <c r="J30" i="10"/>
  <c r="O32" i="10"/>
  <c r="S32" i="9"/>
  <c r="O32" i="9"/>
  <c r="R30" i="9"/>
  <c r="J31" i="8"/>
  <c r="E31" i="8"/>
  <c r="E40" i="11" s="1"/>
  <c r="J30" i="8"/>
  <c r="E30" i="8"/>
  <c r="E39" i="11" s="1"/>
  <c r="M32" i="7"/>
  <c r="L33" i="7"/>
  <c r="R32" i="7"/>
  <c r="E33" i="7"/>
  <c r="J33" i="7"/>
  <c r="S33" i="7"/>
  <c r="Q33" i="7"/>
  <c r="Q41" i="11" s="1"/>
  <c r="K32" i="7"/>
  <c r="I32" i="7"/>
  <c r="H33" i="7"/>
  <c r="I33" i="6"/>
  <c r="G33" i="6"/>
  <c r="K33" i="6"/>
  <c r="O33" i="6"/>
  <c r="S33" i="6"/>
  <c r="J33" i="6"/>
  <c r="E33" i="6"/>
  <c r="R33" i="6"/>
  <c r="M33" i="6"/>
  <c r="Q33" i="6"/>
  <c r="AF22" i="6"/>
  <c r="AD22" i="6"/>
  <c r="K30" i="6"/>
  <c r="F32" i="6"/>
  <c r="G30" i="6"/>
  <c r="S30" i="6"/>
  <c r="N32" i="6"/>
  <c r="O30" i="6"/>
  <c r="M30" i="6"/>
  <c r="R30" i="6"/>
  <c r="L32" i="6"/>
  <c r="P32" i="6"/>
  <c r="Q32" i="6" s="1"/>
  <c r="Q30" i="6"/>
  <c r="H32" i="6"/>
  <c r="I30" i="6"/>
  <c r="E30" i="6"/>
  <c r="J30" i="6"/>
  <c r="D32" i="6"/>
  <c r="I30" i="4"/>
  <c r="H32" i="4"/>
  <c r="I32" i="4" s="1"/>
  <c r="R30" i="4"/>
  <c r="M30" i="4"/>
  <c r="L32" i="4"/>
  <c r="Q30" i="4"/>
  <c r="P32" i="4"/>
  <c r="Q32" i="4" s="1"/>
  <c r="J30" i="4"/>
  <c r="E30" i="4"/>
  <c r="D32" i="4"/>
  <c r="O32" i="4"/>
  <c r="G32" i="4"/>
  <c r="S30" i="4"/>
  <c r="K30" i="4"/>
  <c r="O33" i="3"/>
  <c r="S33" i="3"/>
  <c r="Q33" i="3"/>
  <c r="I33" i="3"/>
  <c r="J33" i="3"/>
  <c r="M33" i="3"/>
  <c r="R33" i="3"/>
  <c r="J30" i="3"/>
  <c r="D32" i="3"/>
  <c r="E30" i="3"/>
  <c r="Q30" i="3"/>
  <c r="P32" i="3"/>
  <c r="Q32" i="3" s="1"/>
  <c r="R30" i="3"/>
  <c r="L32" i="3"/>
  <c r="M30" i="3"/>
  <c r="F32" i="3"/>
  <c r="K30" i="3"/>
  <c r="G30" i="3"/>
  <c r="G31" i="3" s="1"/>
  <c r="I30" i="3"/>
  <c r="H32" i="3"/>
  <c r="I32" i="3" s="1"/>
  <c r="N32" i="3"/>
  <c r="S30" i="3"/>
  <c r="O30" i="3"/>
  <c r="J33" i="2"/>
  <c r="E33" i="2"/>
  <c r="Q33" i="2"/>
  <c r="Q36" i="5" s="1"/>
  <c r="S33" i="2"/>
  <c r="S36" i="5" s="1"/>
  <c r="O33" i="2"/>
  <c r="I33" i="2"/>
  <c r="I36" i="5" s="1"/>
  <c r="R33" i="2"/>
  <c r="M33" i="2"/>
  <c r="M36" i="5" s="1"/>
  <c r="I30" i="2"/>
  <c r="H32" i="2"/>
  <c r="K30" i="2"/>
  <c r="F32" i="2"/>
  <c r="G30" i="2"/>
  <c r="R30" i="2"/>
  <c r="M30" i="2"/>
  <c r="L32" i="2"/>
  <c r="L35" i="5" s="1"/>
  <c r="J30" i="2"/>
  <c r="E30" i="2"/>
  <c r="D32" i="2"/>
  <c r="P32" i="2"/>
  <c r="Q30" i="2"/>
  <c r="S30" i="2"/>
  <c r="N32" i="2"/>
  <c r="N35" i="5" s="1"/>
  <c r="O30" i="2"/>
  <c r="S30" i="10" l="1"/>
  <c r="Q30" i="10"/>
  <c r="P32" i="10"/>
  <c r="R36" i="5"/>
  <c r="J19" i="13"/>
  <c r="E19" i="13"/>
  <c r="D27" i="13"/>
  <c r="D33" i="11"/>
  <c r="J33" i="10"/>
  <c r="E33" i="10"/>
  <c r="AC22" i="13"/>
  <c r="AD17" i="13"/>
  <c r="AA22" i="13"/>
  <c r="AE17" i="13"/>
  <c r="R26" i="13"/>
  <c r="M26" i="13"/>
  <c r="J27" i="5"/>
  <c r="D30" i="5"/>
  <c r="E27" i="5"/>
  <c r="N30" i="11"/>
  <c r="O27" i="11"/>
  <c r="S27" i="11"/>
  <c r="I33" i="4"/>
  <c r="H33" i="5"/>
  <c r="AF22" i="5"/>
  <c r="AB23" i="13"/>
  <c r="AF22" i="4"/>
  <c r="S33" i="4"/>
  <c r="N33" i="5"/>
  <c r="O33" i="4"/>
  <c r="O36" i="5"/>
  <c r="P39" i="6"/>
  <c r="P41" i="6" s="1"/>
  <c r="P30" i="11"/>
  <c r="Q27" i="11"/>
  <c r="S26" i="13"/>
  <c r="O26" i="13"/>
  <c r="L30" i="5"/>
  <c r="M27" i="5"/>
  <c r="R27" i="5"/>
  <c r="F30" i="5"/>
  <c r="G27" i="5"/>
  <c r="K27" i="5"/>
  <c r="H30" i="5"/>
  <c r="I27" i="5"/>
  <c r="U23" i="5"/>
  <c r="Q32" i="2"/>
  <c r="Q35" i="5" s="1"/>
  <c r="P35" i="5"/>
  <c r="F35" i="5"/>
  <c r="L32" i="9"/>
  <c r="L40" i="11" s="1"/>
  <c r="S27" i="5"/>
  <c r="N30" i="5"/>
  <c r="O27" i="5"/>
  <c r="AD22" i="5"/>
  <c r="AC23" i="13"/>
  <c r="AL22" i="13"/>
  <c r="AB22" i="13"/>
  <c r="AF17" i="13"/>
  <c r="AD22" i="4"/>
  <c r="H27" i="13"/>
  <c r="I26" i="13"/>
  <c r="Q33" i="4"/>
  <c r="P33" i="5"/>
  <c r="D35" i="5"/>
  <c r="M30" i="9"/>
  <c r="K26" i="13"/>
  <c r="G26" i="13"/>
  <c r="L39" i="6"/>
  <c r="L41" i="6" s="1"/>
  <c r="L30" i="11"/>
  <c r="M27" i="11"/>
  <c r="R27" i="11"/>
  <c r="AD17" i="5"/>
  <c r="AJ17" i="13" s="1"/>
  <c r="AL17" i="13"/>
  <c r="P27" i="13"/>
  <c r="Q26" i="13"/>
  <c r="F27" i="13"/>
  <c r="K19" i="13"/>
  <c r="G19" i="13"/>
  <c r="I32" i="2"/>
  <c r="I35" i="5" s="1"/>
  <c r="H35" i="5"/>
  <c r="H33" i="10"/>
  <c r="H41" i="11"/>
  <c r="L41" i="11"/>
  <c r="L33" i="10"/>
  <c r="L27" i="13"/>
  <c r="R19" i="13"/>
  <c r="M19" i="13"/>
  <c r="D31" i="11"/>
  <c r="J31" i="10"/>
  <c r="E31" i="10"/>
  <c r="R33" i="4"/>
  <c r="L33" i="5"/>
  <c r="M33" i="4"/>
  <c r="J33" i="4"/>
  <c r="D33" i="5"/>
  <c r="E33" i="4"/>
  <c r="P30" i="5"/>
  <c r="Q27" i="5"/>
  <c r="N27" i="13"/>
  <c r="S19" i="13"/>
  <c r="O19" i="13"/>
  <c r="R31" i="11"/>
  <c r="M31" i="11"/>
  <c r="L31" i="13"/>
  <c r="P33" i="11"/>
  <c r="S33" i="10"/>
  <c r="Q33" i="10"/>
  <c r="M33" i="12"/>
  <c r="R33" i="12"/>
  <c r="E32" i="12"/>
  <c r="J32" i="12"/>
  <c r="S32" i="12"/>
  <c r="L32" i="12"/>
  <c r="M30" i="12"/>
  <c r="R30" i="12"/>
  <c r="K32" i="11"/>
  <c r="G32" i="11"/>
  <c r="I32" i="11"/>
  <c r="E32" i="10"/>
  <c r="J32" i="10"/>
  <c r="M32" i="10"/>
  <c r="R32" i="10"/>
  <c r="K33" i="7"/>
  <c r="I33" i="7"/>
  <c r="M33" i="7"/>
  <c r="R33" i="7"/>
  <c r="I32" i="6"/>
  <c r="H44" i="6"/>
  <c r="G32" i="6"/>
  <c r="K32" i="6"/>
  <c r="R32" i="6"/>
  <c r="M32" i="6"/>
  <c r="J32" i="6"/>
  <c r="D44" i="6"/>
  <c r="E32" i="6"/>
  <c r="O32" i="6"/>
  <c r="S32" i="6"/>
  <c r="K32" i="4"/>
  <c r="R32" i="4"/>
  <c r="M32" i="4"/>
  <c r="S32" i="4"/>
  <c r="J32" i="4"/>
  <c r="E32" i="4"/>
  <c r="K32" i="3"/>
  <c r="G32" i="3"/>
  <c r="M32" i="3"/>
  <c r="R32" i="3"/>
  <c r="S32" i="3"/>
  <c r="O32" i="3"/>
  <c r="E32" i="3"/>
  <c r="J32" i="3"/>
  <c r="S32" i="2"/>
  <c r="S35" i="5" s="1"/>
  <c r="O32" i="2"/>
  <c r="O35" i="5" s="1"/>
  <c r="R32" i="2"/>
  <c r="R35" i="5" s="1"/>
  <c r="M32" i="2"/>
  <c r="K32" i="2"/>
  <c r="G32" i="2"/>
  <c r="J32" i="2"/>
  <c r="E32" i="2"/>
  <c r="F36" i="5" l="1"/>
  <c r="F33" i="4"/>
  <c r="P32" i="5"/>
  <c r="Q30" i="5"/>
  <c r="M31" i="13"/>
  <c r="R31" i="13"/>
  <c r="H33" i="11"/>
  <c r="K33" i="10"/>
  <c r="I33" i="10"/>
  <c r="F32" i="5"/>
  <c r="G30" i="5"/>
  <c r="K30" i="5"/>
  <c r="H37" i="13"/>
  <c r="U29" i="5"/>
  <c r="I33" i="5"/>
  <c r="J33" i="11"/>
  <c r="E33" i="11"/>
  <c r="J31" i="11"/>
  <c r="U26" i="11"/>
  <c r="E31" i="11"/>
  <c r="D31" i="13"/>
  <c r="D32" i="11"/>
  <c r="E27" i="13"/>
  <c r="D30" i="13"/>
  <c r="J27" i="13"/>
  <c r="Q30" i="11"/>
  <c r="P32" i="11"/>
  <c r="Q32" i="11" s="1"/>
  <c r="D37" i="13"/>
  <c r="D33" i="13"/>
  <c r="J33" i="5"/>
  <c r="E33" i="5"/>
  <c r="Q33" i="5"/>
  <c r="P33" i="13"/>
  <c r="P37" i="13"/>
  <c r="M32" i="9"/>
  <c r="M40" i="11" s="1"/>
  <c r="AD23" i="13"/>
  <c r="AJ22" i="13"/>
  <c r="L32" i="5"/>
  <c r="M30" i="5"/>
  <c r="R30" i="5"/>
  <c r="O33" i="5"/>
  <c r="O37" i="13" s="1"/>
  <c r="N33" i="13"/>
  <c r="O33" i="13" s="1"/>
  <c r="N37" i="13"/>
  <c r="S33" i="5"/>
  <c r="M35" i="5"/>
  <c r="R32" i="9"/>
  <c r="M27" i="13"/>
  <c r="L30" i="13"/>
  <c r="R27" i="13"/>
  <c r="M30" i="11"/>
  <c r="L32" i="11"/>
  <c r="R30" i="11"/>
  <c r="O30" i="11"/>
  <c r="N32" i="11"/>
  <c r="S30" i="11"/>
  <c r="S33" i="11"/>
  <c r="Q33" i="11"/>
  <c r="O27" i="13"/>
  <c r="N30" i="13"/>
  <c r="S27" i="13"/>
  <c r="R33" i="5"/>
  <c r="M33" i="5"/>
  <c r="L33" i="11"/>
  <c r="L37" i="13" s="1"/>
  <c r="R33" i="10"/>
  <c r="M33" i="10"/>
  <c r="G27" i="13"/>
  <c r="F30" i="13"/>
  <c r="K27" i="13"/>
  <c r="I27" i="13"/>
  <c r="H30" i="13"/>
  <c r="N32" i="5"/>
  <c r="O30" i="5"/>
  <c r="S30" i="5"/>
  <c r="U26" i="5"/>
  <c r="H32" i="5"/>
  <c r="I30" i="5"/>
  <c r="Q32" i="10"/>
  <c r="S32" i="10"/>
  <c r="D32" i="5"/>
  <c r="E30" i="5"/>
  <c r="J30" i="5"/>
  <c r="Q27" i="13"/>
  <c r="P30" i="13"/>
  <c r="M32" i="12"/>
  <c r="R32" i="12"/>
  <c r="I44" i="6"/>
  <c r="H47" i="6"/>
  <c r="H49" i="6" s="1"/>
  <c r="G33" i="3"/>
  <c r="K33" i="3"/>
  <c r="K33" i="2"/>
  <c r="G33" i="2"/>
  <c r="L33" i="13" l="1"/>
  <c r="S32" i="11"/>
  <c r="O32" i="11"/>
  <c r="L36" i="13"/>
  <c r="R32" i="5"/>
  <c r="M32" i="5"/>
  <c r="E37" i="13"/>
  <c r="P32" i="13"/>
  <c r="Q32" i="13" s="1"/>
  <c r="Q30" i="13"/>
  <c r="H36" i="13"/>
  <c r="I32" i="5"/>
  <c r="I36" i="13" s="1"/>
  <c r="U28" i="5"/>
  <c r="G30" i="13"/>
  <c r="F32" i="13"/>
  <c r="K30" i="13"/>
  <c r="J37" i="13"/>
  <c r="D45" i="6"/>
  <c r="D47" i="6" s="1"/>
  <c r="D49" i="6" s="1"/>
  <c r="J50" i="6" s="1"/>
  <c r="E32" i="11"/>
  <c r="J32" i="11"/>
  <c r="U27" i="11"/>
  <c r="U28" i="11"/>
  <c r="K33" i="11"/>
  <c r="I33" i="11"/>
  <c r="I37" i="13" s="1"/>
  <c r="S37" i="13"/>
  <c r="E33" i="13"/>
  <c r="E31" i="13"/>
  <c r="J31" i="13"/>
  <c r="O30" i="13"/>
  <c r="N32" i="13"/>
  <c r="S30" i="13"/>
  <c r="R32" i="11"/>
  <c r="M32" i="11"/>
  <c r="H33" i="13"/>
  <c r="D36" i="13"/>
  <c r="E32" i="5"/>
  <c r="J32" i="5"/>
  <c r="J36" i="13" s="1"/>
  <c r="N36" i="13"/>
  <c r="O32" i="5"/>
  <c r="S32" i="5"/>
  <c r="R33" i="11"/>
  <c r="R37" i="13" s="1"/>
  <c r="M33" i="11"/>
  <c r="M37" i="13" s="1"/>
  <c r="Q32" i="5"/>
  <c r="Q36" i="13" s="1"/>
  <c r="P36" i="13"/>
  <c r="I30" i="13"/>
  <c r="H32" i="13"/>
  <c r="I32" i="13" s="1"/>
  <c r="L32" i="13"/>
  <c r="R30" i="13"/>
  <c r="M30" i="13"/>
  <c r="S33" i="13"/>
  <c r="Q33" i="13"/>
  <c r="F36" i="13"/>
  <c r="G32" i="5"/>
  <c r="G36" i="13" s="1"/>
  <c r="K32" i="5"/>
  <c r="K36" i="13" s="1"/>
  <c r="K33" i="4"/>
  <c r="F33" i="5"/>
  <c r="G33" i="4"/>
  <c r="Q37" i="13"/>
  <c r="J30" i="13"/>
  <c r="E30" i="13"/>
  <c r="D32" i="13"/>
  <c r="H50" i="6"/>
  <c r="I33" i="13" l="1"/>
  <c r="G33" i="5"/>
  <c r="G37" i="13" s="1"/>
  <c r="F33" i="13"/>
  <c r="G33" i="13" s="1"/>
  <c r="F37" i="13"/>
  <c r="K33" i="5"/>
  <c r="K37" i="13" s="1"/>
  <c r="J33" i="13"/>
  <c r="E32" i="13"/>
  <c r="J32" i="13"/>
  <c r="O36" i="13"/>
  <c r="O32" i="13"/>
  <c r="S32" i="13"/>
  <c r="K32" i="13"/>
  <c r="G32" i="13"/>
  <c r="M36" i="13"/>
  <c r="E36" i="13"/>
  <c r="R36" i="13"/>
  <c r="M32" i="13"/>
  <c r="R32" i="13"/>
  <c r="S36" i="13"/>
  <c r="R33" i="13"/>
  <c r="M33" i="13"/>
  <c r="K33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C2E910BE-385C-4A19-B950-7DC1D9FD200E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FA6D08F9-1A2C-476E-B52E-97C9F5A9C22F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6199BDEA-EB4C-4CEA-9628-9D078CCA97C7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205428E8-0802-4A21-A100-EF131999162B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EA34083A-8678-4CBA-B503-B81E1DC63361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053F4297-1269-4D7E-BFE4-64DB1C51FBD8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D892CD95-BA77-4388-9918-0C4E3B74878F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DEC1BE89-57F1-4A00-90A8-0C3035670EFD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B170818C-8B7D-4898-A7FD-8C20E23E02A5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6E372737-A305-41C7-9CC9-841DD473C3CF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C2B25F22-C9F0-4782-8EAA-962ACDCF536A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Robert G.</author>
  </authors>
  <commentList>
    <comment ref="K5" authorId="0" shapeId="0" xr:uid="{8CD3A97A-A190-4F65-A145-90B92737AFD0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550BA8AA-002F-4B72-B634-CA18B3F9C62F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7E499339-F9E7-4765-9CE5-39209AAFC8F3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8" authorId="1" shapeId="0" xr:uid="{2EAC92C0-9926-4A32-8212-46551396F522}">
      <text>
        <r>
          <rPr>
            <b/>
            <sz val="9"/>
            <color indexed="81"/>
            <rFont val="Tahoma"/>
            <family val="2"/>
          </rPr>
          <t>Robert G.:</t>
        </r>
        <r>
          <rPr>
            <sz val="9"/>
            <color indexed="81"/>
            <rFont val="Tahoma"/>
            <family val="2"/>
          </rPr>
          <t xml:space="preserve">
se resta el metodo de participacion para efectos comparables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CAF2458D-BEFF-40FF-90B0-4625E8EC7EDA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B31224F3-DA9E-47A2-943D-6D449AC807EF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ADE6D032-C657-43E1-B820-A0BD0E10A255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D8494432-6F5E-4685-9D6E-706F1A1304AE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D88A712D-51DE-4210-9589-2E55A6FC1797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5A4DD91E-FDB6-4959-8D36-203A09C8D928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riccuefa</author>
  </authors>
  <commentList>
    <comment ref="K5" authorId="0" shapeId="0" xr:uid="{7E15D83E-B270-40AE-8D33-55B8986FE2DD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145C41DF-F555-4AF6-BB1D-0B7C48D1B221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5" authorId="0" shapeId="0" xr:uid="{996CAF50-1413-4B71-BF1D-11C67FA6D6FD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9" authorId="1" shapeId="0" xr:uid="{D1FDBDFA-7E1E-4DBE-A10B-817836E13F5A}">
      <text>
        <r>
          <rPr>
            <b/>
            <sz val="9"/>
            <color indexed="81"/>
            <rFont val="Tahoma"/>
            <family val="2"/>
          </rPr>
          <t>riccuefa:</t>
        </r>
        <r>
          <rPr>
            <sz val="9"/>
            <color indexed="81"/>
            <rFont val="Tahoma"/>
            <family val="2"/>
          </rPr>
          <t xml:space="preserve">
SE SUMA VLOR NEG DE CARTERA QUE EN JUNIO SE RESTO DEL GASTO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  <author>riccuefa</author>
  </authors>
  <commentList>
    <comment ref="K5" authorId="0" shapeId="0" xr:uid="{0B79DCE6-A763-4576-B279-46CC367A4609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72404C91-A8F3-4DBF-B643-AA91DAFB4908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5" authorId="0" shapeId="0" xr:uid="{7EF2F08F-2998-4D92-B228-9E4A1734FE67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0" authorId="1" shapeId="0" xr:uid="{C8982D42-0315-43B0-BAEB-DC824384412C}">
      <text>
        <r>
          <rPr>
            <b/>
            <sz val="9"/>
            <color indexed="81"/>
            <rFont val="Tahoma"/>
            <family val="2"/>
          </rPr>
          <t>riccuefa:</t>
        </r>
        <r>
          <rPr>
            <sz val="9"/>
            <color indexed="81"/>
            <rFont val="Tahoma"/>
            <family val="2"/>
          </rPr>
          <t xml:space="preserve">
SE SUMA VLOR NEG DE CARTERA QUE EN JUNIO SE RESTO DEL GASTO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5B6AF045-CD3A-47CC-AD57-6279F2F50CF6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9D154FD0-9D9D-4397-BA37-8EF5299A92BB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97CADA49-997D-4BBC-A52D-BD617B340448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Juan guillermo Múnera Angus</author>
  </authors>
  <commentList>
    <comment ref="K5" authorId="0" shapeId="0" xr:uid="{4C507EBB-BAAB-4E7F-931C-DD0C6CF16DB2}">
      <text>
        <r>
          <rPr>
            <b/>
            <sz val="9"/>
            <color indexed="81"/>
            <rFont val="Tahoma"/>
            <family val="2"/>
          </rPr>
          <t>Crecimiento frente el mismo mes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5" authorId="0" shapeId="0" xr:uid="{9D6AD3F8-A237-4C22-9282-4E9998BAAF70}">
      <text>
        <r>
          <rPr>
            <b/>
            <sz val="9"/>
            <color indexed="81"/>
            <rFont val="Tahoma"/>
            <family val="2"/>
          </rPr>
          <t>Crecimiento del acumulado del mes frente al del año pasado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5" authorId="0" shapeId="0" xr:uid="{C1557984-374E-4BD9-A5FA-9D8E5ACDF3ED}">
      <text>
        <r>
          <rPr>
            <b/>
            <sz val="9"/>
            <color indexed="81"/>
            <rFont val="Tahoma"/>
            <family val="2"/>
          </rPr>
          <t>Crecimiento frente al mismo mes del año anterior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exión" type="7" refreshedVersion="6"/>
  <connection id="2" xr16:uid="{BF4CFD5B-B91F-4E0D-95AD-9D37000E7071}" name="Conexión2" type="7" refreshedVersion="6"/>
  <connection id="3" xr16:uid="{C7F74B4F-9495-40A8-AAF5-7A79AF052AD4}" name="Conexión3" type="7" refreshedVersion="6"/>
</connections>
</file>

<file path=xl/sharedStrings.xml><?xml version="1.0" encoding="utf-8"?>
<sst xmlns="http://schemas.openxmlformats.org/spreadsheetml/2006/main" count="1883" uniqueCount="626">
  <si>
    <t xml:space="preserve">5230950100          </t>
  </si>
  <si>
    <t>Per act ppto</t>
  </si>
  <si>
    <t>Per año ant real</t>
  </si>
  <si>
    <t>Per act real</t>
  </si>
  <si>
    <t>Año Ant inic</t>
  </si>
  <si>
    <t>Per act inic</t>
  </si>
  <si>
    <t>Per ant acum</t>
  </si>
  <si>
    <t>Per act acum</t>
  </si>
  <si>
    <t>Periodo actual</t>
  </si>
  <si>
    <t>201401</t>
  </si>
  <si>
    <t>201301</t>
  </si>
  <si>
    <t>MUSICAR S.A. COLOMBIA</t>
  </si>
  <si>
    <t>ACUMULADO</t>
  </si>
  <si>
    <t>MAYO</t>
  </si>
  <si>
    <t>ACUM JUNIO</t>
  </si>
  <si>
    <t>Cifras en miles de Pesos Colombianos</t>
  </si>
  <si>
    <t>Ppto 2022</t>
  </si>
  <si>
    <t>Real 2021</t>
  </si>
  <si>
    <t>real 2022</t>
  </si>
  <si>
    <t>Cump</t>
  </si>
  <si>
    <t>Crec</t>
  </si>
  <si>
    <t>Ppto 2016</t>
  </si>
  <si>
    <t>Real 2015</t>
  </si>
  <si>
    <t>Exe/def</t>
  </si>
  <si>
    <t>450,460,461,462,463,464,465,466,467,471,472,475,476,477,478,470</t>
  </si>
  <si>
    <t>Estado de Ganancias y pérdidas</t>
  </si>
  <si>
    <t>Valor</t>
  </si>
  <si>
    <t>%/Ing</t>
  </si>
  <si>
    <t>%</t>
  </si>
  <si>
    <t xml:space="preserve">Flujo de Caja </t>
  </si>
  <si>
    <t>ACUM</t>
  </si>
  <si>
    <t>ACUMUL</t>
  </si>
  <si>
    <t>4155900000,4155900100,4155900500,4155900600,4170250000,4170250100,4170250200,4170251500,4170251600,4170251700,4170251900,4170251800,4170252000,4170253000,4170253500,4170252100,4170253700,4155900700,4170253800,4155900800</t>
  </si>
  <si>
    <t>Fact. Musical Experience  (Ambiental)</t>
  </si>
  <si>
    <t>Saldo Inicial</t>
  </si>
  <si>
    <t>4155950500,4170250300,4170250400,4155950600,4155952500,4155952600,4170252600</t>
  </si>
  <si>
    <t>Instalaciones</t>
  </si>
  <si>
    <t>Ingresos</t>
  </si>
  <si>
    <t>4155950000,4155950100,4155950200,4170250900,4175080000</t>
  </si>
  <si>
    <t>Fact.Voice Experience (Publihold)</t>
  </si>
  <si>
    <t>Materiales</t>
  </si>
  <si>
    <t>4135950000,4135950100,4135950200,4135950800,4175090000,4175090100,4245010000,4245050000.4135950500,4135950500</t>
  </si>
  <si>
    <t>Fact. Service &amp; Equipment Experience</t>
  </si>
  <si>
    <t>Servicios</t>
  </si>
  <si>
    <t>POP Satelital</t>
  </si>
  <si>
    <t>Nómina</t>
  </si>
  <si>
    <t>4170250800,4170251100</t>
  </si>
  <si>
    <t xml:space="preserve"> Fact.Voice Experience (Audicóm)</t>
  </si>
  <si>
    <t>Egresos Generales</t>
  </si>
  <si>
    <t>Fact. Servicio Satelital</t>
  </si>
  <si>
    <t>Total Egresos</t>
  </si>
  <si>
    <t>Fact. Visual Experience</t>
  </si>
  <si>
    <t>Flujo Operacional</t>
  </si>
  <si>
    <t>4155951800,4155952000,4135950600,4135950700</t>
  </si>
  <si>
    <t>Fac.   Olfa Experience</t>
  </si>
  <si>
    <t>4170252500</t>
  </si>
  <si>
    <t>Facturacion Locutor virtual</t>
  </si>
  <si>
    <t>Total Ingresos</t>
  </si>
  <si>
    <t>Disponible antes de CAPEX</t>
  </si>
  <si>
    <t>Costos</t>
  </si>
  <si>
    <t>CAPEX (Inversión)</t>
  </si>
  <si>
    <t>Margen de Contribución</t>
  </si>
  <si>
    <t>Impuestos</t>
  </si>
  <si>
    <t>Gastos Variables de Venta</t>
  </si>
  <si>
    <t>Movimiento Financiero</t>
  </si>
  <si>
    <t>Gastos Fijos de Venta</t>
  </si>
  <si>
    <t>Dividendos Pagados</t>
  </si>
  <si>
    <t>Total Gastos de Venta</t>
  </si>
  <si>
    <t xml:space="preserve">Saldo Final </t>
  </si>
  <si>
    <t>Gastos Operación</t>
  </si>
  <si>
    <t>ok</t>
  </si>
  <si>
    <t>Gastos Administrativos Distribuidos</t>
  </si>
  <si>
    <t>Total Gastos Administrativos</t>
  </si>
  <si>
    <t xml:space="preserve"> </t>
  </si>
  <si>
    <t>Total Gastos Operacionales</t>
  </si>
  <si>
    <t>Utilidad Operacional</t>
  </si>
  <si>
    <t>Ingresos no Operacionales</t>
  </si>
  <si>
    <t>Gastos no Operacionales</t>
  </si>
  <si>
    <t>Utilidad antes de Impuestos</t>
  </si>
  <si>
    <t>Utilidad Neta</t>
  </si>
  <si>
    <t>5260050000,5260100000,5260150000,5260200000,5260350000,5260980000,5265980000,5160050000,5160100000,5160150000,5160200000,5160350000,5160980000,5165980000,5165100000,5165150000,5165950000,5265100000</t>
  </si>
  <si>
    <t>EBITDA</t>
  </si>
  <si>
    <t>depre</t>
  </si>
  <si>
    <t>201201</t>
  </si>
  <si>
    <t>Ppto 2015</t>
  </si>
  <si>
    <t>Real 2014</t>
  </si>
  <si>
    <t>real 2015</t>
  </si>
  <si>
    <t>Real 2013</t>
  </si>
  <si>
    <t>080,469,090,100</t>
  </si>
  <si>
    <t>4155900000,4155900100,4155900500,4155900600,4170250000,4170250100,4170250200,4170251500,4170251600,4170251700,4170251800,4170252000,4170253000,4170253500</t>
  </si>
  <si>
    <t>4155950500,4170250300,4170250400,4155950600,4155952500,4155952600,4170252600,4170251900</t>
  </si>
  <si>
    <t>4135950000,4135950100,4135950200,4135950800,4175090000,4175090100,4245010000</t>
  </si>
  <si>
    <t>MUSICAR S.A. COLOMBIA CONSOLIDADO</t>
  </si>
  <si>
    <t>Empresa-&gt;</t>
  </si>
  <si>
    <t>plan cta-&gt;</t>
  </si>
  <si>
    <t>PUC</t>
  </si>
  <si>
    <t>AMBIENTACION</t>
  </si>
  <si>
    <t>instalacion</t>
  </si>
  <si>
    <t>publihold</t>
  </si>
  <si>
    <t>redesdeaudio</t>
  </si>
  <si>
    <t>costo</t>
  </si>
  <si>
    <t>variables</t>
  </si>
  <si>
    <t>fijos</t>
  </si>
  <si>
    <t>operativos</t>
  </si>
  <si>
    <t>admonppto</t>
  </si>
  <si>
    <t>admon</t>
  </si>
  <si>
    <t>oingresos</t>
  </si>
  <si>
    <t>oegresos</t>
  </si>
  <si>
    <t>imptos</t>
  </si>
  <si>
    <t>nomina</t>
  </si>
  <si>
    <t>TRM</t>
  </si>
  <si>
    <t>Cifras en miles de Dólares Americanos</t>
  </si>
  <si>
    <t>TRM presupuesto 2021</t>
  </si>
  <si>
    <t>esta no se cambia</t>
  </si>
  <si>
    <t>% Cump</t>
  </si>
  <si>
    <t>ACUMULA</t>
  </si>
  <si>
    <t>SALDOINI</t>
  </si>
  <si>
    <t>INGRESOS</t>
  </si>
  <si>
    <t>MATERIALES</t>
  </si>
  <si>
    <t>PERSONAL</t>
  </si>
  <si>
    <t>GENERALES</t>
  </si>
  <si>
    <t>IMPUESTOS</t>
  </si>
  <si>
    <t>FINANCIERO</t>
  </si>
  <si>
    <t>DIVIDENDO</t>
  </si>
  <si>
    <t>Conexión</t>
  </si>
  <si>
    <t>MUSICAR S.A. EL SALVADOR</t>
  </si>
  <si>
    <t>007</t>
  </si>
  <si>
    <t>ACUMULADO MES ANTERIOR</t>
  </si>
  <si>
    <t>Ppto 2019</t>
  </si>
  <si>
    <t>real 2018</t>
  </si>
  <si>
    <t>real 2019</t>
  </si>
  <si>
    <t>4170250000,4170251000,4155951100,4155951000</t>
  </si>
  <si>
    <t>4135950000,4155950500,4170250300</t>
  </si>
  <si>
    <t>4135950100</t>
  </si>
  <si>
    <t xml:space="preserve">6135950000          </t>
  </si>
  <si>
    <t>OK</t>
  </si>
  <si>
    <t>FLUJO DE CAJA LIBRE</t>
  </si>
  <si>
    <t>PPTO</t>
  </si>
  <si>
    <t>REAL</t>
  </si>
  <si>
    <t>SALVADOR</t>
  </si>
  <si>
    <t>VENEZUELA</t>
  </si>
  <si>
    <t>PANAMA</t>
  </si>
  <si>
    <t xml:space="preserve">TOTAL </t>
  </si>
  <si>
    <t>&lt;------- el valor total del ppto y del real se digita en la pagina de indicadores</t>
  </si>
  <si>
    <t>sin venezuela</t>
  </si>
  <si>
    <t>5405050100</t>
  </si>
  <si>
    <t>5160200000,5260100000,5260200000,5260350000,5160100000,5260150000</t>
  </si>
  <si>
    <t>UTILIDAD OPERACIONAL EXTERIOR</t>
  </si>
  <si>
    <t>Ppto</t>
  </si>
  <si>
    <t>Real</t>
  </si>
  <si>
    <t>Ppto acum</t>
  </si>
  <si>
    <t>Real Acum</t>
  </si>
  <si>
    <t>utilidad operac Salvador</t>
  </si>
  <si>
    <t>se digita en la pagina de indicadores</t>
  </si>
  <si>
    <t>vr sin venezuela</t>
  </si>
  <si>
    <t>UTILIDAD NETA EXTERIOR</t>
  </si>
  <si>
    <t>Salvador</t>
  </si>
  <si>
    <t>Venezulea</t>
  </si>
  <si>
    <t>Panama MUSICAR INTERNAL</t>
  </si>
  <si>
    <t>TOTAL UTILIDAD NETA EXTERIOR</t>
  </si>
  <si>
    <t>&lt;--- digitar el total de ppto y real en el sitema de indicadores para la matriz de Juan G y Fernando C</t>
  </si>
  <si>
    <t>Uitlidad neta sin venezuela</t>
  </si>
  <si>
    <t>&lt;--- Digitar este valor sin incluir venezuela</t>
  </si>
  <si>
    <t>MUSICAR S.A. VENEZUELA</t>
  </si>
  <si>
    <t>Cifras en miles de Bolivares Fuertes</t>
  </si>
  <si>
    <t>Ppto 2021</t>
  </si>
  <si>
    <t>real 2020</t>
  </si>
  <si>
    <t>real 2021</t>
  </si>
  <si>
    <t>ACUMU</t>
  </si>
  <si>
    <t>Fact.Olfa experience</t>
  </si>
  <si>
    <t>Ppto 2013</t>
  </si>
  <si>
    <t>Real 2012</t>
  </si>
  <si>
    <t>acum</t>
  </si>
  <si>
    <t>Publihold- Audicom</t>
  </si>
  <si>
    <t>Soluciones para Redes de Audio</t>
  </si>
  <si>
    <t>Lineas Nuevas</t>
  </si>
  <si>
    <t>Otros</t>
  </si>
  <si>
    <t xml:space="preserve">NOTA  se incluyó </t>
  </si>
  <si>
    <t>SIMADI</t>
  </si>
  <si>
    <t>MUSICAR PANAMA</t>
  </si>
  <si>
    <t>Ppto 2017</t>
  </si>
  <si>
    <t>Real 2016</t>
  </si>
  <si>
    <t>real 2017</t>
  </si>
  <si>
    <t>Dividendos Pagados (Descapitalizacion)</t>
  </si>
  <si>
    <t>5140950000,5210350000</t>
  </si>
  <si>
    <t xml:space="preserve">Gastos Administrativos </t>
  </si>
  <si>
    <t>4218050000</t>
  </si>
  <si>
    <t>5305950000,5313050000</t>
  </si>
  <si>
    <t>MUSICAR S.A. CONSOLIDADO</t>
  </si>
  <si>
    <t>acumulado</t>
  </si>
  <si>
    <t>4155900000,4155900100,4155900500,4155900600,4170250000,4170250100,4170250200,4170251500,4170251600,4170251700,4170251900,4170251800,4170252000,4170253000,4170253500,4170252100</t>
  </si>
  <si>
    <t xml:space="preserve">   Facturación Musical Experience (Ambiental)</t>
  </si>
  <si>
    <t xml:space="preserve">   Facturación Instalación</t>
  </si>
  <si>
    <t xml:space="preserve">   Facturación Voice Experience (Publihold)</t>
  </si>
  <si>
    <t xml:space="preserve">   Facturación Olfa Experience</t>
  </si>
  <si>
    <t>4135950000,4135950100,4135950200,4135950800,4175090000,4175090100,4245010000,4245050000</t>
  </si>
  <si>
    <t xml:space="preserve">   Facturación Service &amp; Equipment Experience (Red-Audio)</t>
  </si>
  <si>
    <t>4170250500</t>
  </si>
  <si>
    <t xml:space="preserve">   Facturación POP Satelital</t>
  </si>
  <si>
    <t xml:space="preserve">   Facturacion Locutor virtual</t>
  </si>
  <si>
    <t>4135950900</t>
  </si>
  <si>
    <t xml:space="preserve">   Facturacion Instaladores</t>
  </si>
  <si>
    <t xml:space="preserve">   Facturación Voice Experience (Audicóm)</t>
  </si>
  <si>
    <t>4155951000</t>
  </si>
  <si>
    <t xml:space="preserve">   Facturación Servicio Satelital</t>
  </si>
  <si>
    <t>4155951500</t>
  </si>
  <si>
    <t xml:space="preserve">   Facturación Visual Experience (Pantallas)</t>
  </si>
  <si>
    <t>COLOMBIA</t>
  </si>
  <si>
    <t>CO</t>
  </si>
  <si>
    <t>6135950000,6135951000,6170250000,6170250100</t>
  </si>
  <si>
    <t xml:space="preserve">   Costo de mercancia vendida</t>
  </si>
  <si>
    <t>6135951100,6135951200</t>
  </si>
  <si>
    <t xml:space="preserve">   Costo de mercancia vendida Aromas</t>
  </si>
  <si>
    <t>6120330500</t>
  </si>
  <si>
    <t xml:space="preserve">   Provision devoluciones costo</t>
  </si>
  <si>
    <t>6135980000</t>
  </si>
  <si>
    <t xml:space="preserve">   Ajuste por inflacion costo</t>
  </si>
  <si>
    <t>VARIABLES DE VENTA</t>
  </si>
  <si>
    <t xml:space="preserve">   Otros gastos variables</t>
  </si>
  <si>
    <t>5205180100,5205180200</t>
  </si>
  <si>
    <t xml:space="preserve">   Comisiones gastos variables</t>
  </si>
  <si>
    <t>5205301000,5205301100,5205331000,5205331100,5205361000,5205361100,5205391000,5205391100,5205421800,5205421900,5205422000,5205422200,5205422300,5205422400,5205422500,5205451400,5205451500,5205451600,5205451700,5205511000,5205511100,5205541000,5205541100,5205601000,5205601100,5205691000,5205691100,5205701000,5205701100,5205721000,5205721100,5205751000,5205751100,5205781000,5205781100,5205841000,5205841100,5205951000,5205951100</t>
  </si>
  <si>
    <t xml:space="preserve">   Prestaciones sociales comisiones vent</t>
  </si>
  <si>
    <t>5295050100,5295050200,5295050300</t>
  </si>
  <si>
    <t xml:space="preserve">   Servicios a terceros</t>
  </si>
  <si>
    <t xml:space="preserve">   Empaque y material de empaque</t>
  </si>
  <si>
    <t xml:space="preserve">   Fletes y acarreos gastos var.ventas</t>
  </si>
  <si>
    <t>5260050000,5260100000,5260150000,5260200000,5260350000,5260980000,5265980000</t>
  </si>
  <si>
    <t xml:space="preserve">   Depreciaciones gastos ventas</t>
  </si>
  <si>
    <t>5295950600,</t>
  </si>
  <si>
    <t xml:space="preserve">   Discos y elementos de programación ventas</t>
  </si>
  <si>
    <t>5245150000,5245150100,5245150200,5245250000,5245200000,5295150000,5245150300,5245150600,5245100000,5250050000,5250100000,5250150000,5250950000,5295250000,5295250100,5245150400</t>
  </si>
  <si>
    <t xml:space="preserve">   Material,sumin.mantto. e instalac.vt </t>
  </si>
  <si>
    <t xml:space="preserve">   Herramientas y equipos de seguridad</t>
  </si>
  <si>
    <t>5235050000,,5235050100,5235200000,5235950100,5235950400,5235950500,5235950600,5235950700,5235950800,5235950900</t>
  </si>
  <si>
    <t xml:space="preserve">   Trabajos de origen externo</t>
  </si>
  <si>
    <t xml:space="preserve">   Gastos de aduana exportaciones</t>
  </si>
  <si>
    <t xml:space="preserve">   Trabajos fuera de la empresa</t>
  </si>
  <si>
    <t xml:space="preserve">   Agencias temp de empleos gtos.var.vta</t>
  </si>
  <si>
    <t>4250500400,5295950100</t>
  </si>
  <si>
    <t xml:space="preserve">   Regalias y derechos de autor</t>
  </si>
  <si>
    <t xml:space="preserve">   Provision de cartera y devoluciones</t>
  </si>
  <si>
    <t>5299150000,5299150100</t>
  </si>
  <si>
    <t xml:space="preserve">   Costo artículos descontinuados</t>
  </si>
  <si>
    <t>GASTOS DE VENTAS FIJOS</t>
  </si>
  <si>
    <t>5205030100,5205030200,5205060100,5205060200,5205060300,5205150100,5205150200,5205270100,5205270200,5295600100,5295600200,5205240100</t>
  </si>
  <si>
    <t xml:space="preserve">   Sueldos Ventas</t>
  </si>
  <si>
    <t>5205300100,5205300200,5205330100,5205330200,5205360100,5205360200,5205390100,5205390200,5205420100,5205420200,5205421200,5205421300,5205421400,5205421500,5205421600,5205421700,5205450100,5205451000,5205451100,5205451200,5205451300,5205451800,5205510100,5205510200,5205540100,5205540200,5205600100,5205600200,5205680000,5205690100,5205690200,5205700100,5205700200,5205720100,5205720200,5205750100,5205750200,5205780100,5205780200,5205840100,5205840200,5205950100,5205950200,5205680100</t>
  </si>
  <si>
    <t xml:space="preserve">   Prestaciones sociales sueldos ventas </t>
  </si>
  <si>
    <t>5205480100,5205480200,5205480300,5205481000,5205481100,5205450300</t>
  </si>
  <si>
    <t xml:space="preserve">   Bonificaciones y premios empleados </t>
  </si>
  <si>
    <t>5205630100,5205630200,5205630300</t>
  </si>
  <si>
    <t xml:space="preserve">   Capacitacion gastos ventas</t>
  </si>
  <si>
    <t>5205660100,5205660200,5205660400,5205660500</t>
  </si>
  <si>
    <t xml:space="preserve">   Gastos reuniones de personal venta</t>
  </si>
  <si>
    <t>5235350100,5295950400,5295951400,5235350500</t>
  </si>
  <si>
    <t xml:space="preserve">Gastos de internet </t>
  </si>
  <si>
    <t>5220150000,5220200000,5220250000,5250400000,5220950000,5220950100,5235500100</t>
  </si>
  <si>
    <t xml:space="preserve">   Alquiler equipos, contratos de manten</t>
  </si>
  <si>
    <t>5210250000,5210350000,5210950000,5210300100,5210358000,</t>
  </si>
  <si>
    <t xml:space="preserve">   Honorarios gastos ventas fijos</t>
  </si>
  <si>
    <t xml:space="preserve">   Amortización Intangibles de ventas</t>
  </si>
  <si>
    <t>5215050000,5215100000,5215950000,5215950200</t>
  </si>
  <si>
    <t xml:space="preserve">   Impuestos Municipales</t>
  </si>
  <si>
    <t>5205660300,5255050300,5255060200,5255150300,5255200300,5255950300</t>
  </si>
  <si>
    <t xml:space="preserve">   Club 100%</t>
  </si>
  <si>
    <t>5245400000,5295350000</t>
  </si>
  <si>
    <t xml:space="preserve">   Mantenimiento vehiculos gastos ventas</t>
  </si>
  <si>
    <t>5295300000,5295100000</t>
  </si>
  <si>
    <t xml:space="preserve">   Papeleria, utiles, revistas, periodic</t>
  </si>
  <si>
    <t>5235600000,5235600100,5235600300,5235600500</t>
  </si>
  <si>
    <t xml:space="preserve">   Publicidad ventas</t>
  </si>
  <si>
    <t>5235350000,5235400100,5235400200,5235450000,5235350200,5235350300</t>
  </si>
  <si>
    <t xml:space="preserve">   Portes, telefono y fax</t>
  </si>
  <si>
    <t xml:space="preserve">   Amortización gastos preoperativos</t>
  </si>
  <si>
    <t>5230050000,5230100000,5230150000,5230200000,5230250000,5230300000,5230350000,5230400000,5230600000,5230650000,5230750000,5230800000,5230950000,5230950100,5295700000</t>
  </si>
  <si>
    <t xml:space="preserve">   Seguro incendio y varios ventas</t>
  </si>
  <si>
    <t>5110350100,5210350200</t>
  </si>
  <si>
    <t>Servicios infraestructura</t>
  </si>
  <si>
    <t>5215950100,5299050099,5235350400</t>
  </si>
  <si>
    <t xml:space="preserve">   Otros Gastos de Ventas</t>
  </si>
  <si>
    <t>5295200100,5295200200,5295200300</t>
  </si>
  <si>
    <t xml:space="preserve">   Atenciones a clientes gastos venta fi</t>
  </si>
  <si>
    <t>5225050000,5225100000</t>
  </si>
  <si>
    <t xml:space="preserve">   Cuotas a asociaciones y afiliacion gt</t>
  </si>
  <si>
    <t>5235250000,5235300000,5235250100</t>
  </si>
  <si>
    <t xml:space="preserve">   Luz y agua gastos ventas</t>
  </si>
  <si>
    <t>5295600000,5295600500</t>
  </si>
  <si>
    <t xml:space="preserve">   Viveres y refrigerios fijos</t>
  </si>
  <si>
    <t>5205210100,5205210200,5255050100,5255050200,5255060100,5255060300,5255060400,5255150100,5255150200,5255200100,5255200200,5255950100,5255950200,5205451900</t>
  </si>
  <si>
    <t xml:space="preserve">   Gastos de viaje, pasajes y hoteles</t>
  </si>
  <si>
    <t>5240050000,5240100000,5240150000,5240200400,5240950000</t>
  </si>
  <si>
    <t xml:space="preserve">   Gastos legales ventas</t>
  </si>
  <si>
    <t>5295450000,5295950500</t>
  </si>
  <si>
    <t xml:space="preserve">   Caja menor gastos ventas fijos</t>
  </si>
  <si>
    <t>5235100100,5295250200</t>
  </si>
  <si>
    <t xml:space="preserve">   Agencias temporales de empleo gastos</t>
  </si>
  <si>
    <t>5220050000,5220100000,5220100100,5245100100</t>
  </si>
  <si>
    <t xml:space="preserve">   Arrendamientos gastos venta fijos</t>
  </si>
  <si>
    <t>GASTOS OPERATIVOS</t>
  </si>
  <si>
    <t>5105030100,5105060100,5105150100,5105270100,5195600300,5105240100,5105060200</t>
  </si>
  <si>
    <t xml:space="preserve">   Sueldos Operativos</t>
  </si>
  <si>
    <t xml:space="preserve">   Comisiones Opertativas</t>
  </si>
  <si>
    <t>5105300100,5105301100,5105330100,5105331100,5105360200,5105361200,5105390200,5105391100,5105420100,5105421100,5105421300,5105421500,5105421700,5105421900,5105422100,5105422300,5105422500,5105450100,5105451100,5105451300,5105451500,5105451700,5105510100,5105511100,5105540100,5105541100,5105600100,5105601100,5105690100,5105691100,5105700100,5105701100,5105720100,5105721100,5105750100,5105751100,5105780100,5105781100,5105840100,5105841100,5105950100,5105950600,5105951100,5105451900</t>
  </si>
  <si>
    <t xml:space="preserve">   Prestaciones sociales operativos</t>
  </si>
  <si>
    <t xml:space="preserve">   Bonificaciones operativas</t>
  </si>
  <si>
    <t>5160050000,5160100000,5160150000,5160200000,5160350000,5160980000,5165980000</t>
  </si>
  <si>
    <t xml:space="preserve">   Depreciaciòn Administrativos</t>
  </si>
  <si>
    <t>5165100000,5165150000,5165950000</t>
  </si>
  <si>
    <t xml:space="preserve">   Amortización gastos administración</t>
  </si>
  <si>
    <t>GASTOS DE ADMINISTRACION PROPIA</t>
  </si>
  <si>
    <t xml:space="preserve">   Comisiones Gastos Administración</t>
  </si>
  <si>
    <t>5105301000,5105331000,5105361000,5105361100,5105391000,5105421800,5105422000,5105422200,5105422400,5105451400,5105451600,5105511000,5105541000,5105601000,5105691000,5105701000,5105721000,5105751000,5105781000,5105841000,5105951000,5105680100</t>
  </si>
  <si>
    <t xml:space="preserve">   Prestaciones sociales comisiones A</t>
  </si>
  <si>
    <t>5105030000,5105060000,5105060300,5105150000,5105270000,5195600100,5105240000</t>
  </si>
  <si>
    <t xml:space="preserve">   Sueldos Administracion</t>
  </si>
  <si>
    <t xml:space="preserve">5105300000,5105330000,5105360000,5105360100,5105390000,5105390100,5105420000,5105421200,5105421400,5105421600,5105450000,5105451000,5105451200,5105510000,5105540000,5105600000,5105680000,5105690000,5105700000,5105720000,5105750000,5105780000,5105840000,5105950000,5105701200 </t>
  </si>
  <si>
    <t xml:space="preserve">   Prestaciones sociales </t>
  </si>
  <si>
    <t>5105630000,5105630200,5105630100</t>
  </si>
  <si>
    <t xml:space="preserve">   Capacitacion Gasto Administracion</t>
  </si>
  <si>
    <t>5155050100,5155060100,5155150100,5155200100,5155950100</t>
  </si>
  <si>
    <t xml:space="preserve">   Club 100% administrativo</t>
  </si>
  <si>
    <t>5135050000,5135150000,5135200000,5135950500</t>
  </si>
  <si>
    <t xml:space="preserve">   Trabajo de origen externo</t>
  </si>
  <si>
    <t>5135100000,5195250200</t>
  </si>
  <si>
    <t xml:space="preserve">   Agencias temporales Administración</t>
  </si>
  <si>
    <t>5195200000,5195200100</t>
  </si>
  <si>
    <t xml:space="preserve">   Atenciones a clientes Administraci</t>
  </si>
  <si>
    <t xml:space="preserve">   Arrendamientos Gastos Administración</t>
  </si>
  <si>
    <t>5120200000,5120250000,5120400000</t>
  </si>
  <si>
    <t xml:space="preserve">   Alquiler equipos y contratos de mante</t>
  </si>
  <si>
    <t>5105480000,5105480200,5105480300,5105481000,5105450200</t>
  </si>
  <si>
    <t xml:space="preserve">   Bonificaciones y premios empleados Ad</t>
  </si>
  <si>
    <t>5125050000,5125100000</t>
  </si>
  <si>
    <t xml:space="preserve">   Cuotas asociaciones y de afiliacio</t>
  </si>
  <si>
    <t>5135250000,5135300000</t>
  </si>
  <si>
    <t xml:space="preserve">   Luz y agua Administración</t>
  </si>
  <si>
    <t>5105660000,5105660100,5105660200,5105660300</t>
  </si>
  <si>
    <t xml:space="preserve">   Gastos reuniones de personal Administ</t>
  </si>
  <si>
    <t>5110100000,5110200000,5110250000,5110300000,5110950000</t>
  </si>
  <si>
    <t xml:space="preserve">   Honorarios Administración </t>
  </si>
  <si>
    <t>5110350000</t>
  </si>
  <si>
    <t xml:space="preserve">   Licencias y Proyectos Especiales</t>
  </si>
  <si>
    <t>5115050000,5115100000,5115150000,5115400000,5115700000,5115700100,5115950000</t>
  </si>
  <si>
    <t xml:space="preserve">   Impuestos Administración</t>
  </si>
  <si>
    <t>5145400000,5195350000</t>
  </si>
  <si>
    <t xml:space="preserve">   Mantenimiento vehiculos Administrac.</t>
  </si>
  <si>
    <t>5195100000,5195300000</t>
  </si>
  <si>
    <t xml:space="preserve">   Papeleria , utiles, revistas periodic</t>
  </si>
  <si>
    <t>5135600000,5135600500</t>
  </si>
  <si>
    <t xml:space="preserve">   Serv.publicidad,propaganda y promoció</t>
  </si>
  <si>
    <t>5135350000,5135350200,5135400000,5135450000,5135350300</t>
  </si>
  <si>
    <t xml:space="preserve">   Portes, telex, teléfono, fax</t>
  </si>
  <si>
    <t>5145150000,5145150100,5145200000,5145250000,5195150000,5195400000,5195950400</t>
  </si>
  <si>
    <t xml:space="preserve">   Material,suministro,mantenimiento </t>
  </si>
  <si>
    <t>5145050000,5145100000,5150050000,5150100000,5150150000,5150950000,5195250000,5195250100</t>
  </si>
  <si>
    <t xml:space="preserve">   Mantenimiendo de construcciones y edificaciones</t>
  </si>
  <si>
    <t>5130050000,5130100000,5130150000,5130200000,5130250000,5130350000,5130400000,5130600000,5130650000,5130700000,5130750000,5130950000,5130950100,5130950200,5195700000,5130950300</t>
  </si>
  <si>
    <t xml:space="preserve">   Seguro incendio y varios Administrac.</t>
  </si>
  <si>
    <t>5195600000,5195600500</t>
  </si>
  <si>
    <t xml:space="preserve">   Viveres y refrigerios Administraci </t>
  </si>
  <si>
    <t>5105210000,5155050000,5155060000,5155060200,5155060300,5155150000,5155200000,5155950000,5155960000</t>
  </si>
  <si>
    <t xml:space="preserve">   Gastos de viaje, pasajes y hoteles </t>
  </si>
  <si>
    <t>5140050000,5140100000,5140150000,5140200000,5140250000,5140950000,4250500600</t>
  </si>
  <si>
    <t xml:space="preserve">   Gastos legales Administración </t>
  </si>
  <si>
    <t>,5195950600</t>
  </si>
  <si>
    <t xml:space="preserve">   Discos y equipos de seguridad Administración</t>
  </si>
  <si>
    <t>5195450000</t>
  </si>
  <si>
    <t xml:space="preserve">   Caja menor Gastos Administraciòn </t>
  </si>
  <si>
    <t>5115950100,5195050100,5195600200,5195950300,5199050000,5199100000,5199150000,5199950000</t>
  </si>
  <si>
    <t xml:space="preserve">   Otros gastos de administración</t>
  </si>
  <si>
    <t>Suma de MOVTO_LIBRO2</t>
  </si>
  <si>
    <t xml:space="preserve">GASTOS ADMINISTRACION APLICADOS </t>
  </si>
  <si>
    <t>CENTRO_OPERACION_MOVTO</t>
  </si>
  <si>
    <t>Nombre Centro_operacion_movto</t>
  </si>
  <si>
    <t>Total</t>
  </si>
  <si>
    <t>5135950300,5195056600,5198530000,5210350100,5295056600,5398050000</t>
  </si>
  <si>
    <t xml:space="preserve">   Cobros holding</t>
  </si>
  <si>
    <t>090</t>
  </si>
  <si>
    <t>PROYECTO INNOVACION</t>
  </si>
  <si>
    <t>5235950200,5235950300,5398210000,5398219900,5235950800</t>
  </si>
  <si>
    <t xml:space="preserve">   Gastos aplicados sectoriales</t>
  </si>
  <si>
    <t>Total general</t>
  </si>
  <si>
    <t xml:space="preserve">   Servicios Carvajal Servi-Assenda S.A.</t>
  </si>
  <si>
    <t>INGRESOS NO OPERACIONALES</t>
  </si>
  <si>
    <t>4210200100,4210200200</t>
  </si>
  <si>
    <t xml:space="preserve"> Diferencia en cambio por exportaciones</t>
  </si>
  <si>
    <t>4210200400,4210200500,4210200501,4210201000,4210201001,4210201100</t>
  </si>
  <si>
    <t xml:space="preserve"> Diferencia en cambio por otros</t>
  </si>
  <si>
    <t>4210400000,4218050000,4245500000,4250500100,4250500200,4250500300,4250506600,4255200000,4295050000,4295810000,4255400000,4250051000,4250500500</t>
  </si>
  <si>
    <t xml:space="preserve"> Otros Ingresos</t>
  </si>
  <si>
    <t>4210050100,4210051000</t>
  </si>
  <si>
    <t>Intereses recibidos</t>
  </si>
  <si>
    <t>GASTOS NO OPERACIONALES</t>
  </si>
  <si>
    <t>5235601000,5305350000,5310150000,5310300000,5310350000,5313050000,5315150000,5315150100,5315150200,5315160000,5315200000,5315200100,5315200200,5315200300,5315200400,5315950000,5395200000,5395950000,5395950200,5395100000,5395050000,5395250000</t>
  </si>
  <si>
    <t xml:space="preserve">   Otros egresos no operacionales</t>
  </si>
  <si>
    <t>5305250102,5305250200,5305250201,5305250400,5305250500,5305250501,5305250700</t>
  </si>
  <si>
    <t xml:space="preserve">   Diferencia en cambio</t>
  </si>
  <si>
    <t xml:space="preserve">5305050000,5305150000,5305200100,5305200200,5305200300,5305200400,5305202200,5305950000,5398110000,5305200101    </t>
  </si>
  <si>
    <t xml:space="preserve">   Intereses y otros</t>
  </si>
  <si>
    <t>5310950100,5310950200,5310950300,5395990000</t>
  </si>
  <si>
    <t xml:space="preserve">   Ajustes por inflacion Gastos No Op</t>
  </si>
  <si>
    <t>AJUSTES POR INFLACION</t>
  </si>
  <si>
    <t>4705050000,4705050100,4705100000,4705150000,4705200000,4705250000,4705300000,4705300100,4705350000,4705400000,4705450000,4705500000,4705550000,4705600000</t>
  </si>
  <si>
    <t>Ajustes Por Inflacion</t>
  </si>
  <si>
    <t>TOTAL AJUSTES POR INFLACION</t>
  </si>
  <si>
    <t>UTILIDAD ANTES DE IMPUESTOS</t>
  </si>
  <si>
    <t xml:space="preserve">IMPUESTOS </t>
  </si>
  <si>
    <t>5405050100,5405050200,5405050300,5405051100,5115950400</t>
  </si>
  <si>
    <t xml:space="preserve">   Impuesto de renta</t>
  </si>
  <si>
    <t>NOMINA</t>
  </si>
  <si>
    <t>EBITDA DEPRECICAION Y AMORTIZACION</t>
  </si>
  <si>
    <t>INGRESOS OPERACIONALES</t>
  </si>
  <si>
    <t>PARA EL PPTO DEL 2017 KARINA UTILIZO OTRAS CUENTAS</t>
  </si>
  <si>
    <t>FACTURACION SERVICIO DE AMBIENTACION</t>
  </si>
  <si>
    <t>FACTURACION PUBLIHOLD</t>
  </si>
  <si>
    <t xml:space="preserve">FACTURACION AUDICOM </t>
  </si>
  <si>
    <t>FACTURACION CARTELERAS DIGITALES</t>
  </si>
  <si>
    <t>FACT. REDES DE AUDIOS Y GRABACIONES ESPC</t>
  </si>
  <si>
    <t>FACTURACION INSTALACIONES</t>
  </si>
  <si>
    <t>VENTA DE OTROS PRODUCTOS CLIENTES- OLFA</t>
  </si>
  <si>
    <t xml:space="preserve">COSTOS DE VENTAS </t>
  </si>
  <si>
    <t xml:space="preserve">GASTOS VARIABLES DE VENTAS </t>
  </si>
  <si>
    <t xml:space="preserve">COMISIONES GASTOS VARIABLES </t>
  </si>
  <si>
    <t>Suma de VALOR_PRESUPUESTO</t>
  </si>
  <si>
    <t>PRESTACIONES SOCIALES COMISION</t>
  </si>
  <si>
    <t>AUXILIAR</t>
  </si>
  <si>
    <t>5160100000</t>
  </si>
  <si>
    <t>5205180100</t>
  </si>
  <si>
    <t>5205361000</t>
  </si>
  <si>
    <t>5235950500</t>
  </si>
  <si>
    <t>DEPRECIACIONES GASTOS DE VENTA VARIABLES</t>
  </si>
  <si>
    <t>5245150100</t>
  </si>
  <si>
    <t>5299100000</t>
  </si>
  <si>
    <t xml:space="preserve"> DEPRECIAC.EQUIPO DE OFICINA</t>
  </si>
  <si>
    <t xml:space="preserve">MANTEN SUMINISTROS Y MTTO INSTALACION </t>
  </si>
  <si>
    <t xml:space="preserve">TRABAJOS DE ORIGEN EXTERNO </t>
  </si>
  <si>
    <t xml:space="preserve">REGALIAS Y DERECHOS DE AUTOR </t>
  </si>
  <si>
    <t xml:space="preserve">CARTERA PROBLEMA CUENTA INCOBRABLE </t>
  </si>
  <si>
    <t>DEPRECIACION</t>
  </si>
  <si>
    <t xml:space="preserve">GASTOS DE VENTAS FIJOS </t>
  </si>
  <si>
    <t xml:space="preserve">CAPACITACION GASTOS DE VENTA </t>
  </si>
  <si>
    <t xml:space="preserve">SUELDOS VENTAS </t>
  </si>
  <si>
    <t xml:space="preserve">PRESTACIONES SOCIALES SUELDO VENTAS </t>
  </si>
  <si>
    <t>GASTOS REUNIONES DE PERSONAL</t>
  </si>
  <si>
    <t xml:space="preserve">HONORARIOS GASTOS DE VENTA FIJOS </t>
  </si>
  <si>
    <t>IMPUESTOS MUNICIPALES</t>
  </si>
  <si>
    <t>MANTENIMIENTO VEHICULOS GASTOS DE VENTAS</t>
  </si>
  <si>
    <t xml:space="preserve">PAPELERIA Y UTILES </t>
  </si>
  <si>
    <t xml:space="preserve">PUBLICIDAD Y ANUNCIOS VENTAS </t>
  </si>
  <si>
    <t>PORTES CORREO TELEFONO Y FAX</t>
  </si>
  <si>
    <t xml:space="preserve">SEGUROS VARIOS VENTAS </t>
  </si>
  <si>
    <t xml:space="preserve">CUOTAS ASOCIACIONES Y AFILIACIONES </t>
  </si>
  <si>
    <t xml:space="preserve">BONIFICACIONES Y PREMIOS A EMPLEADOS </t>
  </si>
  <si>
    <t>GASTOS DE VIAJE-HOTELES-PASAJES</t>
  </si>
  <si>
    <t xml:space="preserve">GASTOS LEGALES DE VENTAS </t>
  </si>
  <si>
    <t xml:space="preserve">ARRENDAMIENTOS </t>
  </si>
  <si>
    <t>GASTOS DE ADMINISTRACION PROPIO</t>
  </si>
  <si>
    <t xml:space="preserve">SUELDOS ADMINISTRACION </t>
  </si>
  <si>
    <t xml:space="preserve">PRESTACIONES SOCIALES </t>
  </si>
  <si>
    <t xml:space="preserve">COMISIONES GASTOS DE ADMINISTRACION </t>
  </si>
  <si>
    <t xml:space="preserve">CAPACITACION AL PERSONAL </t>
  </si>
  <si>
    <t xml:space="preserve">PRESTACIONES SOCIALES COMISIONES A </t>
  </si>
  <si>
    <t xml:space="preserve">ARRENDAMIENTOS GASTOS ADMINISTRACION </t>
  </si>
  <si>
    <t xml:space="preserve">GASTOS REUNION DE PERSONAL </t>
  </si>
  <si>
    <t xml:space="preserve">HERRAMIENTAS Y EQUIPOS DE SEGURIDAD </t>
  </si>
  <si>
    <t xml:space="preserve">HONORARIOS </t>
  </si>
  <si>
    <t xml:space="preserve">SEGUROS VARIOS </t>
  </si>
  <si>
    <t xml:space="preserve">MANTENIMIENTO VEHICULO ADMINISTRACION </t>
  </si>
  <si>
    <t xml:space="preserve">PORTES TELEX Y TELEFONO </t>
  </si>
  <si>
    <t xml:space="preserve">MATERIALES SUMINISTROS, MANTENIMIENTO </t>
  </si>
  <si>
    <t xml:space="preserve">GASTOS LEGALES DE ADMON </t>
  </si>
  <si>
    <t>REGISTRO MERCANTIL</t>
  </si>
  <si>
    <t xml:space="preserve">GASTOS DE VIAJE </t>
  </si>
  <si>
    <t xml:space="preserve">GASTOS DE ADMINISTRACION APLICADOS </t>
  </si>
  <si>
    <t xml:space="preserve">COBROS HOLDING </t>
  </si>
  <si>
    <t xml:space="preserve">GASTOS APLICADOS SECTORIALES </t>
  </si>
  <si>
    <t>SERVICIOS GC2</t>
  </si>
  <si>
    <t xml:space="preserve">INGRESOS NO OPERACIONALES </t>
  </si>
  <si>
    <t xml:space="preserve">Diferencia en cambio exportaciones </t>
  </si>
  <si>
    <t>Diferencia en Cambio Otros</t>
  </si>
  <si>
    <t xml:space="preserve">OTROS INGRESOS </t>
  </si>
  <si>
    <t xml:space="preserve">GASTOS NO OPERACIONALES </t>
  </si>
  <si>
    <t xml:space="preserve">OTROS EGRESOS NO OPERACIONALES </t>
  </si>
  <si>
    <t xml:space="preserve">DIFERENCIA EN CAMBIO </t>
  </si>
  <si>
    <t xml:space="preserve">INTERESES OTROS </t>
  </si>
  <si>
    <t xml:space="preserve">IMPUESTO DE RENTA </t>
  </si>
  <si>
    <t>DEPRECIACION EBITDA</t>
  </si>
  <si>
    <t>5160200000,5260100000,5260200000,5260350000,5160100000</t>
  </si>
  <si>
    <t>FLUJO CAJA</t>
  </si>
  <si>
    <t>INGRESOS POR DEPOSITAR</t>
  </si>
  <si>
    <t>FONDOS DE CAJA MENOR</t>
  </si>
  <si>
    <t>BANCO BANCOLOMBIA CTA CTE 060-047239-00</t>
  </si>
  <si>
    <t>BANCO HELM BANK CTA CTE 301-41175-7</t>
  </si>
  <si>
    <t>BANCO DE BOGOTA CTA CTE 146431697</t>
  </si>
  <si>
    <t>BANCO DE OCCIDENTE CTA CTE # 027-02780-4</t>
  </si>
  <si>
    <t>BANCOOMEVA  CTA CTE # 010705156006</t>
  </si>
  <si>
    <t>BANCO BANCOLOMBIA CAYMAN CTA. CTE #53820</t>
  </si>
  <si>
    <t>FONDO CAJA DOLARES N</t>
  </si>
  <si>
    <t>DER. EN FIDEICOMISOS DE INVER.</t>
  </si>
  <si>
    <t>RECAUDOS NACIONALES</t>
  </si>
  <si>
    <t>RECAUDOS DEL EXTERIOR</t>
  </si>
  <si>
    <t>RECAUDOS ASOCIADAS NACIONALES</t>
  </si>
  <si>
    <t>RECAUDO ASOCIADAS DEL EXTERIOR</t>
  </si>
  <si>
    <t>CHD</t>
  </si>
  <si>
    <t>CHEQUE DEVUELTO</t>
  </si>
  <si>
    <t>OTROS INGRESOS</t>
  </si>
  <si>
    <t>TOTAL INGRESOS OPERACIONALES</t>
  </si>
  <si>
    <t>EGRESOS OPERACIONALES</t>
  </si>
  <si>
    <t>PAGOS PROVEEDORES NACIONALES</t>
  </si>
  <si>
    <t>PAGO PROVEEDORES DEL EXTERIOR</t>
  </si>
  <si>
    <t>NACIONALIZACION INVENTARIOS</t>
  </si>
  <si>
    <t>FLETES Y ACARREOS</t>
  </si>
  <si>
    <t>EMPAQUE Y MATERIAL DE EMPAQUE</t>
  </si>
  <si>
    <t>MATERIALES DE MANUFACTURA</t>
  </si>
  <si>
    <t>TOTAL MATERIALES</t>
  </si>
  <si>
    <t>SERVICIOS</t>
  </si>
  <si>
    <t xml:space="preserve"> LUZ Y  AGUA </t>
  </si>
  <si>
    <t>1209,1213</t>
  </si>
  <si>
    <t>SALARIOS Y PRESTACIONES</t>
  </si>
  <si>
    <t>TRABAJOS INTERNOS</t>
  </si>
  <si>
    <t xml:space="preserve"> PRESTAMOS A EMPLEADOS  NETOS</t>
  </si>
  <si>
    <t>TRABAJOS DE ORIGEN EXTERNO</t>
  </si>
  <si>
    <t>TOTAL PERSONAL</t>
  </si>
  <si>
    <t xml:space="preserve"> PUBLICIDAD          </t>
  </si>
  <si>
    <t>SERVICIOS  DE INFRAESTRUCTURA</t>
  </si>
  <si>
    <t>CAPACITACION</t>
  </si>
  <si>
    <t>GASTOS LEGALES</t>
  </si>
  <si>
    <t>LICENCIAS Y PROYECTOS ESPECIALES</t>
  </si>
  <si>
    <t>MANTEMIMIENTO CONSTRUCCIONES</t>
  </si>
  <si>
    <t xml:space="preserve"> MTO EQUIPO        </t>
  </si>
  <si>
    <t xml:space="preserve"> ARRENDAMIENTOS  </t>
  </si>
  <si>
    <t xml:space="preserve"> ALQUILER DE EQUIPOS</t>
  </si>
  <si>
    <t xml:space="preserve"> GASTOS DE VIAJE  </t>
  </si>
  <si>
    <t xml:space="preserve"> GTOS DE ADUANA EXPORTACIONES</t>
  </si>
  <si>
    <t xml:space="preserve"> IMPUESTOS MUNICIPALES    </t>
  </si>
  <si>
    <t xml:space="preserve"> MANTENIMIENTO INSTALACIONES     </t>
  </si>
  <si>
    <t xml:space="preserve"> PORTES TELEX TELEFONO</t>
  </si>
  <si>
    <t xml:space="preserve"> PAPELERIA Y UTILES  </t>
  </si>
  <si>
    <t xml:space="preserve"> ATENCIONES A CLIENTE  </t>
  </si>
  <si>
    <t xml:space="preserve"> DONACIONES            </t>
  </si>
  <si>
    <t xml:space="preserve"> CAJA MENOR     </t>
  </si>
  <si>
    <t xml:space="preserve"> VIVERES               </t>
  </si>
  <si>
    <t xml:space="preserve"> REUNIONES DE PERSONAL         </t>
  </si>
  <si>
    <t xml:space="preserve"> SEGURO INCENDIO Y VARIOS               </t>
  </si>
  <si>
    <t xml:space="preserve"> MANTENIMIENTO DE VEHICULOS      </t>
  </si>
  <si>
    <t xml:space="preserve"> HONORARIOS           </t>
  </si>
  <si>
    <t xml:space="preserve"> HERRAMIENTAS Y EQUIPOS DE SEGURIDAD</t>
  </si>
  <si>
    <t xml:space="preserve"> ASOCIACION Y AFILIACION</t>
  </si>
  <si>
    <t xml:space="preserve"> COMISIONES A TERCEROS </t>
  </si>
  <si>
    <t xml:space="preserve"> COMISIONES BANCARIAS</t>
  </si>
  <si>
    <t xml:space="preserve"> CONTRIBUCION 4 POR MIL</t>
  </si>
  <si>
    <t xml:space="preserve"> REGALIAS</t>
  </si>
  <si>
    <t xml:space="preserve"> HOLDING</t>
  </si>
  <si>
    <t>SECTORIALES (947)</t>
  </si>
  <si>
    <t>EGRESOS ERP</t>
  </si>
  <si>
    <t>OTROS FIJOS (Marcas y patentes, gastos notariales, multas sanciones y litigios)</t>
  </si>
  <si>
    <t>TOTAL GENERALES</t>
  </si>
  <si>
    <t>TOTAL EGRESOS OPERACIONALES</t>
  </si>
  <si>
    <t>FLUJO OPERACIONAL</t>
  </si>
  <si>
    <t>SALDO DE CAJA ANTES DE INVERSIONES</t>
  </si>
  <si>
    <t>INVERSION</t>
  </si>
  <si>
    <t>PAGO  EQUIPOS Y NACIONALIZACION</t>
  </si>
  <si>
    <t>PAGO EQUIPO DE OFICINA</t>
  </si>
  <si>
    <t>PAGO  VEHICULOS</t>
  </si>
  <si>
    <t>EQUPÓS SM21</t>
  </si>
  <si>
    <t>TOTAL INVERSION</t>
  </si>
  <si>
    <t>IMPUESTO DE VENTAS</t>
  </si>
  <si>
    <t>3102,3105</t>
  </si>
  <si>
    <t>IMPUESTO DE RENTA</t>
  </si>
  <si>
    <t>DEVOLUCION DE IVA</t>
  </si>
  <si>
    <t>DEVOLUCION DE RENTA</t>
  </si>
  <si>
    <t>TOTAL IMPUESTOS</t>
  </si>
  <si>
    <t>MOVIMIENTO FINANCIERO</t>
  </si>
  <si>
    <t xml:space="preserve"> FLUJO CAJA ANTES DE MOVIMIENTO FINANCIERO Y PATRIMONIAL</t>
  </si>
  <si>
    <t>DIVIDENDOS</t>
  </si>
  <si>
    <t>RENDIMIENTOS FINANCIEROS</t>
  </si>
  <si>
    <t xml:space="preserve"> DIVIDENDOS RECIBIDOS</t>
  </si>
  <si>
    <t xml:space="preserve">  DIVIDENDOS PAGADOS</t>
  </si>
  <si>
    <t xml:space="preserve">  CAPITALIZACION</t>
  </si>
  <si>
    <t xml:space="preserve">  PAGOS ESPECIALES (INGRESOS) ENTRE ASOCIADAS</t>
  </si>
  <si>
    <t>PERIODO</t>
  </si>
  <si>
    <t>(Todas)</t>
  </si>
  <si>
    <t>SUBTOTAL PATRIMONIO</t>
  </si>
  <si>
    <t>Suma de Valor Presupuesto</t>
  </si>
  <si>
    <t>Cpto Flujo de Efectivo</t>
  </si>
  <si>
    <t>Nombre Cpto Flujo Efectivo</t>
  </si>
  <si>
    <t>OTROS ( sin cargo a la Holding)</t>
  </si>
  <si>
    <t>4102</t>
  </si>
  <si>
    <t>INTERESES LARGO PLAZO</t>
  </si>
  <si>
    <t>PRESTAMOS DE ASOCIADAS (COLOCACION)</t>
  </si>
  <si>
    <t>7102</t>
  </si>
  <si>
    <t>PAGO CUOTA CORRIENTE</t>
  </si>
  <si>
    <t>7105</t>
  </si>
  <si>
    <t>PRESTAMOS ENTIDADES FINANCIERAS LP</t>
  </si>
  <si>
    <t>CARTAS DE CREDITO ( INVERSIONES)</t>
  </si>
  <si>
    <t>PRESTAMOS DE ENTIDADES FINANCIERAS CORTO PLAZO (CREDITOS TESORERIA)</t>
  </si>
  <si>
    <t xml:space="preserve">PRESTAMOS DE ENTIDADES FINANCIERAS LARGO PLAZO   </t>
  </si>
  <si>
    <t>Generico</t>
  </si>
  <si>
    <t>DIFERENCIA EN CAMBIO DE CAJA DE LAS INVERSIONES</t>
  </si>
  <si>
    <t>INTERESES CORTO PLAZO</t>
  </si>
  <si>
    <t>SALDO FINAL EFECTIVO</t>
  </si>
  <si>
    <t>BVI</t>
  </si>
  <si>
    <t>BANCO GENERAL SA</t>
  </si>
  <si>
    <t>BANCOLOMBIA PANAMA</t>
  </si>
  <si>
    <t xml:space="preserve">                  ACTV DE RADIO Y T.V.</t>
  </si>
  <si>
    <t xml:space="preserve">                  DE SOCIEDADES ANONIMAS Y ASIMILADAS</t>
  </si>
  <si>
    <t xml:space="preserve">                  HONORARIOS ASESORIA TECNICA</t>
  </si>
  <si>
    <t xml:space="preserve">                  OTROS GASTOS FINANCIEROS</t>
  </si>
  <si>
    <t xml:space="preserve">                  OTROS</t>
  </si>
  <si>
    <t xml:space="preserve">      RECAUDOS NACIONALES</t>
  </si>
  <si>
    <t xml:space="preserve">      RECAUDOS DEL EXTERIOR</t>
  </si>
  <si>
    <t xml:space="preserve">      RECAUDOS ASOCIADAS NACIONALES</t>
  </si>
  <si>
    <t xml:space="preserve">      RECAUDOS ASOCIADAS DEL EXTERIOR</t>
  </si>
  <si>
    <t xml:space="preserve">      OTROS INGRESOS</t>
  </si>
  <si>
    <t xml:space="preserve">  SALDO INICIAL</t>
  </si>
  <si>
    <t>Entrada</t>
  </si>
  <si>
    <t xml:space="preserve">      GASTOS DE VIAJE</t>
  </si>
  <si>
    <t xml:space="preserve">      PAPELERIA Y UTILES</t>
  </si>
  <si>
    <t xml:space="preserve">      HONORARIOS</t>
  </si>
  <si>
    <t xml:space="preserve">      COMISIONES BANCARIAS</t>
  </si>
  <si>
    <t>PROEVEEDORES</t>
  </si>
  <si>
    <t>Salida</t>
  </si>
  <si>
    <t xml:space="preserve">  PAGOS ESPECIALES (INGRESOS) ASOCIADAS</t>
  </si>
  <si>
    <t xml:space="preserve">  DESCAPITALIZACION</t>
  </si>
  <si>
    <t>PRESTAMOS ASOCIADAS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</si>
</sst>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mmmm/yyyy"/>
    <numFmt numFmtId="166" formatCode="[$-F800]dddd\,\ mmmm\ dd\,\ yyyy"/>
    <numFmt numFmtId="167" formatCode="#,##0;[Red]\-#,##0;&quot;-&quot;"/>
    <numFmt numFmtId="168" formatCode="mmm/yyyy"/>
    <numFmt numFmtId="169" formatCode="[$$]\ #,##0.00;\-[$$]\ #,##0.00"/>
    <numFmt numFmtId="170" formatCode="0.0%"/>
    <numFmt numFmtId="171" formatCode="0_);\(0\)"/>
    <numFmt numFmtId="172" formatCode="_(&quot;$&quot;\ * #,##0.00_);_(&quot;$&quot;\ * \(#,##0.00\);_(&quot;$&quot;\ * &quot;-&quot;??_);_(@_)"/>
  </numFmts>
  <fonts count="98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6.85"/>
      <color indexed="8"/>
      <name val="Courier New"/>
      <family val="3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indexed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9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9"/>
      <color theme="1"/>
      <name val="Calibri"/>
      <family val="2"/>
      <scheme val="minor"/>
    </font>
    <font>
      <sz val="11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indexed="8"/>
      <name val="Arial"/>
      <family val="2"/>
    </font>
    <font>
      <sz val="9"/>
      <color theme="1"/>
      <name val="Tahoma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sz val="10"/>
      <color theme="2" tint="-0.749992370372631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  <font>
      <sz val="14"/>
      <color rgb="FFC00000"/>
      <name val="Arial"/>
      <family val="2"/>
    </font>
    <font>
      <sz val="10"/>
      <color rgb="FFC00000"/>
      <name val="Arial"/>
      <family val="2"/>
    </font>
    <font>
      <sz val="11"/>
      <color rgb="FFC00000"/>
      <name val="Arial"/>
      <family val="2"/>
    </font>
    <font>
      <i/>
      <sz val="10"/>
      <color indexed="9"/>
      <name val="Arial"/>
      <family val="2"/>
    </font>
    <font>
      <sz val="9"/>
      <color rgb="FFC00000"/>
      <name val="Arial"/>
      <family val="2"/>
    </font>
    <font>
      <sz val="11"/>
      <color rgb="FFFFFF00"/>
      <name val="Calibri"/>
      <family val="2"/>
      <scheme val="minor"/>
    </font>
    <font>
      <sz val="10"/>
      <color rgb="FFFF0000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0"/>
      <color indexed="8"/>
      <name val="Calibri"/>
      <family val="2"/>
    </font>
    <font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2" tint="-0.749992370372631"/>
      <name val="Calibri"/>
      <family val="2"/>
      <scheme val="minor"/>
    </font>
    <font>
      <sz val="9"/>
      <color theme="0"/>
      <name val="Arial"/>
      <family val="2"/>
    </font>
    <font>
      <sz val="11"/>
      <color theme="2" tint="-0.74999237037263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4"/>
      <color theme="0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9"/>
      <color rgb="FFFF0000"/>
      <name val="Arial"/>
      <family val="2"/>
    </font>
    <font>
      <sz val="11"/>
      <color theme="1" tint="0.14999847407452621"/>
      <name val="Calibri"/>
      <family val="2"/>
      <scheme val="minor"/>
    </font>
    <font>
      <b/>
      <sz val="9"/>
      <color theme="1" tint="0.14999847407452621"/>
      <name val="Arial"/>
      <family val="2"/>
    </font>
    <font>
      <sz val="6.85"/>
      <name val="Courier New"/>
      <family val="3"/>
    </font>
    <font>
      <b/>
      <sz val="14"/>
      <color rgb="FFFF0000"/>
      <name val="Calibri"/>
      <family val="2"/>
    </font>
    <font>
      <b/>
      <sz val="14"/>
      <name val="Arial"/>
      <family val="2"/>
    </font>
    <font>
      <b/>
      <i/>
      <sz val="10"/>
      <name val="Arial"/>
      <family val="2"/>
    </font>
    <font>
      <sz val="12"/>
      <color rgb="FFFF0000"/>
      <name val="Calibri"/>
      <family val="2"/>
      <scheme val="minor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sz val="12"/>
      <color theme="0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0"/>
      <color theme="3" tint="-0.249977111117893"/>
      <name val="Arial"/>
      <family val="2"/>
    </font>
    <font>
      <sz val="9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sz val="8"/>
      <color indexed="8"/>
      <name val="Arial"/>
      <family val="2"/>
    </font>
    <font>
      <b/>
      <sz val="10"/>
      <color theme="2" tint="-0.749992370372631"/>
      <name val="Arial"/>
      <family val="2"/>
    </font>
    <font>
      <sz val="9"/>
      <color theme="1"/>
      <name val="Times New Roman"/>
      <family val="1"/>
    </font>
    <font>
      <sz val="9"/>
      <name val="Times New Roman"/>
      <family val="1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8"/>
      <color theme="1"/>
      <name val="Calibri"/>
      <family val="2"/>
      <scheme val="minor"/>
    </font>
    <font>
      <sz val="11"/>
      <color indexed="8"/>
      <name val="Times New Roman"/>
      <family val="1"/>
    </font>
    <font>
      <sz val="8"/>
      <name val="Tahoma"/>
      <family val="2"/>
    </font>
    <font>
      <sz val="11"/>
      <name val="Times New Roman"/>
      <family val="1"/>
    </font>
    <font>
      <b/>
      <sz val="8"/>
      <name val="Tahoma"/>
      <family val="2"/>
    </font>
    <font>
      <sz val="8"/>
      <color indexed="8"/>
      <name val="Tahoma"/>
      <family val="2"/>
    </font>
    <font>
      <sz val="8"/>
      <color theme="1"/>
      <name val="Tahoma"/>
      <family val="2"/>
    </font>
    <font>
      <sz val="8"/>
      <color rgb="FFFF0000"/>
      <name val="Tahoma"/>
      <family val="2"/>
    </font>
    <font>
      <sz val="6.95"/>
      <color indexed="8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56">
    <border>
      <left/>
      <right/>
      <top/>
      <bottom/>
      <diagonal/>
    </border>
    <border>
      <left style="medium">
        <color indexed="54"/>
      </left>
      <right style="medium">
        <color indexed="9"/>
      </right>
      <top style="medium">
        <color indexed="54"/>
      </top>
      <bottom/>
      <diagonal/>
    </border>
    <border>
      <left style="medium">
        <color indexed="9"/>
      </left>
      <right/>
      <top style="medium">
        <color indexed="54"/>
      </top>
      <bottom style="medium">
        <color indexed="9"/>
      </bottom>
      <diagonal/>
    </border>
    <border>
      <left/>
      <right/>
      <top style="medium">
        <color indexed="54"/>
      </top>
      <bottom style="medium">
        <color indexed="9"/>
      </bottom>
      <diagonal/>
    </border>
    <border>
      <left/>
      <right style="medium">
        <color indexed="9"/>
      </right>
      <top style="medium">
        <color indexed="54"/>
      </top>
      <bottom style="medium">
        <color indexed="9"/>
      </bottom>
      <diagonal/>
    </border>
    <border>
      <left/>
      <right style="medium">
        <color indexed="54"/>
      </right>
      <top style="medium">
        <color indexed="54"/>
      </top>
      <bottom style="medium">
        <color indexed="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indexed="64"/>
      </bottom>
      <diagonal/>
    </border>
    <border>
      <left style="medium">
        <color indexed="54"/>
      </left>
      <right/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54"/>
      </right>
      <top style="medium">
        <color indexed="9"/>
      </top>
      <bottom/>
      <diagonal/>
    </border>
    <border>
      <left style="medium">
        <color indexed="54"/>
      </left>
      <right/>
      <top style="medium">
        <color indexed="54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 style="medium">
        <color rgb="FFFF0000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rgb="FFFF0000"/>
      </right>
      <top/>
      <bottom/>
      <diagonal/>
    </border>
    <border>
      <left/>
      <right style="medium">
        <color indexed="54"/>
      </right>
      <top style="medium">
        <color indexed="54"/>
      </top>
      <bottom/>
      <diagonal/>
    </border>
    <border>
      <left style="medium">
        <color indexed="54"/>
      </left>
      <right/>
      <top/>
      <bottom style="medium">
        <color indexed="54"/>
      </bottom>
      <diagonal/>
    </border>
    <border>
      <left style="medium">
        <color indexed="9"/>
      </left>
      <right/>
      <top/>
      <bottom style="medium">
        <color indexed="54"/>
      </bottom>
      <diagonal/>
    </border>
    <border>
      <left/>
      <right style="medium">
        <color indexed="9"/>
      </right>
      <top/>
      <bottom style="medium">
        <color indexed="54"/>
      </bottom>
      <diagonal/>
    </border>
    <border>
      <left/>
      <right style="medium">
        <color theme="4" tint="-0.24994659260841701"/>
      </right>
      <top style="medium">
        <color indexed="9"/>
      </top>
      <bottom style="medium">
        <color indexed="54"/>
      </bottom>
      <diagonal/>
    </border>
    <border>
      <left/>
      <right/>
      <top/>
      <bottom style="medium">
        <color indexed="54"/>
      </bottom>
      <diagonal/>
    </border>
    <border>
      <left style="medium">
        <color indexed="9"/>
      </left>
      <right style="medium">
        <color indexed="9"/>
      </right>
      <top/>
      <bottom style="medium">
        <color indexed="54"/>
      </bottom>
      <diagonal/>
    </border>
    <border>
      <left/>
      <right style="medium">
        <color indexed="54"/>
      </right>
      <top/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/>
      <bottom style="medium">
        <color indexed="54"/>
      </bottom>
      <diagonal/>
    </border>
    <border>
      <left style="medium">
        <color indexed="9"/>
      </left>
      <right style="medium">
        <color rgb="FFFF0000"/>
      </right>
      <top/>
      <bottom style="medium">
        <color indexed="54"/>
      </bottom>
      <diagonal/>
    </border>
    <border>
      <left style="medium">
        <color indexed="9"/>
      </left>
      <right style="medium">
        <color indexed="54"/>
      </right>
      <top/>
      <bottom style="medium">
        <color indexed="54"/>
      </bottom>
      <diagonal/>
    </border>
    <border>
      <left/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theme="3" tint="-0.24994659260841701"/>
      </right>
      <top style="medium">
        <color indexed="54"/>
      </top>
      <bottom/>
      <diagonal/>
    </border>
    <border>
      <left style="medium">
        <color rgb="FFFF0000"/>
      </left>
      <right style="medium">
        <color theme="3" tint="-0.24994659260841701"/>
      </right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 style="medium">
        <color theme="3" tint="-0.24994659260841701"/>
      </right>
      <top style="medium">
        <color indexed="54"/>
      </top>
      <bottom style="medium">
        <color theme="3" tint="-0.24994659260841701"/>
      </bottom>
      <diagonal/>
    </border>
    <border>
      <left style="medium">
        <color indexed="54"/>
      </left>
      <right style="medium">
        <color rgb="FFFF0000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indexed="54"/>
      </left>
      <right style="medium">
        <color rgb="FFFF0000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/>
      <diagonal/>
    </border>
    <border>
      <left/>
      <right/>
      <top style="medium">
        <color indexed="54"/>
      </top>
      <bottom/>
      <diagonal/>
    </border>
    <border>
      <left style="medium">
        <color indexed="54"/>
      </left>
      <right style="medium">
        <color indexed="54"/>
      </right>
      <top/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 style="medium">
        <color indexed="54"/>
      </top>
      <bottom style="medium">
        <color rgb="FFFF0000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rgb="FFFF0000"/>
      </bottom>
      <diagonal/>
    </border>
    <border>
      <left style="medium">
        <color indexed="54"/>
      </left>
      <right style="medium">
        <color rgb="FFFF0000"/>
      </right>
      <top style="medium">
        <color indexed="54"/>
      </top>
      <bottom style="medium">
        <color rgb="FFFF0000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rgb="FFFF0000"/>
      </left>
      <right/>
      <top style="medium">
        <color rgb="FFFF0000"/>
      </top>
      <bottom style="medium">
        <color indexed="54"/>
      </bottom>
      <diagonal/>
    </border>
    <border>
      <left/>
      <right/>
      <top style="medium">
        <color rgb="FFFF0000"/>
      </top>
      <bottom style="medium">
        <color indexed="54"/>
      </bottom>
      <diagonal/>
    </border>
    <border>
      <left/>
      <right style="medium">
        <color rgb="FFFF0000"/>
      </right>
      <top style="medium">
        <color rgb="FFFF0000"/>
      </top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 style="medium">
        <color indexed="54"/>
      </top>
      <bottom/>
      <diagonal/>
    </border>
    <border>
      <left/>
      <right style="medium">
        <color rgb="FFFF0000"/>
      </right>
      <top style="medium">
        <color indexed="54"/>
      </top>
      <bottom/>
      <diagonal/>
    </border>
    <border>
      <left style="medium">
        <color rgb="FFFF0000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rgb="FFFF0000"/>
      </left>
      <right style="medium">
        <color indexed="54"/>
      </right>
      <top/>
      <bottom/>
      <diagonal/>
    </border>
    <border>
      <left/>
      <right/>
      <top/>
      <bottom style="thin">
        <color theme="8" tint="0.79998168889431442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9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indexed="54"/>
      </right>
      <top style="medium">
        <color indexed="9"/>
      </top>
      <bottom style="medium">
        <color indexed="54"/>
      </bottom>
      <diagonal/>
    </border>
    <border>
      <left style="thick">
        <color indexed="64"/>
      </left>
      <right/>
      <top/>
      <bottom style="medium">
        <color indexed="54"/>
      </bottom>
      <diagonal/>
    </border>
    <border>
      <left/>
      <right style="thick">
        <color indexed="64"/>
      </right>
      <top/>
      <bottom style="medium">
        <color indexed="54"/>
      </bottom>
      <diagonal/>
    </border>
    <border>
      <left style="thick">
        <color indexed="6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/>
      <right style="thick">
        <color indexed="64"/>
      </right>
      <top style="medium">
        <color indexed="54"/>
      </top>
      <bottom style="medium">
        <color indexed="54"/>
      </bottom>
      <diagonal/>
    </border>
    <border>
      <left style="thick">
        <color indexed="64"/>
      </left>
      <right style="medium">
        <color indexed="54"/>
      </right>
      <top/>
      <bottom/>
      <diagonal/>
    </border>
    <border>
      <left style="medium">
        <color indexed="54"/>
      </left>
      <right style="thick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54"/>
      </right>
      <top style="medium">
        <color indexed="54"/>
      </top>
      <bottom style="thick">
        <color indexed="64"/>
      </bottom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5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9"/>
      </top>
      <bottom/>
      <diagonal/>
    </border>
    <border>
      <left style="medium">
        <color indexed="64"/>
      </left>
      <right style="medium">
        <color indexed="9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54"/>
      </bottom>
      <diagonal/>
    </border>
    <border>
      <left/>
      <right style="medium">
        <color indexed="64"/>
      </right>
      <top/>
      <bottom style="medium">
        <color indexed="54"/>
      </bottom>
      <diagonal/>
    </border>
    <border>
      <left style="medium">
        <color indexed="64"/>
      </left>
      <right style="medium">
        <color indexed="5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5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9"/>
      </right>
      <top style="medium">
        <color indexed="5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theme="4" tint="-0.24994659260841701"/>
      </right>
      <top style="medium">
        <color indexed="9"/>
      </top>
      <bottom style="medium">
        <color indexed="9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0"/>
      </top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64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64"/>
      </right>
      <top/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/>
      <diagonal/>
    </border>
    <border>
      <left style="medium">
        <color indexed="64"/>
      </left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medium">
        <color indexed="54"/>
      </left>
      <right style="medium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medium">
        <color theme="4" tint="-0.24994659260841701"/>
      </right>
      <top/>
      <bottom style="medium">
        <color theme="4" tint="-0.24994659260841701"/>
      </bottom>
      <diagonal/>
    </border>
    <border>
      <left style="medium">
        <color indexed="64"/>
      </left>
      <right style="medium">
        <color indexed="54"/>
      </right>
      <top style="medium">
        <color indexed="54"/>
      </top>
      <bottom style="medium">
        <color indexed="64"/>
      </bottom>
      <diagonal/>
    </border>
    <border>
      <left style="medium">
        <color indexed="54"/>
      </left>
      <right style="medium">
        <color indexed="64"/>
      </right>
      <top style="medium">
        <color indexed="54"/>
      </top>
      <bottom style="medium">
        <color indexed="64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4"/>
      </right>
      <top/>
      <bottom style="thin">
        <color indexed="64"/>
      </bottom>
      <diagonal/>
    </border>
    <border>
      <left style="medium">
        <color theme="4" tint="-0.24994659260841701"/>
      </left>
      <right style="medium">
        <color theme="4" tint="-0.24994659260841701"/>
      </right>
      <top/>
      <bottom style="thin">
        <color indexed="64"/>
      </bottom>
      <diagonal/>
    </border>
    <border>
      <left style="medium">
        <color indexed="54"/>
      </left>
      <right style="medium">
        <color indexed="5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theme="4" tint="-0.24994659260841701"/>
      </right>
      <top/>
      <bottom/>
      <diagonal/>
    </border>
    <border>
      <left/>
      <right style="thin">
        <color indexed="64"/>
      </right>
      <top style="medium">
        <color indexed="54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/>
      <right style="thin">
        <color indexed="64"/>
      </right>
      <top/>
      <bottom style="medium">
        <color indexed="54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/>
      <right style="thin">
        <color indexed="64"/>
      </right>
      <top style="medium">
        <color indexed="54"/>
      </top>
      <bottom style="medium">
        <color indexed="54"/>
      </bottom>
      <diagonal/>
    </border>
    <border>
      <left/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indexed="54"/>
      </left>
      <right style="thick">
        <color indexed="64"/>
      </right>
      <top style="medium">
        <color indexed="54"/>
      </top>
      <bottom style="thick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54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54"/>
      </bottom>
      <diagonal/>
    </border>
    <border>
      <left style="medium">
        <color indexed="9"/>
      </left>
      <right style="medium">
        <color indexed="54"/>
      </right>
      <top style="medium">
        <color indexed="9"/>
      </top>
      <bottom style="medium">
        <color indexed="54"/>
      </bottom>
      <diagonal/>
    </border>
    <border>
      <left style="medium">
        <color indexed="9"/>
      </left>
      <right/>
      <top style="medium">
        <color indexed="9"/>
      </top>
      <bottom style="medium">
        <color indexed="54"/>
      </bottom>
      <diagonal/>
    </border>
    <border>
      <left style="medium">
        <color indexed="64"/>
      </left>
      <right/>
      <top style="medium">
        <color indexed="9"/>
      </top>
      <bottom style="medium">
        <color indexed="54"/>
      </bottom>
      <diagonal/>
    </border>
    <border>
      <left/>
      <right/>
      <top style="medium">
        <color indexed="9"/>
      </top>
      <bottom style="medium">
        <color indexed="54"/>
      </bottom>
      <diagonal/>
    </border>
    <border>
      <left/>
      <right style="medium">
        <color indexed="64"/>
      </right>
      <top style="medium">
        <color indexed="9"/>
      </top>
      <bottom style="medium">
        <color indexed="54"/>
      </bottom>
      <diagonal/>
    </border>
    <border>
      <left/>
      <right style="medium">
        <color indexed="64"/>
      </right>
      <top style="medium">
        <color indexed="54"/>
      </top>
      <bottom style="medium">
        <color indexed="5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54"/>
      </left>
      <right style="medium">
        <color indexed="54"/>
      </right>
      <top style="medium">
        <color indexed="54"/>
      </top>
      <bottom style="medium">
        <color indexed="64"/>
      </bottom>
      <diagonal/>
    </border>
    <border>
      <left/>
      <right style="medium">
        <color indexed="9"/>
      </right>
      <top style="medium">
        <color indexed="9"/>
      </top>
      <bottom style="medium">
        <color indexed="5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thick">
        <color auto="1"/>
      </top>
      <bottom/>
      <diagonal/>
    </border>
    <border>
      <left/>
      <right style="medium">
        <color indexed="54"/>
      </right>
      <top style="thick">
        <color auto="1"/>
      </top>
      <bottom/>
      <diagonal/>
    </border>
    <border>
      <left style="medium">
        <color indexed="9"/>
      </left>
      <right style="medium">
        <color indexed="64"/>
      </right>
      <top style="thick">
        <color auto="1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medium">
        <color indexed="54"/>
      </bottom>
      <diagonal/>
    </border>
    <border>
      <left style="thick">
        <color indexed="64"/>
      </left>
      <right/>
      <top style="medium">
        <color theme="4" tint="-0.49998474074526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5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 style="thick">
        <color indexed="64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3" tint="-0.24994659260841701"/>
      </top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 style="thick">
        <color indexed="64"/>
      </left>
      <right/>
      <top style="medium">
        <color theme="4" tint="-0.24994659260841701"/>
      </top>
      <bottom style="thick">
        <color indexed="64"/>
      </bottom>
      <diagonal/>
    </border>
    <border>
      <left style="medium">
        <color theme="3" tint="-0.24994659260841701"/>
      </left>
      <right style="medium">
        <color theme="3" tint="-0.24994659260841701"/>
      </right>
      <top style="medium">
        <color theme="4" tint="-0.24994659260841701"/>
      </top>
      <bottom style="thick">
        <color indexed="64"/>
      </bottom>
      <diagonal/>
    </border>
    <border>
      <left/>
      <right style="thick">
        <color indexed="64"/>
      </right>
      <top style="medium">
        <color theme="4" tint="-0.24994659260841701"/>
      </top>
      <bottom style="thick">
        <color indexed="64"/>
      </bottom>
      <diagonal/>
    </border>
  </borders>
  <cellStyleXfs count="8">
    <xf numFmtId="0" fontId="0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8" fillId="0" borderId="0"/>
    <xf numFmtId="0" fontId="47" fillId="0" borderId="0"/>
    <xf numFmtId="172" fontId="5" fillId="0" borderId="0" applyFont="0" applyFill="0" applyBorder="0" applyAlignment="0" applyProtection="0"/>
    <xf numFmtId="41" fontId="5" fillId="0" borderId="0" applyFont="0" applyFill="0" applyBorder="0" applyAlignment="0" applyProtection="0"/>
  </cellStyleXfs>
  <cellXfs count="730">
    <xf numFmtId="0" fontId="0" fillId="0" borderId="0" xfId="0"/>
    <xf numFmtId="0" fontId="3" fillId="0" borderId="0" xfId="1" applyFont="1" applyAlignment="1">
      <alignment horizontal="center" wrapText="1"/>
    </xf>
    <xf numFmtId="0" fontId="3" fillId="2" borderId="0" xfId="1" applyFont="1" applyFill="1" applyAlignment="1">
      <alignment horizontal="center" wrapText="1"/>
    </xf>
    <xf numFmtId="0" fontId="6" fillId="3" borderId="0" xfId="1" applyFont="1" applyFill="1" applyAlignment="1">
      <alignment vertical="center"/>
    </xf>
    <xf numFmtId="0" fontId="7" fillId="0" borderId="0" xfId="1" applyFont="1" applyAlignment="1">
      <alignment horizontal="center" wrapText="1"/>
    </xf>
    <xf numFmtId="0" fontId="8" fillId="0" borderId="0" xfId="1" applyFont="1" applyAlignment="1">
      <alignment horizontal="center" wrapText="1"/>
    </xf>
    <xf numFmtId="164" fontId="9" fillId="2" borderId="0" xfId="2" applyNumberFormat="1" applyFont="1" applyFill="1" applyAlignment="1">
      <alignment horizontal="center" wrapText="1"/>
    </xf>
    <xf numFmtId="0" fontId="10" fillId="0" borderId="0" xfId="1" applyFont="1" applyAlignment="1">
      <alignment horizontal="center" wrapText="1"/>
    </xf>
    <xf numFmtId="0" fontId="9" fillId="0" borderId="0" xfId="1" applyFont="1" applyAlignment="1">
      <alignment horizontal="center" wrapText="1"/>
    </xf>
    <xf numFmtId="0" fontId="1" fillId="2" borderId="0" xfId="1" applyFont="1" applyFill="1"/>
    <xf numFmtId="0" fontId="5" fillId="0" borderId="0" xfId="1"/>
    <xf numFmtId="0" fontId="5" fillId="4" borderId="0" xfId="1" applyFill="1"/>
    <xf numFmtId="0" fontId="11" fillId="0" borderId="0" xfId="1" applyFont="1"/>
    <xf numFmtId="164" fontId="9" fillId="2" borderId="0" xfId="2" applyNumberFormat="1" applyFont="1" applyFill="1"/>
    <xf numFmtId="0" fontId="12" fillId="0" borderId="0" xfId="1" applyFont="1" applyAlignment="1">
      <alignment horizontal="center"/>
    </xf>
    <xf numFmtId="0" fontId="10" fillId="0" borderId="0" xfId="1" applyFont="1"/>
    <xf numFmtId="0" fontId="1" fillId="2" borderId="0" xfId="1" applyFont="1" applyFill="1" applyAlignment="1">
      <alignment horizontal="left"/>
    </xf>
    <xf numFmtId="0" fontId="13" fillId="0" borderId="0" xfId="1" applyFont="1" applyAlignment="1">
      <alignment horizontal="center"/>
    </xf>
    <xf numFmtId="3" fontId="14" fillId="2" borderId="0" xfId="2" applyNumberFormat="1" applyFont="1" applyFill="1"/>
    <xf numFmtId="0" fontId="12" fillId="0" borderId="0" xfId="1" applyFont="1" applyAlignment="1">
      <alignment horizontal="center"/>
    </xf>
    <xf numFmtId="0" fontId="15" fillId="0" borderId="0" xfId="1" applyFont="1"/>
    <xf numFmtId="0" fontId="16" fillId="5" borderId="1" xfId="1" applyFont="1" applyFill="1" applyBorder="1" applyAlignment="1">
      <alignment horizontal="left"/>
    </xf>
    <xf numFmtId="165" fontId="17" fillId="5" borderId="2" xfId="1" applyNumberFormat="1" applyFont="1" applyFill="1" applyBorder="1" applyAlignment="1">
      <alignment horizontal="centerContinuous"/>
    </xf>
    <xf numFmtId="165" fontId="17" fillId="5" borderId="3" xfId="1" applyNumberFormat="1" applyFont="1" applyFill="1" applyBorder="1" applyAlignment="1">
      <alignment horizontal="centerContinuous"/>
    </xf>
    <xf numFmtId="165" fontId="17" fillId="5" borderId="4" xfId="1" applyNumberFormat="1" applyFont="1" applyFill="1" applyBorder="1" applyAlignment="1">
      <alignment horizontal="center"/>
    </xf>
    <xf numFmtId="0" fontId="17" fillId="5" borderId="2" xfId="1" applyFont="1" applyFill="1" applyBorder="1" applyAlignment="1">
      <alignment horizontal="center"/>
    </xf>
    <xf numFmtId="0" fontId="5" fillId="0" borderId="3" xfId="1" applyBorder="1" applyAlignment="1">
      <alignment horizontal="center"/>
    </xf>
    <xf numFmtId="0" fontId="5" fillId="0" borderId="3" xfId="1" applyBorder="1"/>
    <xf numFmtId="0" fontId="5" fillId="0" borderId="5" xfId="1" applyBorder="1"/>
    <xf numFmtId="164" fontId="18" fillId="2" borderId="0" xfId="2" applyNumberFormat="1" applyFont="1" applyFill="1" applyBorder="1" applyAlignment="1">
      <alignment horizontal="center"/>
    </xf>
    <xf numFmtId="166" fontId="9" fillId="6" borderId="6" xfId="1" applyNumberFormat="1" applyFont="1" applyFill="1" applyBorder="1" applyAlignment="1">
      <alignment horizontal="centerContinuous"/>
    </xf>
    <xf numFmtId="166" fontId="9" fillId="6" borderId="7" xfId="1" applyNumberFormat="1" applyFont="1" applyFill="1" applyBorder="1" applyAlignment="1">
      <alignment horizontal="centerContinuous"/>
    </xf>
    <xf numFmtId="0" fontId="19" fillId="6" borderId="8" xfId="1" applyFont="1" applyFill="1" applyBorder="1" applyAlignment="1">
      <alignment horizontal="center"/>
    </xf>
    <xf numFmtId="0" fontId="19" fillId="6" borderId="9" xfId="1" applyFont="1" applyFill="1" applyBorder="1" applyAlignment="1">
      <alignment horizontal="center"/>
    </xf>
    <xf numFmtId="0" fontId="19" fillId="6" borderId="10" xfId="1" applyFont="1" applyFill="1" applyBorder="1" applyAlignment="1">
      <alignment horizontal="center"/>
    </xf>
    <xf numFmtId="0" fontId="1" fillId="0" borderId="0" xfId="1" applyFont="1"/>
    <xf numFmtId="0" fontId="16" fillId="5" borderId="11" xfId="1" applyFont="1" applyFill="1" applyBorder="1" applyAlignment="1">
      <alignment horizontal="left"/>
    </xf>
    <xf numFmtId="0" fontId="17" fillId="5" borderId="12" xfId="1" applyFont="1" applyFill="1" applyBorder="1" applyAlignment="1">
      <alignment horizontal="center" wrapText="1"/>
    </xf>
    <xf numFmtId="0" fontId="5" fillId="0" borderId="13" xfId="1" applyBorder="1" applyAlignment="1">
      <alignment horizontal="center" wrapText="1"/>
    </xf>
    <xf numFmtId="0" fontId="17" fillId="5" borderId="14" xfId="1" applyFont="1" applyFill="1" applyBorder="1" applyAlignment="1">
      <alignment horizontal="center" wrapText="1"/>
    </xf>
    <xf numFmtId="0" fontId="17" fillId="5" borderId="15" xfId="1" applyFont="1" applyFill="1" applyBorder="1" applyAlignment="1">
      <alignment horizontal="center" wrapText="1"/>
    </xf>
    <xf numFmtId="0" fontId="17" fillId="5" borderId="16" xfId="1" applyFont="1" applyFill="1" applyBorder="1" applyAlignment="1">
      <alignment horizontal="center" wrapText="1"/>
    </xf>
    <xf numFmtId="0" fontId="20" fillId="5" borderId="17" xfId="1" applyFont="1" applyFill="1" applyBorder="1" applyAlignment="1">
      <alignment horizontal="left"/>
    </xf>
    <xf numFmtId="0" fontId="21" fillId="5" borderId="18" xfId="1" applyFont="1" applyFill="1" applyBorder="1" applyAlignment="1">
      <alignment horizontal="center"/>
    </xf>
    <xf numFmtId="0" fontId="21" fillId="5" borderId="19" xfId="1" applyFont="1" applyFill="1" applyBorder="1" applyAlignment="1">
      <alignment horizontal="center"/>
    </xf>
    <xf numFmtId="0" fontId="21" fillId="5" borderId="20" xfId="1" applyFont="1" applyFill="1" applyBorder="1" applyAlignment="1">
      <alignment horizontal="center"/>
    </xf>
    <xf numFmtId="0" fontId="21" fillId="5" borderId="21" xfId="1" applyFont="1" applyFill="1" applyBorder="1" applyAlignment="1">
      <alignment horizontal="center"/>
    </xf>
    <xf numFmtId="0" fontId="21" fillId="5" borderId="22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3" fontId="22" fillId="2" borderId="0" xfId="1" quotePrefix="1" applyNumberFormat="1" applyFont="1" applyFill="1"/>
    <xf numFmtId="0" fontId="23" fillId="5" borderId="23" xfId="1" applyFont="1" applyFill="1" applyBorder="1" applyAlignment="1">
      <alignment horizontal="left"/>
    </xf>
    <xf numFmtId="0" fontId="17" fillId="5" borderId="24" xfId="1" applyFont="1" applyFill="1" applyBorder="1" applyAlignment="1">
      <alignment horizontal="center"/>
    </xf>
    <xf numFmtId="0" fontId="24" fillId="5" borderId="25" xfId="1" applyFont="1" applyFill="1" applyBorder="1" applyAlignment="1">
      <alignment horizontal="center"/>
    </xf>
    <xf numFmtId="0" fontId="24" fillId="5" borderId="26" xfId="1" applyFont="1" applyFill="1" applyBorder="1" applyAlignment="1">
      <alignment horizontal="center"/>
    </xf>
    <xf numFmtId="0" fontId="24" fillId="5" borderId="27" xfId="1" applyFont="1" applyFill="1" applyBorder="1" applyAlignment="1">
      <alignment horizontal="center"/>
    </xf>
    <xf numFmtId="0" fontId="24" fillId="5" borderId="28" xfId="1" applyFont="1" applyFill="1" applyBorder="1" applyAlignment="1">
      <alignment horizontal="center"/>
    </xf>
    <xf numFmtId="0" fontId="24" fillId="5" borderId="29" xfId="1" applyFont="1" applyFill="1" applyBorder="1" applyAlignment="1">
      <alignment horizontal="center"/>
    </xf>
    <xf numFmtId="0" fontId="21" fillId="5" borderId="23" xfId="1" applyFont="1" applyFill="1" applyBorder="1" applyAlignment="1">
      <alignment horizontal="left"/>
    </xf>
    <xf numFmtId="0" fontId="21" fillId="5" borderId="28" xfId="1" applyFont="1" applyFill="1" applyBorder="1" applyAlignment="1">
      <alignment horizontal="center"/>
    </xf>
    <xf numFmtId="0" fontId="21" fillId="5" borderId="24" xfId="1" applyFont="1" applyFill="1" applyBorder="1" applyAlignment="1">
      <alignment horizontal="center"/>
    </xf>
    <xf numFmtId="0" fontId="21" fillId="5" borderId="30" xfId="1" applyFont="1" applyFill="1" applyBorder="1" applyAlignment="1">
      <alignment horizontal="center"/>
    </xf>
    <xf numFmtId="0" fontId="21" fillId="5" borderId="31" xfId="1" applyFont="1" applyFill="1" applyBorder="1" applyAlignment="1">
      <alignment horizontal="center"/>
    </xf>
    <xf numFmtId="0" fontId="21" fillId="5" borderId="29" xfId="1" applyFont="1" applyFill="1" applyBorder="1" applyAlignment="1">
      <alignment horizontal="center"/>
    </xf>
    <xf numFmtId="0" fontId="21" fillId="5" borderId="32" xfId="1" applyFont="1" applyFill="1" applyBorder="1" applyAlignment="1">
      <alignment horizontal="center"/>
    </xf>
    <xf numFmtId="0" fontId="22" fillId="2" borderId="0" xfId="1" applyFont="1" applyFill="1"/>
    <xf numFmtId="0" fontId="25" fillId="7" borderId="33" xfId="1" applyFont="1" applyFill="1" applyBorder="1" applyAlignment="1">
      <alignment horizontal="left"/>
    </xf>
    <xf numFmtId="3" fontId="25" fillId="8" borderId="11" xfId="1" applyNumberFormat="1" applyFont="1" applyFill="1" applyBorder="1" applyAlignment="1">
      <alignment horizontal="right"/>
    </xf>
    <xf numFmtId="9" fontId="25" fillId="8" borderId="33" xfId="3" applyFont="1" applyFill="1" applyBorder="1" applyAlignment="1">
      <alignment horizontal="center"/>
    </xf>
    <xf numFmtId="9" fontId="25" fillId="8" borderId="0" xfId="3" applyFont="1" applyFill="1" applyBorder="1" applyAlignment="1">
      <alignment horizontal="center"/>
    </xf>
    <xf numFmtId="9" fontId="25" fillId="8" borderId="34" xfId="3" applyFont="1" applyFill="1" applyBorder="1" applyAlignment="1">
      <alignment horizontal="center"/>
    </xf>
    <xf numFmtId="9" fontId="25" fillId="8" borderId="33" xfId="3" applyFont="1" applyFill="1" applyBorder="1" applyAlignment="1">
      <alignment horizontal="right"/>
    </xf>
    <xf numFmtId="164" fontId="9" fillId="2" borderId="0" xfId="2" applyNumberFormat="1" applyFont="1" applyFill="1" applyBorder="1" applyAlignment="1"/>
    <xf numFmtId="164" fontId="14" fillId="2" borderId="0" xfId="2" applyNumberFormat="1" applyFont="1" applyFill="1" applyBorder="1" applyAlignment="1"/>
    <xf numFmtId="0" fontId="25" fillId="7" borderId="35" xfId="1" applyFont="1" applyFill="1" applyBorder="1" applyAlignment="1">
      <alignment horizontal="left"/>
    </xf>
    <xf numFmtId="3" fontId="25" fillId="7" borderId="36" xfId="1" applyNumberFormat="1" applyFont="1" applyFill="1" applyBorder="1" applyAlignment="1">
      <alignment horizontal="right"/>
    </xf>
    <xf numFmtId="3" fontId="25" fillId="7" borderId="35" xfId="1" applyNumberFormat="1" applyFont="1" applyFill="1" applyBorder="1" applyAlignment="1">
      <alignment horizontal="right"/>
    </xf>
    <xf numFmtId="164" fontId="25" fillId="7" borderId="37" xfId="2" applyNumberFormat="1" applyFont="1" applyFill="1" applyBorder="1" applyAlignment="1">
      <alignment horizontal="right"/>
    </xf>
    <xf numFmtId="9" fontId="25" fillId="7" borderId="37" xfId="3" applyFont="1" applyFill="1" applyBorder="1" applyAlignment="1">
      <alignment horizontal="center"/>
    </xf>
    <xf numFmtId="164" fontId="15" fillId="0" borderId="0" xfId="2" applyNumberFormat="1" applyFont="1" applyFill="1"/>
    <xf numFmtId="164" fontId="10" fillId="0" borderId="0" xfId="2" applyNumberFormat="1" applyFont="1" applyFill="1"/>
    <xf numFmtId="49" fontId="26" fillId="0" borderId="0" xfId="1" applyNumberFormat="1" applyFont="1"/>
    <xf numFmtId="0" fontId="27" fillId="0" borderId="34" xfId="1" applyFont="1" applyBorder="1" applyAlignment="1">
      <alignment horizontal="left"/>
    </xf>
    <xf numFmtId="3" fontId="27" fillId="0" borderId="34" xfId="1" applyNumberFormat="1" applyFont="1" applyBorder="1" applyAlignment="1">
      <alignment horizontal="right"/>
    </xf>
    <xf numFmtId="3" fontId="27" fillId="0" borderId="11" xfId="1" applyNumberFormat="1" applyFont="1" applyBorder="1" applyAlignment="1">
      <alignment horizontal="right"/>
    </xf>
    <xf numFmtId="3" fontId="27" fillId="0" borderId="38" xfId="1" applyNumberFormat="1" applyFont="1" applyBorder="1" applyAlignment="1">
      <alignment horizontal="right"/>
    </xf>
    <xf numFmtId="164" fontId="27" fillId="0" borderId="33" xfId="2" applyNumberFormat="1" applyFont="1" applyBorder="1" applyAlignment="1">
      <alignment horizontal="right"/>
    </xf>
    <xf numFmtId="9" fontId="27" fillId="0" borderId="33" xfId="3" applyFont="1" applyBorder="1" applyAlignment="1">
      <alignment horizontal="center"/>
    </xf>
    <xf numFmtId="3" fontId="10" fillId="0" borderId="0" xfId="1" applyNumberFormat="1" applyFont="1"/>
    <xf numFmtId="3" fontId="27" fillId="0" borderId="39" xfId="1" applyNumberFormat="1" applyFont="1" applyBorder="1" applyAlignment="1">
      <alignment horizontal="right"/>
    </xf>
    <xf numFmtId="0" fontId="25" fillId="7" borderId="34" xfId="1" applyFont="1" applyFill="1" applyBorder="1" applyAlignment="1">
      <alignment horizontal="left"/>
    </xf>
    <xf numFmtId="3" fontId="27" fillId="0" borderId="33" xfId="1" applyNumberFormat="1" applyFont="1" applyBorder="1" applyAlignment="1">
      <alignment horizontal="right"/>
    </xf>
    <xf numFmtId="3" fontId="27" fillId="0" borderId="0" xfId="1" applyNumberFormat="1" applyFont="1" applyAlignment="1">
      <alignment horizontal="right"/>
    </xf>
    <xf numFmtId="3" fontId="27" fillId="0" borderId="40" xfId="1" applyNumberFormat="1" applyFont="1" applyBorder="1" applyAlignment="1">
      <alignment horizontal="right"/>
    </xf>
    <xf numFmtId="3" fontId="25" fillId="7" borderId="41" xfId="1" applyNumberFormat="1" applyFont="1" applyFill="1" applyBorder="1" applyAlignment="1">
      <alignment horizontal="right"/>
    </xf>
    <xf numFmtId="3" fontId="25" fillId="7" borderId="42" xfId="1" applyNumberFormat="1" applyFont="1" applyFill="1" applyBorder="1" applyAlignment="1">
      <alignment horizontal="right"/>
    </xf>
    <xf numFmtId="3" fontId="25" fillId="7" borderId="37" xfId="1" applyNumberFormat="1" applyFont="1" applyFill="1" applyBorder="1" applyAlignment="1">
      <alignment horizontal="right"/>
    </xf>
    <xf numFmtId="167" fontId="25" fillId="8" borderId="33" xfId="3" applyNumberFormat="1" applyFont="1" applyFill="1" applyBorder="1" applyAlignment="1">
      <alignment horizontal="center"/>
    </xf>
    <xf numFmtId="3" fontId="25" fillId="7" borderId="34" xfId="1" applyNumberFormat="1" applyFont="1" applyFill="1" applyBorder="1" applyAlignment="1">
      <alignment horizontal="right"/>
    </xf>
    <xf numFmtId="3" fontId="25" fillId="7" borderId="11" xfId="1" applyNumberFormat="1" applyFont="1" applyFill="1" applyBorder="1" applyAlignment="1">
      <alignment horizontal="right"/>
    </xf>
    <xf numFmtId="3" fontId="25" fillId="7" borderId="43" xfId="1" applyNumberFormat="1" applyFont="1" applyFill="1" applyBorder="1" applyAlignment="1">
      <alignment horizontal="right"/>
    </xf>
    <xf numFmtId="3" fontId="25" fillId="7" borderId="44" xfId="1" applyNumberFormat="1" applyFont="1" applyFill="1" applyBorder="1" applyAlignment="1">
      <alignment horizontal="right"/>
    </xf>
    <xf numFmtId="3" fontId="25" fillId="7" borderId="33" xfId="1" applyNumberFormat="1" applyFont="1" applyFill="1" applyBorder="1" applyAlignment="1">
      <alignment horizontal="right"/>
    </xf>
    <xf numFmtId="9" fontId="25" fillId="7" borderId="33" xfId="3" applyFont="1" applyFill="1" applyBorder="1" applyAlignment="1">
      <alignment horizontal="center"/>
    </xf>
    <xf numFmtId="164" fontId="25" fillId="7" borderId="33" xfId="2" applyNumberFormat="1" applyFont="1" applyFill="1" applyBorder="1" applyAlignment="1">
      <alignment horizontal="right"/>
    </xf>
    <xf numFmtId="0" fontId="25" fillId="7" borderId="45" xfId="1" applyFont="1" applyFill="1" applyBorder="1" applyAlignment="1">
      <alignment horizontal="left"/>
    </xf>
    <xf numFmtId="3" fontId="25" fillId="8" borderId="17" xfId="1" applyNumberFormat="1" applyFont="1" applyFill="1" applyBorder="1" applyAlignment="1">
      <alignment horizontal="right"/>
    </xf>
    <xf numFmtId="9" fontId="25" fillId="8" borderId="22" xfId="3" applyFont="1" applyFill="1" applyBorder="1" applyAlignment="1">
      <alignment horizontal="center"/>
    </xf>
    <xf numFmtId="9" fontId="25" fillId="8" borderId="46" xfId="3" applyFont="1" applyFill="1" applyBorder="1" applyAlignment="1">
      <alignment horizontal="center"/>
    </xf>
    <xf numFmtId="9" fontId="25" fillId="8" borderId="45" xfId="3" applyFont="1" applyFill="1" applyBorder="1" applyAlignment="1">
      <alignment horizontal="center"/>
    </xf>
    <xf numFmtId="9" fontId="25" fillId="8" borderId="22" xfId="3" applyFont="1" applyFill="1" applyBorder="1" applyAlignment="1">
      <alignment horizontal="right"/>
    </xf>
    <xf numFmtId="3" fontId="27" fillId="0" borderId="44" xfId="1" applyNumberFormat="1" applyFont="1" applyBorder="1" applyAlignment="1">
      <alignment horizontal="right"/>
    </xf>
    <xf numFmtId="49" fontId="29" fillId="0" borderId="0" xfId="4" applyNumberFormat="1" applyFont="1"/>
    <xf numFmtId="0" fontId="25" fillId="0" borderId="34" xfId="1" applyFont="1" applyBorder="1" applyAlignment="1">
      <alignment horizontal="left"/>
    </xf>
    <xf numFmtId="9" fontId="25" fillId="0" borderId="33" xfId="3" applyFont="1" applyFill="1" applyBorder="1" applyAlignment="1">
      <alignment horizontal="center"/>
    </xf>
    <xf numFmtId="3" fontId="25" fillId="0" borderId="0" xfId="1" applyNumberFormat="1" applyFont="1" applyAlignment="1">
      <alignment horizontal="right"/>
    </xf>
    <xf numFmtId="9" fontId="25" fillId="0" borderId="0" xfId="3" applyFont="1" applyFill="1" applyBorder="1" applyAlignment="1">
      <alignment horizontal="center"/>
    </xf>
    <xf numFmtId="9" fontId="25" fillId="0" borderId="34" xfId="3" applyFont="1" applyFill="1" applyBorder="1" applyAlignment="1">
      <alignment horizontal="center"/>
    </xf>
    <xf numFmtId="3" fontId="25" fillId="0" borderId="11" xfId="1" applyNumberFormat="1" applyFont="1" applyBorder="1" applyAlignment="1">
      <alignment horizontal="right"/>
    </xf>
    <xf numFmtId="9" fontId="25" fillId="0" borderId="33" xfId="3" applyFont="1" applyFill="1" applyBorder="1" applyAlignment="1">
      <alignment horizontal="right"/>
    </xf>
    <xf numFmtId="0" fontId="25" fillId="7" borderId="47" xfId="1" applyFont="1" applyFill="1" applyBorder="1" applyAlignment="1">
      <alignment horizontal="left"/>
    </xf>
    <xf numFmtId="3" fontId="25" fillId="8" borderId="23" xfId="1" applyNumberFormat="1" applyFont="1" applyFill="1" applyBorder="1" applyAlignment="1">
      <alignment horizontal="right"/>
    </xf>
    <xf numFmtId="9" fontId="25" fillId="8" borderId="29" xfId="3" applyFont="1" applyFill="1" applyBorder="1" applyAlignment="1">
      <alignment horizontal="center"/>
    </xf>
    <xf numFmtId="9" fontId="25" fillId="8" borderId="27" xfId="3" applyFont="1" applyFill="1" applyBorder="1" applyAlignment="1">
      <alignment horizontal="center"/>
    </xf>
    <xf numFmtId="9" fontId="25" fillId="8" borderId="47" xfId="3" applyFont="1" applyFill="1" applyBorder="1" applyAlignment="1">
      <alignment horizontal="center"/>
    </xf>
    <xf numFmtId="9" fontId="25" fillId="7" borderId="47" xfId="3" applyFont="1" applyFill="1" applyBorder="1" applyAlignment="1">
      <alignment horizontal="center"/>
    </xf>
    <xf numFmtId="9" fontId="25" fillId="8" borderId="29" xfId="3" applyFont="1" applyFill="1" applyBorder="1" applyAlignment="1">
      <alignment horizontal="right"/>
    </xf>
    <xf numFmtId="9" fontId="27" fillId="0" borderId="33" xfId="3" applyFont="1" applyFill="1" applyBorder="1" applyAlignment="1">
      <alignment horizontal="center"/>
    </xf>
    <xf numFmtId="9" fontId="27" fillId="0" borderId="0" xfId="3" applyFont="1" applyFill="1" applyBorder="1" applyAlignment="1">
      <alignment horizontal="center"/>
    </xf>
    <xf numFmtId="9" fontId="27" fillId="0" borderId="34" xfId="3" applyFont="1" applyFill="1" applyBorder="1" applyAlignment="1">
      <alignment horizontal="center"/>
    </xf>
    <xf numFmtId="9" fontId="27" fillId="0" borderId="33" xfId="3" applyFont="1" applyFill="1" applyBorder="1" applyAlignment="1">
      <alignment horizontal="right"/>
    </xf>
    <xf numFmtId="3" fontId="25" fillId="7" borderId="48" xfId="1" applyNumberFormat="1" applyFont="1" applyFill="1" applyBorder="1" applyAlignment="1">
      <alignment horizontal="right"/>
    </xf>
    <xf numFmtId="3" fontId="25" fillId="7" borderId="49" xfId="1" applyNumberFormat="1" applyFont="1" applyFill="1" applyBorder="1" applyAlignment="1">
      <alignment horizontal="right"/>
    </xf>
    <xf numFmtId="3" fontId="25" fillId="7" borderId="50" xfId="1" applyNumberFormat="1" applyFont="1" applyFill="1" applyBorder="1" applyAlignment="1">
      <alignment horizontal="right"/>
    </xf>
    <xf numFmtId="9" fontId="30" fillId="0" borderId="34" xfId="3" applyFont="1" applyFill="1" applyBorder="1" applyAlignment="1">
      <alignment horizontal="center"/>
    </xf>
    <xf numFmtId="0" fontId="15" fillId="2" borderId="0" xfId="1" applyFont="1" applyFill="1" applyAlignment="1">
      <alignment horizontal="center"/>
    </xf>
    <xf numFmtId="164" fontId="15" fillId="0" borderId="0" xfId="2" applyNumberFormat="1" applyFont="1" applyFill="1" applyAlignment="1">
      <alignment horizontal="center"/>
    </xf>
    <xf numFmtId="3" fontId="15" fillId="0" borderId="0" xfId="1" applyNumberFormat="1" applyFont="1" applyAlignment="1">
      <alignment horizontal="center"/>
    </xf>
    <xf numFmtId="0" fontId="10" fillId="2" borderId="0" xfId="1" applyFont="1" applyFill="1" applyAlignment="1">
      <alignment horizontal="center"/>
    </xf>
    <xf numFmtId="0" fontId="10" fillId="2" borderId="0" xfId="1" applyFont="1" applyFill="1"/>
    <xf numFmtId="0" fontId="15" fillId="2" borderId="0" xfId="1" applyFont="1" applyFill="1"/>
    <xf numFmtId="3" fontId="15" fillId="0" borderId="0" xfId="1" applyNumberFormat="1" applyFont="1"/>
    <xf numFmtId="3" fontId="25" fillId="8" borderId="36" xfId="1" applyNumberFormat="1" applyFont="1" applyFill="1" applyBorder="1" applyAlignment="1">
      <alignment horizontal="right"/>
    </xf>
    <xf numFmtId="9" fontId="25" fillId="8" borderId="37" xfId="3" applyFont="1" applyFill="1" applyBorder="1" applyAlignment="1">
      <alignment horizontal="center"/>
    </xf>
    <xf numFmtId="9" fontId="25" fillId="8" borderId="51" xfId="3" applyFont="1" applyFill="1" applyBorder="1" applyAlignment="1">
      <alignment horizontal="center"/>
    </xf>
    <xf numFmtId="9" fontId="25" fillId="8" borderId="35" xfId="3" applyFont="1" applyFill="1" applyBorder="1" applyAlignment="1">
      <alignment horizontal="center"/>
    </xf>
    <xf numFmtId="9" fontId="25" fillId="7" borderId="51" xfId="3" applyFont="1" applyFill="1" applyBorder="1" applyAlignment="1">
      <alignment horizontal="center"/>
    </xf>
    <xf numFmtId="9" fontId="25" fillId="7" borderId="35" xfId="3" applyFont="1" applyFill="1" applyBorder="1" applyAlignment="1">
      <alignment horizontal="center"/>
    </xf>
    <xf numFmtId="9" fontId="25" fillId="8" borderId="37" xfId="3" applyFont="1" applyFill="1" applyBorder="1" applyAlignment="1">
      <alignment horizontal="right"/>
    </xf>
    <xf numFmtId="9" fontId="27" fillId="0" borderId="34" xfId="3" applyFont="1" applyBorder="1" applyAlignment="1">
      <alignment horizontal="center"/>
    </xf>
    <xf numFmtId="3" fontId="5" fillId="0" borderId="0" xfId="1" applyNumberFormat="1"/>
    <xf numFmtId="3" fontId="5" fillId="0" borderId="0" xfId="1" applyNumberFormat="1" applyAlignment="1">
      <alignment horizontal="center"/>
    </xf>
    <xf numFmtId="49" fontId="1" fillId="2" borderId="0" xfId="1" applyNumberFormat="1" applyFont="1" applyFill="1"/>
    <xf numFmtId="3" fontId="1" fillId="2" borderId="0" xfId="1" applyNumberFormat="1" applyFont="1" applyFill="1"/>
    <xf numFmtId="0" fontId="25" fillId="0" borderId="47" xfId="1" applyFont="1" applyBorder="1" applyAlignment="1">
      <alignment horizontal="left"/>
    </xf>
    <xf numFmtId="3" fontId="25" fillId="0" borderId="23" xfId="1" applyNumberFormat="1" applyFont="1" applyBorder="1" applyAlignment="1">
      <alignment horizontal="right"/>
    </xf>
    <xf numFmtId="9" fontId="25" fillId="0" borderId="29" xfId="3" applyFont="1" applyFill="1" applyBorder="1" applyAlignment="1">
      <alignment horizontal="center"/>
    </xf>
    <xf numFmtId="9" fontId="25" fillId="0" borderId="27" xfId="3" applyFont="1" applyFill="1" applyBorder="1" applyAlignment="1">
      <alignment horizontal="center"/>
    </xf>
    <xf numFmtId="9" fontId="25" fillId="0" borderId="47" xfId="3" applyFont="1" applyFill="1" applyBorder="1" applyAlignment="1">
      <alignment horizontal="center"/>
    </xf>
    <xf numFmtId="3" fontId="25" fillId="0" borderId="36" xfId="1" applyNumberFormat="1" applyFont="1" applyBorder="1" applyAlignment="1">
      <alignment horizontal="right"/>
    </xf>
    <xf numFmtId="9" fontId="25" fillId="0" borderId="27" xfId="3" applyFont="1" applyBorder="1" applyAlignment="1">
      <alignment horizontal="center"/>
    </xf>
    <xf numFmtId="9" fontId="25" fillId="0" borderId="47" xfId="3" applyFont="1" applyBorder="1" applyAlignment="1">
      <alignment horizontal="center"/>
    </xf>
    <xf numFmtId="9" fontId="25" fillId="0" borderId="29" xfId="3" applyFont="1" applyFill="1" applyBorder="1" applyAlignment="1">
      <alignment horizontal="right"/>
    </xf>
    <xf numFmtId="0" fontId="4" fillId="0" borderId="0" xfId="1" applyFont="1"/>
    <xf numFmtId="0" fontId="4" fillId="2" borderId="0" xfId="1" applyFont="1" applyFill="1"/>
    <xf numFmtId="0" fontId="31" fillId="0" borderId="17" xfId="1" applyFont="1" applyBorder="1" applyAlignment="1">
      <alignment horizontal="left"/>
    </xf>
    <xf numFmtId="3" fontId="31" fillId="0" borderId="0" xfId="1" applyNumberFormat="1" applyFont="1" applyAlignment="1">
      <alignment horizontal="right"/>
    </xf>
    <xf numFmtId="3" fontId="32" fillId="0" borderId="0" xfId="1" applyNumberFormat="1" applyFont="1" applyAlignment="1">
      <alignment horizontal="right"/>
    </xf>
    <xf numFmtId="0" fontId="10" fillId="0" borderId="0" xfId="1" applyFont="1" applyAlignment="1">
      <alignment horizontal="center"/>
    </xf>
    <xf numFmtId="0" fontId="10" fillId="0" borderId="46" xfId="1" applyFont="1" applyBorder="1"/>
    <xf numFmtId="164" fontId="7" fillId="2" borderId="0" xfId="2" applyNumberFormat="1" applyFont="1" applyFill="1" applyBorder="1" applyAlignment="1"/>
    <xf numFmtId="3" fontId="33" fillId="0" borderId="0" xfId="1" applyNumberFormat="1" applyFont="1" applyAlignment="1">
      <alignment horizontal="right"/>
    </xf>
    <xf numFmtId="3" fontId="34" fillId="0" borderId="0" xfId="1" applyNumberFormat="1" applyFont="1" applyAlignment="1">
      <alignment horizontal="right"/>
    </xf>
    <xf numFmtId="164" fontId="7" fillId="2" borderId="0" xfId="2" applyNumberFormat="1" applyFont="1" applyFill="1"/>
    <xf numFmtId="3" fontId="35" fillId="0" borderId="0" xfId="1" applyNumberFormat="1" applyFont="1" applyAlignment="1">
      <alignment horizontal="right"/>
    </xf>
    <xf numFmtId="164" fontId="7" fillId="0" borderId="0" xfId="2" applyNumberFormat="1" applyFont="1" applyFill="1"/>
    <xf numFmtId="0" fontId="2" fillId="0" borderId="0" xfId="1" applyFont="1"/>
    <xf numFmtId="0" fontId="2" fillId="2" borderId="0" xfId="1" applyFont="1" applyFill="1"/>
    <xf numFmtId="0" fontId="7" fillId="0" borderId="0" xfId="1" applyFont="1"/>
    <xf numFmtId="0" fontId="9" fillId="0" borderId="0" xfId="1" applyFont="1"/>
    <xf numFmtId="164" fontId="0" fillId="0" borderId="0" xfId="2" applyNumberFormat="1" applyFont="1"/>
    <xf numFmtId="0" fontId="7" fillId="2" borderId="0" xfId="1" applyFont="1" applyFill="1" applyAlignment="1">
      <alignment horizontal="center" wrapText="1"/>
    </xf>
    <xf numFmtId="0" fontId="5" fillId="2" borderId="0" xfId="1" applyFill="1"/>
    <xf numFmtId="17" fontId="17" fillId="5" borderId="2" xfId="1" applyNumberFormat="1" applyFont="1" applyFill="1" applyBorder="1" applyAlignment="1">
      <alignment horizontal="center"/>
    </xf>
    <xf numFmtId="0" fontId="5" fillId="0" borderId="4" xfId="1" applyBorder="1"/>
    <xf numFmtId="0" fontId="17" fillId="5" borderId="12" xfId="1" applyFont="1" applyFill="1" applyBorder="1" applyAlignment="1">
      <alignment horizontal="center"/>
    </xf>
    <xf numFmtId="0" fontId="17" fillId="5" borderId="52" xfId="1" applyFont="1" applyFill="1" applyBorder="1" applyAlignment="1">
      <alignment horizontal="center"/>
    </xf>
    <xf numFmtId="0" fontId="17" fillId="5" borderId="27" xfId="1" applyFont="1" applyFill="1" applyBorder="1" applyAlignment="1">
      <alignment horizontal="center"/>
    </xf>
    <xf numFmtId="49" fontId="5" fillId="2" borderId="0" xfId="1" applyNumberFormat="1" applyFill="1"/>
    <xf numFmtId="164" fontId="10" fillId="2" borderId="0" xfId="2" applyNumberFormat="1" applyFont="1" applyFill="1"/>
    <xf numFmtId="164" fontId="9" fillId="0" borderId="0" xfId="2" applyNumberFormat="1" applyFont="1" applyFill="1"/>
    <xf numFmtId="3" fontId="38" fillId="0" borderId="11" xfId="1" applyNumberFormat="1" applyFont="1" applyBorder="1" applyAlignment="1">
      <alignment horizontal="right"/>
    </xf>
    <xf numFmtId="0" fontId="11" fillId="2" borderId="0" xfId="1" applyFont="1" applyFill="1"/>
    <xf numFmtId="0" fontId="14" fillId="0" borderId="0" xfId="1" applyFont="1"/>
    <xf numFmtId="3" fontId="10" fillId="2" borderId="0" xfId="1" applyNumberFormat="1" applyFont="1" applyFill="1"/>
    <xf numFmtId="164" fontId="39" fillId="0" borderId="0" xfId="2" applyNumberFormat="1" applyFont="1" applyFill="1" applyAlignment="1">
      <alignment horizontal="center" wrapText="1"/>
    </xf>
    <xf numFmtId="0" fontId="5" fillId="9" borderId="0" xfId="1" applyFill="1"/>
    <xf numFmtId="164" fontId="39" fillId="0" borderId="0" xfId="2" applyNumberFormat="1" applyFont="1" applyFill="1"/>
    <xf numFmtId="164" fontId="39" fillId="0" borderId="0" xfId="2" applyNumberFormat="1" applyFont="1" applyFill="1" applyBorder="1"/>
    <xf numFmtId="164" fontId="40" fillId="0" borderId="0" xfId="2" applyNumberFormat="1" applyFont="1" applyFill="1" applyAlignment="1">
      <alignment horizontal="center"/>
    </xf>
    <xf numFmtId="164" fontId="39" fillId="0" borderId="0" xfId="2" applyNumberFormat="1" applyFont="1" applyFill="1" applyBorder="1" applyAlignment="1"/>
    <xf numFmtId="164" fontId="41" fillId="0" borderId="0" xfId="2" applyNumberFormat="1" applyFont="1" applyFill="1" applyBorder="1" applyAlignment="1">
      <alignment horizontal="center"/>
    </xf>
    <xf numFmtId="0" fontId="10" fillId="6" borderId="6" xfId="1" applyFont="1" applyFill="1" applyBorder="1" applyAlignment="1">
      <alignment horizontal="center"/>
    </xf>
    <xf numFmtId="0" fontId="10" fillId="6" borderId="7" xfId="1" applyFont="1" applyFill="1" applyBorder="1" applyAlignment="1">
      <alignment horizontal="center"/>
    </xf>
    <xf numFmtId="0" fontId="10" fillId="6" borderId="53" xfId="1" applyFont="1" applyFill="1" applyBorder="1" applyAlignment="1">
      <alignment horizontal="center"/>
    </xf>
    <xf numFmtId="0" fontId="10" fillId="6" borderId="54" xfId="1" applyFont="1" applyFill="1" applyBorder="1" applyAlignment="1">
      <alignment horizontal="center"/>
    </xf>
    <xf numFmtId="0" fontId="10" fillId="6" borderId="55" xfId="1" applyFont="1" applyFill="1" applyBorder="1" applyAlignment="1">
      <alignment horizontal="center"/>
    </xf>
    <xf numFmtId="0" fontId="5" fillId="0" borderId="52" xfId="1" applyBorder="1" applyAlignment="1">
      <alignment horizontal="center"/>
    </xf>
    <xf numFmtId="164" fontId="42" fillId="0" borderId="33" xfId="2" applyNumberFormat="1" applyFont="1" applyFill="1" applyBorder="1" applyAlignment="1">
      <alignment horizontal="center" wrapText="1"/>
    </xf>
    <xf numFmtId="0" fontId="43" fillId="5" borderId="17" xfId="1" applyFont="1" applyFill="1" applyBorder="1" applyAlignment="1">
      <alignment horizontal="left"/>
    </xf>
    <xf numFmtId="0" fontId="21" fillId="5" borderId="33" xfId="1" applyFont="1" applyFill="1" applyBorder="1" applyAlignment="1">
      <alignment horizontal="center"/>
    </xf>
    <xf numFmtId="0" fontId="21" fillId="5" borderId="0" xfId="1" applyFont="1" applyFill="1" applyAlignment="1">
      <alignment horizontal="center"/>
    </xf>
    <xf numFmtId="0" fontId="21" fillId="5" borderId="56" xfId="1" applyFont="1" applyFill="1" applyBorder="1" applyAlignment="1">
      <alignment horizontal="center"/>
    </xf>
    <xf numFmtId="0" fontId="21" fillId="5" borderId="57" xfId="1" applyFont="1" applyFill="1" applyBorder="1" applyAlignment="1">
      <alignment horizontal="center"/>
    </xf>
    <xf numFmtId="164" fontId="44" fillId="0" borderId="33" xfId="2" applyNumberFormat="1" applyFont="1" applyFill="1" applyBorder="1" applyAlignment="1">
      <alignment horizontal="center"/>
    </xf>
    <xf numFmtId="164" fontId="44" fillId="0" borderId="0" xfId="2" applyNumberFormat="1" applyFont="1" applyFill="1" applyBorder="1" applyAlignment="1">
      <alignment horizontal="center"/>
    </xf>
    <xf numFmtId="9" fontId="25" fillId="8" borderId="0" xfId="3" applyFont="1" applyFill="1" applyBorder="1" applyAlignment="1">
      <alignment horizontal="right"/>
    </xf>
    <xf numFmtId="9" fontId="39" fillId="0" borderId="0" xfId="3" applyFont="1" applyFill="1" applyBorder="1" applyAlignment="1"/>
    <xf numFmtId="3" fontId="25" fillId="7" borderId="58" xfId="1" applyNumberFormat="1" applyFont="1" applyFill="1" applyBorder="1" applyAlignment="1">
      <alignment horizontal="right"/>
    </xf>
    <xf numFmtId="3" fontId="27" fillId="0" borderId="59" xfId="1" applyNumberFormat="1" applyFont="1" applyBorder="1" applyAlignment="1">
      <alignment horizontal="right"/>
    </xf>
    <xf numFmtId="0" fontId="5" fillId="4" borderId="60" xfId="1" applyFill="1" applyBorder="1"/>
    <xf numFmtId="164" fontId="0" fillId="0" borderId="0" xfId="2" applyNumberFormat="1" applyFont="1" applyFill="1"/>
    <xf numFmtId="3" fontId="25" fillId="7" borderId="59" xfId="1" applyNumberFormat="1" applyFont="1" applyFill="1" applyBorder="1" applyAlignment="1">
      <alignment horizontal="right"/>
    </xf>
    <xf numFmtId="3" fontId="25" fillId="7" borderId="40" xfId="1" applyNumberFormat="1" applyFont="1" applyFill="1" applyBorder="1" applyAlignment="1">
      <alignment horizontal="right"/>
    </xf>
    <xf numFmtId="167" fontId="25" fillId="7" borderId="47" xfId="1" applyNumberFormat="1" applyFont="1" applyFill="1" applyBorder="1" applyAlignment="1">
      <alignment horizontal="left"/>
    </xf>
    <xf numFmtId="43" fontId="15" fillId="0" borderId="0" xfId="1" applyNumberFormat="1" applyFont="1"/>
    <xf numFmtId="164" fontId="45" fillId="0" borderId="0" xfId="2" applyNumberFormat="1" applyFont="1" applyFill="1" applyBorder="1" applyAlignment="1"/>
    <xf numFmtId="0" fontId="38" fillId="0" borderId="0" xfId="1" applyFont="1" applyAlignment="1">
      <alignment horizontal="left"/>
    </xf>
    <xf numFmtId="9" fontId="25" fillId="8" borderId="51" xfId="3" applyFont="1" applyFill="1" applyBorder="1" applyAlignment="1">
      <alignment horizontal="right"/>
    </xf>
    <xf numFmtId="3" fontId="14" fillId="0" borderId="0" xfId="1" applyNumberFormat="1" applyFont="1"/>
    <xf numFmtId="164" fontId="10" fillId="0" borderId="0" xfId="2" applyNumberFormat="1" applyFont="1" applyFill="1" applyBorder="1" applyAlignment="1"/>
    <xf numFmtId="3" fontId="46" fillId="0" borderId="0" xfId="1" applyNumberFormat="1" applyFont="1" applyAlignment="1">
      <alignment horizontal="right"/>
    </xf>
    <xf numFmtId="164" fontId="10" fillId="0" borderId="0" xfId="2" applyNumberFormat="1" applyFont="1" applyFill="1" applyBorder="1"/>
    <xf numFmtId="164" fontId="10" fillId="0" borderId="0" xfId="2" applyNumberFormat="1" applyFont="1"/>
    <xf numFmtId="0" fontId="13" fillId="0" borderId="0" xfId="1" applyFont="1" applyAlignment="1">
      <alignment horizontal="center"/>
    </xf>
    <xf numFmtId="168" fontId="5" fillId="0" borderId="0" xfId="1" applyNumberFormat="1"/>
    <xf numFmtId="169" fontId="48" fillId="3" borderId="61" xfId="5" applyNumberFormat="1" applyFont="1" applyFill="1" applyBorder="1" applyAlignment="1">
      <alignment horizontal="right" vertical="center" wrapText="1"/>
    </xf>
    <xf numFmtId="43" fontId="5" fillId="0" borderId="0" xfId="1" applyNumberFormat="1"/>
    <xf numFmtId="170" fontId="0" fillId="0" borderId="0" xfId="3" applyNumberFormat="1" applyFont="1"/>
    <xf numFmtId="0" fontId="10" fillId="9" borderId="62" xfId="1" applyFont="1" applyFill="1" applyBorder="1" applyAlignment="1">
      <alignment horizontal="center"/>
    </xf>
    <xf numFmtId="0" fontId="10" fillId="9" borderId="63" xfId="1" applyFont="1" applyFill="1" applyBorder="1" applyAlignment="1">
      <alignment horizontal="center"/>
    </xf>
    <xf numFmtId="0" fontId="10" fillId="9" borderId="64" xfId="1" applyFont="1" applyFill="1" applyBorder="1" applyAlignment="1">
      <alignment horizontal="center"/>
    </xf>
    <xf numFmtId="43" fontId="0" fillId="2" borderId="0" xfId="2" applyFont="1" applyFill="1"/>
    <xf numFmtId="0" fontId="17" fillId="0" borderId="33" xfId="1" applyFont="1" applyBorder="1" applyAlignment="1">
      <alignment horizontal="center" wrapText="1"/>
    </xf>
    <xf numFmtId="0" fontId="5" fillId="5" borderId="22" xfId="1" applyFill="1" applyBorder="1" applyAlignment="1">
      <alignment horizontal="centerContinuous" wrapText="1"/>
    </xf>
    <xf numFmtId="0" fontId="21" fillId="5" borderId="65" xfId="1" applyFont="1" applyFill="1" applyBorder="1" applyAlignment="1">
      <alignment horizontal="center"/>
    </xf>
    <xf numFmtId="0" fontId="21" fillId="5" borderId="66" xfId="1" applyFont="1" applyFill="1" applyBorder="1" applyAlignment="1">
      <alignment horizontal="center"/>
    </xf>
    <xf numFmtId="43" fontId="0" fillId="0" borderId="0" xfId="2" applyFont="1"/>
    <xf numFmtId="0" fontId="17" fillId="5" borderId="19" xfId="1" applyFont="1" applyFill="1" applyBorder="1" applyAlignment="1">
      <alignment horizontal="center"/>
    </xf>
    <xf numFmtId="0" fontId="24" fillId="5" borderId="67" xfId="1" applyFont="1" applyFill="1" applyBorder="1" applyAlignment="1">
      <alignment horizontal="center"/>
    </xf>
    <xf numFmtId="0" fontId="24" fillId="0" borderId="33" xfId="1" applyFont="1" applyBorder="1" applyAlignment="1">
      <alignment horizontal="center"/>
    </xf>
    <xf numFmtId="164" fontId="24" fillId="5" borderId="68" xfId="2" applyNumberFormat="1" applyFont="1" applyFill="1" applyBorder="1" applyAlignment="1">
      <alignment horizontal="center"/>
    </xf>
    <xf numFmtId="164" fontId="24" fillId="0" borderId="0" xfId="2" applyNumberFormat="1" applyFont="1" applyFill="1" applyBorder="1" applyAlignment="1">
      <alignment horizontal="center"/>
    </xf>
    <xf numFmtId="0" fontId="21" fillId="10" borderId="69" xfId="1" applyFont="1" applyFill="1" applyBorder="1" applyAlignment="1">
      <alignment horizontal="center"/>
    </xf>
    <xf numFmtId="0" fontId="21" fillId="10" borderId="27" xfId="1" applyFont="1" applyFill="1" applyBorder="1" applyAlignment="1">
      <alignment horizontal="center"/>
    </xf>
    <xf numFmtId="0" fontId="21" fillId="10" borderId="70" xfId="1" applyFont="1" applyFill="1" applyBorder="1" applyAlignment="1">
      <alignment horizontal="center"/>
    </xf>
    <xf numFmtId="0" fontId="25" fillId="7" borderId="0" xfId="1" applyFont="1" applyFill="1" applyAlignment="1">
      <alignment horizontal="left"/>
    </xf>
    <xf numFmtId="164" fontId="49" fillId="0" borderId="0" xfId="2" applyNumberFormat="1" applyFont="1" applyFill="1" applyBorder="1" applyAlignment="1">
      <alignment horizontal="center"/>
    </xf>
    <xf numFmtId="3" fontId="25" fillId="7" borderId="51" xfId="1" applyNumberFormat="1" applyFont="1" applyFill="1" applyBorder="1" applyAlignment="1">
      <alignment horizontal="right"/>
    </xf>
    <xf numFmtId="3" fontId="25" fillId="7" borderId="71" xfId="1" applyNumberFormat="1" applyFont="1" applyFill="1" applyBorder="1" applyAlignment="1">
      <alignment horizontal="right"/>
    </xf>
    <xf numFmtId="3" fontId="25" fillId="7" borderId="72" xfId="1" applyNumberFormat="1" applyFont="1" applyFill="1" applyBorder="1" applyAlignment="1">
      <alignment horizontal="right"/>
    </xf>
    <xf numFmtId="164" fontId="49" fillId="0" borderId="0" xfId="2" applyNumberFormat="1" applyFont="1" applyFill="1" applyBorder="1" applyAlignment="1">
      <alignment horizontal="right"/>
    </xf>
    <xf numFmtId="3" fontId="27" fillId="0" borderId="73" xfId="1" applyNumberFormat="1" applyFont="1" applyBorder="1" applyAlignment="1">
      <alignment horizontal="right"/>
    </xf>
    <xf numFmtId="3" fontId="27" fillId="0" borderId="66" xfId="1" applyNumberFormat="1" applyFont="1" applyBorder="1" applyAlignment="1">
      <alignment horizontal="right"/>
    </xf>
    <xf numFmtId="9" fontId="25" fillId="0" borderId="33" xfId="3" applyFont="1" applyBorder="1" applyAlignment="1">
      <alignment horizontal="center"/>
    </xf>
    <xf numFmtId="9" fontId="25" fillId="7" borderId="29" xfId="3" applyFont="1" applyFill="1" applyBorder="1" applyAlignment="1">
      <alignment horizontal="center"/>
    </xf>
    <xf numFmtId="171" fontId="49" fillId="0" borderId="0" xfId="2" applyNumberFormat="1" applyFont="1" applyFill="1" applyBorder="1" applyAlignment="1">
      <alignment horizontal="right"/>
    </xf>
    <xf numFmtId="3" fontId="27" fillId="2" borderId="0" xfId="1" applyNumberFormat="1" applyFont="1" applyFill="1" applyAlignment="1">
      <alignment horizontal="right"/>
    </xf>
    <xf numFmtId="3" fontId="27" fillId="2" borderId="73" xfId="1" applyNumberFormat="1" applyFont="1" applyFill="1" applyBorder="1" applyAlignment="1">
      <alignment horizontal="right"/>
    </xf>
    <xf numFmtId="3" fontId="27" fillId="2" borderId="66" xfId="1" applyNumberFormat="1" applyFont="1" applyFill="1" applyBorder="1" applyAlignment="1">
      <alignment horizontal="right"/>
    </xf>
    <xf numFmtId="3" fontId="25" fillId="7" borderId="74" xfId="1" applyNumberFormat="1" applyFont="1" applyFill="1" applyBorder="1" applyAlignment="1">
      <alignment horizontal="right"/>
    </xf>
    <xf numFmtId="3" fontId="25" fillId="7" borderId="0" xfId="1" applyNumberFormat="1" applyFont="1" applyFill="1" applyAlignment="1">
      <alignment horizontal="right"/>
    </xf>
    <xf numFmtId="3" fontId="25" fillId="7" borderId="73" xfId="1" applyNumberFormat="1" applyFont="1" applyFill="1" applyBorder="1" applyAlignment="1">
      <alignment horizontal="right"/>
    </xf>
    <xf numFmtId="3" fontId="25" fillId="7" borderId="66" xfId="1" applyNumberFormat="1" applyFont="1" applyFill="1" applyBorder="1" applyAlignment="1">
      <alignment horizontal="right"/>
    </xf>
    <xf numFmtId="9" fontId="25" fillId="8" borderId="46" xfId="3" applyFont="1" applyFill="1" applyBorder="1" applyAlignment="1">
      <alignment horizontal="right"/>
    </xf>
    <xf numFmtId="3" fontId="27" fillId="0" borderId="75" xfId="1" applyNumberFormat="1" applyFont="1" applyBorder="1" applyAlignment="1">
      <alignment horizontal="right"/>
    </xf>
    <xf numFmtId="9" fontId="25" fillId="8" borderId="27" xfId="3" applyFont="1" applyFill="1" applyBorder="1" applyAlignment="1">
      <alignment horizontal="right"/>
    </xf>
    <xf numFmtId="164" fontId="50" fillId="0" borderId="0" xfId="2" applyNumberFormat="1" applyFont="1" applyFill="1" applyBorder="1" applyAlignment="1">
      <alignment horizontal="right"/>
    </xf>
    <xf numFmtId="172" fontId="25" fillId="0" borderId="0" xfId="6" applyFont="1" applyFill="1" applyBorder="1" applyAlignment="1">
      <alignment horizontal="center"/>
    </xf>
    <xf numFmtId="3" fontId="25" fillId="7" borderId="76" xfId="1" applyNumberFormat="1" applyFont="1" applyFill="1" applyBorder="1" applyAlignment="1">
      <alignment horizontal="right"/>
    </xf>
    <xf numFmtId="3" fontId="25" fillId="7" borderId="77" xfId="1" applyNumberFormat="1" applyFont="1" applyFill="1" applyBorder="1" applyAlignment="1">
      <alignment horizontal="right"/>
    </xf>
    <xf numFmtId="3" fontId="25" fillId="7" borderId="78" xfId="1" applyNumberFormat="1" applyFont="1" applyFill="1" applyBorder="1" applyAlignment="1">
      <alignment horizontal="right"/>
    </xf>
    <xf numFmtId="0" fontId="38" fillId="2" borderId="34" xfId="1" applyFont="1" applyFill="1" applyBorder="1" applyAlignment="1">
      <alignment horizontal="left"/>
    </xf>
    <xf numFmtId="3" fontId="38" fillId="2" borderId="11" xfId="1" applyNumberFormat="1" applyFont="1" applyFill="1" applyBorder="1" applyAlignment="1">
      <alignment horizontal="right"/>
    </xf>
    <xf numFmtId="9" fontId="38" fillId="2" borderId="33" xfId="3" applyFont="1" applyFill="1" applyBorder="1" applyAlignment="1">
      <alignment horizontal="center"/>
    </xf>
    <xf numFmtId="9" fontId="38" fillId="2" borderId="0" xfId="3" applyFont="1" applyFill="1" applyBorder="1" applyAlignment="1">
      <alignment horizontal="center"/>
    </xf>
    <xf numFmtId="9" fontId="38" fillId="2" borderId="34" xfId="3" applyFont="1" applyFill="1" applyBorder="1" applyAlignment="1">
      <alignment horizontal="center"/>
    </xf>
    <xf numFmtId="172" fontId="51" fillId="2" borderId="0" xfId="6" applyFont="1" applyFill="1" applyBorder="1" applyAlignment="1">
      <alignment horizontal="center"/>
    </xf>
    <xf numFmtId="9" fontId="51" fillId="2" borderId="37" xfId="3" applyFont="1" applyFill="1" applyBorder="1" applyAlignment="1">
      <alignment horizontal="center"/>
    </xf>
    <xf numFmtId="171" fontId="52" fillId="2" borderId="0" xfId="2" applyNumberFormat="1" applyFont="1" applyFill="1" applyBorder="1" applyAlignment="1">
      <alignment horizontal="right"/>
    </xf>
    <xf numFmtId="43" fontId="15" fillId="2" borderId="0" xfId="1" applyNumberFormat="1" applyFont="1" applyFill="1"/>
    <xf numFmtId="0" fontId="51" fillId="2" borderId="34" xfId="1" applyFont="1" applyFill="1" applyBorder="1" applyAlignment="1">
      <alignment horizontal="left"/>
    </xf>
    <xf numFmtId="3" fontId="51" fillId="2" borderId="11" xfId="1" applyNumberFormat="1" applyFont="1" applyFill="1" applyBorder="1" applyAlignment="1">
      <alignment horizontal="right"/>
    </xf>
    <xf numFmtId="9" fontId="51" fillId="2" borderId="33" xfId="3" applyFont="1" applyFill="1" applyBorder="1" applyAlignment="1">
      <alignment horizontal="center"/>
    </xf>
    <xf numFmtId="9" fontId="51" fillId="2" borderId="0" xfId="3" applyFont="1" applyFill="1" applyBorder="1" applyAlignment="1">
      <alignment horizontal="center"/>
    </xf>
    <xf numFmtId="9" fontId="51" fillId="2" borderId="34" xfId="3" applyFont="1" applyFill="1" applyBorder="1" applyAlignment="1">
      <alignment horizontal="center"/>
    </xf>
    <xf numFmtId="164" fontId="53" fillId="2" borderId="0" xfId="2" applyNumberFormat="1" applyFont="1" applyFill="1" applyBorder="1" applyAlignment="1">
      <alignment horizontal="right"/>
    </xf>
    <xf numFmtId="164" fontId="52" fillId="2" borderId="0" xfId="2" applyNumberFormat="1" applyFont="1" applyFill="1" applyBorder="1" applyAlignment="1">
      <alignment horizontal="center"/>
    </xf>
    <xf numFmtId="164" fontId="25" fillId="0" borderId="0" xfId="2" applyNumberFormat="1" applyFont="1" applyFill="1" applyBorder="1" applyAlignment="1">
      <alignment horizontal="center"/>
    </xf>
    <xf numFmtId="9" fontId="25" fillId="0" borderId="29" xfId="3" applyFont="1" applyBorder="1" applyAlignment="1">
      <alignment horizontal="center"/>
    </xf>
    <xf numFmtId="0" fontId="18" fillId="0" borderId="17" xfId="1" applyFont="1" applyBorder="1" applyAlignment="1">
      <alignment horizontal="left"/>
    </xf>
    <xf numFmtId="43" fontId="10" fillId="0" borderId="0" xfId="1" applyNumberFormat="1" applyFont="1"/>
    <xf numFmtId="3" fontId="11" fillId="0" borderId="0" xfId="1" applyNumberFormat="1" applyFont="1"/>
    <xf numFmtId="43" fontId="11" fillId="0" borderId="0" xfId="1" applyNumberFormat="1" applyFont="1"/>
    <xf numFmtId="164" fontId="5" fillId="0" borderId="0" xfId="2" applyNumberFormat="1" applyFont="1"/>
    <xf numFmtId="164" fontId="5" fillId="0" borderId="0" xfId="2" applyNumberFormat="1" applyFont="1" applyFill="1"/>
    <xf numFmtId="0" fontId="54" fillId="0" borderId="0" xfId="1" applyFont="1" applyAlignment="1">
      <alignment horizontal="center" wrapText="1"/>
    </xf>
    <xf numFmtId="1" fontId="2" fillId="0" borderId="0" xfId="1" applyNumberFormat="1" applyFont="1" applyAlignment="1">
      <alignment horizontal="right" wrapText="1"/>
    </xf>
    <xf numFmtId="0" fontId="2" fillId="0" borderId="0" xfId="1" applyFont="1" applyAlignment="1">
      <alignment horizontal="center" wrapText="1"/>
    </xf>
    <xf numFmtId="0" fontId="1" fillId="9" borderId="0" xfId="1" applyFont="1" applyFill="1"/>
    <xf numFmtId="0" fontId="1" fillId="4" borderId="0" xfId="1" applyFont="1" applyFill="1"/>
    <xf numFmtId="0" fontId="55" fillId="0" borderId="0" xfId="1" applyFont="1"/>
    <xf numFmtId="1" fontId="4" fillId="0" borderId="0" xfId="1" applyNumberFormat="1" applyFont="1" applyAlignment="1">
      <alignment horizontal="right"/>
    </xf>
    <xf numFmtId="0" fontId="56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1" fontId="18" fillId="0" borderId="0" xfId="1" applyNumberFormat="1" applyFont="1" applyAlignment="1">
      <alignment horizontal="right"/>
    </xf>
    <xf numFmtId="0" fontId="56" fillId="0" borderId="0" xfId="1" applyFont="1" applyAlignment="1">
      <alignment horizontal="center"/>
    </xf>
    <xf numFmtId="17" fontId="21" fillId="5" borderId="2" xfId="1" applyNumberFormat="1" applyFont="1" applyFill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1" fillId="0" borderId="3" xfId="1" applyFont="1" applyBorder="1"/>
    <xf numFmtId="0" fontId="1" fillId="0" borderId="4" xfId="1" applyFont="1" applyBorder="1"/>
    <xf numFmtId="1" fontId="4" fillId="0" borderId="0" xfId="1" applyNumberFormat="1" applyFont="1" applyAlignment="1">
      <alignment horizontal="left"/>
    </xf>
    <xf numFmtId="0" fontId="4" fillId="6" borderId="6" xfId="1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3" fillId="11" borderId="6" xfId="1" applyFont="1" applyFill="1" applyBorder="1" applyAlignment="1">
      <alignment horizontal="center"/>
    </xf>
    <xf numFmtId="0" fontId="3" fillId="11" borderId="7" xfId="1" applyFont="1" applyFill="1" applyBorder="1" applyAlignment="1">
      <alignment horizontal="center"/>
    </xf>
    <xf numFmtId="0" fontId="3" fillId="11" borderId="79" xfId="1" applyFont="1" applyFill="1" applyBorder="1" applyAlignment="1">
      <alignment horizontal="center"/>
    </xf>
    <xf numFmtId="0" fontId="18" fillId="2" borderId="11" xfId="1" applyFont="1" applyFill="1" applyBorder="1" applyAlignment="1">
      <alignment horizontal="center"/>
    </xf>
    <xf numFmtId="0" fontId="18" fillId="2" borderId="0" xfId="1" applyFont="1" applyFill="1" applyAlignment="1">
      <alignment horizontal="center"/>
    </xf>
    <xf numFmtId="0" fontId="57" fillId="0" borderId="0" xfId="1" applyFont="1"/>
    <xf numFmtId="0" fontId="21" fillId="5" borderId="12" xfId="1" applyFont="1" applyFill="1" applyBorder="1" applyAlignment="1">
      <alignment horizontal="center"/>
    </xf>
    <xf numFmtId="0" fontId="1" fillId="0" borderId="52" xfId="1" applyFont="1" applyBorder="1" applyAlignment="1">
      <alignment horizontal="center"/>
    </xf>
    <xf numFmtId="0" fontId="21" fillId="5" borderId="12" xfId="1" applyFont="1" applyFill="1" applyBorder="1" applyAlignment="1">
      <alignment horizontal="center" wrapText="1"/>
    </xf>
    <xf numFmtId="0" fontId="1" fillId="0" borderId="13" xfId="1" applyFont="1" applyBorder="1" applyAlignment="1">
      <alignment horizontal="center" wrapText="1"/>
    </xf>
    <xf numFmtId="0" fontId="21" fillId="5" borderId="14" xfId="1" applyFont="1" applyFill="1" applyBorder="1" applyAlignment="1">
      <alignment horizontal="center" wrapText="1"/>
    </xf>
    <xf numFmtId="0" fontId="21" fillId="5" borderId="15" xfId="1" applyFont="1" applyFill="1" applyBorder="1" applyAlignment="1">
      <alignment horizontal="center" wrapText="1"/>
    </xf>
    <xf numFmtId="0" fontId="21" fillId="5" borderId="80" xfId="1" applyFont="1" applyFill="1" applyBorder="1" applyAlignment="1">
      <alignment horizontal="center" wrapText="1"/>
    </xf>
    <xf numFmtId="164" fontId="58" fillId="2" borderId="0" xfId="2" applyNumberFormat="1" applyFont="1" applyFill="1" applyBorder="1" applyAlignment="1">
      <alignment horizontal="right"/>
    </xf>
    <xf numFmtId="0" fontId="9" fillId="2" borderId="0" xfId="1" applyFont="1" applyFill="1"/>
    <xf numFmtId="0" fontId="43" fillId="5" borderId="46" xfId="1" applyFont="1" applyFill="1" applyBorder="1" applyAlignment="1">
      <alignment horizontal="left"/>
    </xf>
    <xf numFmtId="0" fontId="21" fillId="5" borderId="81" xfId="1" applyFont="1" applyFill="1" applyBorder="1" applyAlignment="1">
      <alignment horizontal="center"/>
    </xf>
    <xf numFmtId="0" fontId="21" fillId="5" borderId="82" xfId="1" applyFont="1" applyFill="1" applyBorder="1" applyAlignment="1">
      <alignment horizontal="center"/>
    </xf>
    <xf numFmtId="0" fontId="20" fillId="5" borderId="23" xfId="1" applyFont="1" applyFill="1" applyBorder="1" applyAlignment="1">
      <alignment horizontal="left"/>
    </xf>
    <xf numFmtId="0" fontId="21" fillId="5" borderId="25" xfId="1" applyFont="1" applyFill="1" applyBorder="1" applyAlignment="1">
      <alignment horizontal="center"/>
    </xf>
    <xf numFmtId="0" fontId="21" fillId="5" borderId="27" xfId="1" applyFont="1" applyFill="1" applyBorder="1" applyAlignment="1">
      <alignment horizontal="center"/>
    </xf>
    <xf numFmtId="0" fontId="21" fillId="5" borderId="35" xfId="1" applyFont="1" applyFill="1" applyBorder="1" applyAlignment="1">
      <alignment horizontal="center"/>
    </xf>
    <xf numFmtId="164" fontId="58" fillId="2" borderId="0" xfId="2" applyNumberFormat="1" applyFont="1" applyFill="1" applyBorder="1" applyAlignment="1">
      <alignment horizontal="center"/>
    </xf>
    <xf numFmtId="0" fontId="21" fillId="5" borderId="27" xfId="1" applyFont="1" applyFill="1" applyBorder="1" applyAlignment="1">
      <alignment horizontal="left"/>
    </xf>
    <xf numFmtId="0" fontId="21" fillId="10" borderId="83" xfId="1" applyFont="1" applyFill="1" applyBorder="1" applyAlignment="1">
      <alignment horizontal="center"/>
    </xf>
    <xf numFmtId="0" fontId="21" fillId="10" borderId="84" xfId="1" applyFont="1" applyFill="1" applyBorder="1" applyAlignment="1">
      <alignment horizontal="center"/>
    </xf>
    <xf numFmtId="0" fontId="21" fillId="5" borderId="47" xfId="1" applyFont="1" applyFill="1" applyBorder="1" applyAlignment="1">
      <alignment horizontal="center"/>
    </xf>
    <xf numFmtId="9" fontId="25" fillId="7" borderId="0" xfId="3" applyFont="1" applyFill="1" applyBorder="1" applyAlignment="1">
      <alignment horizontal="center"/>
    </xf>
    <xf numFmtId="9" fontId="25" fillId="7" borderId="34" xfId="3" applyFont="1" applyFill="1" applyBorder="1" applyAlignment="1">
      <alignment horizontal="center"/>
    </xf>
    <xf numFmtId="164" fontId="31" fillId="0" borderId="0" xfId="2" applyNumberFormat="1" applyFont="1" applyFill="1" applyBorder="1" applyAlignment="1">
      <alignment horizontal="right"/>
    </xf>
    <xf numFmtId="1" fontId="31" fillId="0" borderId="0" xfId="3" applyNumberFormat="1" applyFont="1" applyFill="1" applyBorder="1" applyAlignment="1">
      <alignment horizontal="right"/>
    </xf>
    <xf numFmtId="1" fontId="31" fillId="0" borderId="0" xfId="2" applyNumberFormat="1" applyFont="1" applyFill="1" applyBorder="1" applyAlignment="1">
      <alignment horizontal="right"/>
    </xf>
    <xf numFmtId="0" fontId="25" fillId="7" borderId="37" xfId="1" applyFont="1" applyFill="1" applyBorder="1" applyAlignment="1">
      <alignment horizontal="left"/>
    </xf>
    <xf numFmtId="164" fontId="4" fillId="0" borderId="0" xfId="2" applyNumberFormat="1" applyFont="1" applyFill="1"/>
    <xf numFmtId="0" fontId="27" fillId="0" borderId="33" xfId="1" applyFont="1" applyBorder="1" applyAlignment="1">
      <alignment horizontal="left"/>
    </xf>
    <xf numFmtId="3" fontId="27" fillId="0" borderId="85" xfId="1" applyNumberFormat="1" applyFont="1" applyBorder="1" applyAlignment="1">
      <alignment horizontal="right"/>
    </xf>
    <xf numFmtId="3" fontId="27" fillId="0" borderId="86" xfId="1" applyNumberFormat="1" applyFont="1" applyBorder="1" applyAlignment="1">
      <alignment horizontal="right"/>
    </xf>
    <xf numFmtId="9" fontId="50" fillId="0" borderId="33" xfId="3" applyFont="1" applyBorder="1" applyAlignment="1">
      <alignment horizontal="center"/>
    </xf>
    <xf numFmtId="164" fontId="4" fillId="0" borderId="0" xfId="2" applyNumberFormat="1" applyFont="1" applyFill="1" applyBorder="1" applyAlignment="1">
      <alignment horizontal="right"/>
    </xf>
    <xf numFmtId="3" fontId="25" fillId="7" borderId="85" xfId="1" applyNumberFormat="1" applyFont="1" applyFill="1" applyBorder="1" applyAlignment="1">
      <alignment horizontal="right"/>
    </xf>
    <xf numFmtId="3" fontId="25" fillId="7" borderId="86" xfId="1" applyNumberFormat="1" applyFont="1" applyFill="1" applyBorder="1" applyAlignment="1">
      <alignment horizontal="right"/>
    </xf>
    <xf numFmtId="0" fontId="25" fillId="8" borderId="45" xfId="1" applyFont="1" applyFill="1" applyBorder="1" applyAlignment="1">
      <alignment horizontal="left"/>
    </xf>
    <xf numFmtId="9" fontId="25" fillId="7" borderId="46" xfId="3" applyFont="1" applyFill="1" applyBorder="1" applyAlignment="1">
      <alignment horizontal="center"/>
    </xf>
    <xf numFmtId="3" fontId="31" fillId="0" borderId="87" xfId="1" applyNumberFormat="1" applyFont="1" applyBorder="1" applyAlignment="1">
      <alignment horizontal="right"/>
    </xf>
    <xf numFmtId="9" fontId="25" fillId="0" borderId="0" xfId="3" applyFont="1" applyBorder="1" applyAlignment="1">
      <alignment horizontal="center"/>
    </xf>
    <xf numFmtId="3" fontId="25" fillId="7" borderId="23" xfId="1" applyNumberFormat="1" applyFont="1" applyFill="1" applyBorder="1" applyAlignment="1">
      <alignment horizontal="right"/>
    </xf>
    <xf numFmtId="9" fontId="25" fillId="7" borderId="27" xfId="3" applyFont="1" applyFill="1" applyBorder="1" applyAlignment="1">
      <alignment horizontal="center"/>
    </xf>
    <xf numFmtId="3" fontId="4" fillId="0" borderId="0" xfId="1" applyNumberFormat="1" applyFont="1"/>
    <xf numFmtId="9" fontId="27" fillId="0" borderId="88" xfId="3" applyFont="1" applyBorder="1" applyAlignment="1">
      <alignment horizontal="center"/>
    </xf>
    <xf numFmtId="9" fontId="27" fillId="0" borderId="88" xfId="3" applyFont="1" applyFill="1" applyBorder="1" applyAlignment="1">
      <alignment horizontal="center"/>
    </xf>
    <xf numFmtId="9" fontId="27" fillId="0" borderId="0" xfId="3" applyFont="1" applyBorder="1" applyAlignment="1">
      <alignment horizontal="center"/>
    </xf>
    <xf numFmtId="9" fontId="25" fillId="0" borderId="34" xfId="3" applyFont="1" applyBorder="1" applyAlignment="1">
      <alignment horizontal="center"/>
    </xf>
    <xf numFmtId="3" fontId="25" fillId="0" borderId="89" xfId="1" applyNumberFormat="1" applyFont="1" applyBorder="1" applyAlignment="1">
      <alignment horizontal="right"/>
    </xf>
    <xf numFmtId="0" fontId="25" fillId="7" borderId="22" xfId="1" applyFont="1" applyFill="1" applyBorder="1" applyAlignment="1">
      <alignment horizontal="left"/>
    </xf>
    <xf numFmtId="164" fontId="4" fillId="0" borderId="0" xfId="2" applyNumberFormat="1" applyFont="1" applyFill="1" applyBorder="1"/>
    <xf numFmtId="0" fontId="4" fillId="0" borderId="0" xfId="1" applyFont="1" applyAlignment="1">
      <alignment horizontal="center"/>
    </xf>
    <xf numFmtId="4" fontId="25" fillId="0" borderId="11" xfId="1" applyNumberFormat="1" applyFont="1" applyBorder="1" applyAlignment="1">
      <alignment horizontal="right"/>
    </xf>
    <xf numFmtId="0" fontId="2" fillId="0" borderId="0" xfId="1" applyFont="1" applyAlignment="1">
      <alignment horizontal="center"/>
    </xf>
    <xf numFmtId="3" fontId="25" fillId="0" borderId="90" xfId="1" applyNumberFormat="1" applyFont="1" applyBorder="1" applyAlignment="1">
      <alignment horizontal="right"/>
    </xf>
    <xf numFmtId="9" fontId="25" fillId="0" borderId="91" xfId="3" applyFont="1" applyBorder="1" applyAlignment="1">
      <alignment horizontal="center"/>
    </xf>
    <xf numFmtId="9" fontId="4" fillId="0" borderId="0" xfId="3" applyFont="1" applyFill="1"/>
    <xf numFmtId="3" fontId="4" fillId="2" borderId="0" xfId="1" applyNumberFormat="1" applyFont="1" applyFill="1"/>
    <xf numFmtId="3" fontId="2" fillId="2" borderId="0" xfId="1" applyNumberFormat="1" applyFont="1" applyFill="1"/>
    <xf numFmtId="170" fontId="4" fillId="2" borderId="0" xfId="3" applyNumberFormat="1" applyFont="1" applyFill="1"/>
    <xf numFmtId="0" fontId="51" fillId="0" borderId="47" xfId="1" applyFont="1" applyBorder="1" applyAlignment="1">
      <alignment horizontal="left"/>
    </xf>
    <xf numFmtId="3" fontId="51" fillId="0" borderId="23" xfId="1" applyNumberFormat="1" applyFont="1" applyBorder="1" applyAlignment="1">
      <alignment horizontal="right"/>
    </xf>
    <xf numFmtId="9" fontId="51" fillId="0" borderId="29" xfId="3" applyFont="1" applyFill="1" applyBorder="1" applyAlignment="1">
      <alignment horizontal="center"/>
    </xf>
    <xf numFmtId="9" fontId="51" fillId="0" borderId="27" xfId="3" applyFont="1" applyFill="1" applyBorder="1" applyAlignment="1">
      <alignment horizontal="center"/>
    </xf>
    <xf numFmtId="9" fontId="51" fillId="0" borderId="47" xfId="3" applyFont="1" applyFill="1" applyBorder="1" applyAlignment="1">
      <alignment horizontal="center"/>
    </xf>
    <xf numFmtId="9" fontId="51" fillId="0" borderId="27" xfId="3" applyFont="1" applyBorder="1" applyAlignment="1">
      <alignment horizontal="center"/>
    </xf>
    <xf numFmtId="0" fontId="18" fillId="2" borderId="17" xfId="1" applyFont="1" applyFill="1" applyBorder="1" applyAlignment="1">
      <alignment horizontal="left"/>
    </xf>
    <xf numFmtId="3" fontId="2" fillId="0" borderId="0" xfId="1" applyNumberFormat="1" applyFont="1"/>
    <xf numFmtId="1" fontId="57" fillId="0" borderId="0" xfId="1" applyNumberFormat="1" applyFont="1" applyAlignment="1">
      <alignment horizontal="right"/>
    </xf>
    <xf numFmtId="1" fontId="1" fillId="0" borderId="0" xfId="1" applyNumberFormat="1" applyFont="1" applyAlignment="1">
      <alignment horizontal="right"/>
    </xf>
    <xf numFmtId="0" fontId="14" fillId="0" borderId="0" xfId="1" applyFont="1" applyAlignment="1">
      <alignment horizontal="center" wrapText="1"/>
    </xf>
    <xf numFmtId="0" fontId="59" fillId="0" borderId="0" xfId="1" applyFont="1" applyAlignment="1">
      <alignment horizontal="center" wrapText="1"/>
    </xf>
    <xf numFmtId="164" fontId="60" fillId="2" borderId="0" xfId="2" applyNumberFormat="1" applyFont="1" applyFill="1" applyBorder="1" applyAlignment="1">
      <alignment horizontal="right"/>
    </xf>
    <xf numFmtId="0" fontId="10" fillId="2" borderId="0" xfId="1" applyFont="1" applyFill="1" applyAlignment="1">
      <alignment horizontal="center" wrapText="1"/>
    </xf>
    <xf numFmtId="0" fontId="61" fillId="0" borderId="0" xfId="1" applyFont="1"/>
    <xf numFmtId="0" fontId="5" fillId="0" borderId="46" xfId="1" applyBorder="1"/>
    <xf numFmtId="0" fontId="5" fillId="0" borderId="92" xfId="1" applyBorder="1"/>
    <xf numFmtId="164" fontId="58" fillId="2" borderId="0" xfId="2" applyNumberFormat="1" applyFont="1" applyFill="1" applyBorder="1" applyAlignment="1">
      <alignment horizontal="left"/>
    </xf>
    <xf numFmtId="0" fontId="21" fillId="12" borderId="93" xfId="1" applyFont="1" applyFill="1" applyBorder="1" applyAlignment="1">
      <alignment horizontal="center"/>
    </xf>
    <xf numFmtId="0" fontId="21" fillId="12" borderId="94" xfId="1" applyFont="1" applyFill="1" applyBorder="1" applyAlignment="1">
      <alignment horizontal="center"/>
    </xf>
    <xf numFmtId="0" fontId="21" fillId="12" borderId="82" xfId="1" applyFont="1" applyFill="1" applyBorder="1" applyAlignment="1">
      <alignment horizontal="center"/>
    </xf>
    <xf numFmtId="0" fontId="17" fillId="5" borderId="95" xfId="1" applyFont="1" applyFill="1" applyBorder="1" applyAlignment="1">
      <alignment horizontal="center"/>
    </xf>
    <xf numFmtId="0" fontId="17" fillId="5" borderId="96" xfId="1" applyFont="1" applyFill="1" applyBorder="1" applyAlignment="1">
      <alignment horizontal="center" wrapText="1"/>
    </xf>
    <xf numFmtId="0" fontId="17" fillId="5" borderId="13" xfId="1" applyFont="1" applyFill="1" applyBorder="1" applyAlignment="1">
      <alignment horizontal="center"/>
    </xf>
    <xf numFmtId="0" fontId="17" fillId="5" borderId="97" xfId="1" applyFont="1" applyFill="1" applyBorder="1" applyAlignment="1">
      <alignment horizontal="center" wrapText="1"/>
    </xf>
    <xf numFmtId="0" fontId="17" fillId="5" borderId="13" xfId="1" applyFont="1" applyFill="1" applyBorder="1" applyAlignment="1">
      <alignment horizontal="center" wrapText="1"/>
    </xf>
    <xf numFmtId="0" fontId="21" fillId="5" borderId="98" xfId="1" applyFont="1" applyFill="1" applyBorder="1" applyAlignment="1">
      <alignment horizontal="center"/>
    </xf>
    <xf numFmtId="0" fontId="21" fillId="5" borderId="99" xfId="1" applyFont="1" applyFill="1" applyBorder="1" applyAlignment="1">
      <alignment horizontal="center"/>
    </xf>
    <xf numFmtId="0" fontId="35" fillId="2" borderId="11" xfId="1" applyFont="1" applyFill="1" applyBorder="1" applyAlignment="1">
      <alignment horizontal="center"/>
    </xf>
    <xf numFmtId="0" fontId="35" fillId="2" borderId="0" xfId="1" applyFont="1" applyFill="1" applyAlignment="1">
      <alignment horizontal="center"/>
    </xf>
    <xf numFmtId="0" fontId="24" fillId="5" borderId="100" xfId="1" applyFont="1" applyFill="1" applyBorder="1" applyAlignment="1">
      <alignment horizontal="center"/>
    </xf>
    <xf numFmtId="9" fontId="25" fillId="8" borderId="100" xfId="3" applyFont="1" applyFill="1" applyBorder="1" applyAlignment="1">
      <alignment horizontal="center"/>
    </xf>
    <xf numFmtId="164" fontId="62" fillId="2" borderId="0" xfId="2" applyNumberFormat="1" applyFont="1" applyFill="1" applyBorder="1" applyAlignment="1">
      <alignment horizontal="right"/>
    </xf>
    <xf numFmtId="3" fontId="25" fillId="7" borderId="101" xfId="1" applyNumberFormat="1" applyFont="1" applyFill="1" applyBorder="1" applyAlignment="1">
      <alignment horizontal="right"/>
    </xf>
    <xf numFmtId="3" fontId="25" fillId="7" borderId="102" xfId="1" applyNumberFormat="1" applyFont="1" applyFill="1" applyBorder="1" applyAlignment="1">
      <alignment horizontal="right"/>
    </xf>
    <xf numFmtId="9" fontId="25" fillId="8" borderId="103" xfId="3" applyFont="1" applyFill="1" applyBorder="1" applyAlignment="1">
      <alignment horizontal="center"/>
    </xf>
    <xf numFmtId="9" fontId="49" fillId="8" borderId="22" xfId="3" applyFont="1" applyFill="1" applyBorder="1" applyAlignment="1">
      <alignment horizontal="center"/>
    </xf>
    <xf numFmtId="3" fontId="27" fillId="0" borderId="87" xfId="1" applyNumberFormat="1" applyFont="1" applyBorder="1" applyAlignment="1">
      <alignment horizontal="right"/>
    </xf>
    <xf numFmtId="9" fontId="25" fillId="0" borderId="100" xfId="3" applyFont="1" applyFill="1" applyBorder="1" applyAlignment="1">
      <alignment horizontal="center"/>
    </xf>
    <xf numFmtId="9" fontId="25" fillId="8" borderId="104" xfId="3" applyFont="1" applyFill="1" applyBorder="1" applyAlignment="1">
      <alignment horizontal="center"/>
    </xf>
    <xf numFmtId="9" fontId="27" fillId="0" borderId="100" xfId="3" applyFont="1" applyFill="1" applyBorder="1" applyAlignment="1">
      <alignment horizontal="center"/>
    </xf>
    <xf numFmtId="3" fontId="27" fillId="2" borderId="33" xfId="1" applyNumberFormat="1" applyFont="1" applyFill="1" applyBorder="1" applyAlignment="1">
      <alignment horizontal="right"/>
    </xf>
    <xf numFmtId="3" fontId="27" fillId="2" borderId="86" xfId="1" applyNumberFormat="1" applyFont="1" applyFill="1" applyBorder="1" applyAlignment="1">
      <alignment horizontal="right"/>
    </xf>
    <xf numFmtId="3" fontId="25" fillId="7" borderId="105" xfId="1" applyNumberFormat="1" applyFont="1" applyFill="1" applyBorder="1" applyAlignment="1">
      <alignment horizontal="right"/>
    </xf>
    <xf numFmtId="3" fontId="25" fillId="7" borderId="106" xfId="1" applyNumberFormat="1" applyFont="1" applyFill="1" applyBorder="1" applyAlignment="1">
      <alignment horizontal="right"/>
    </xf>
    <xf numFmtId="3" fontId="15" fillId="0" borderId="0" xfId="1" applyNumberFormat="1" applyFont="1" applyAlignment="1">
      <alignment horizontal="left"/>
    </xf>
    <xf numFmtId="3" fontId="9" fillId="0" borderId="0" xfId="1" applyNumberFormat="1" applyFont="1"/>
    <xf numFmtId="164" fontId="52" fillId="0" borderId="0" xfId="2" applyNumberFormat="1" applyFont="1" applyFill="1" applyBorder="1" applyAlignment="1">
      <alignment horizontal="center"/>
    </xf>
    <xf numFmtId="9" fontId="25" fillId="8" borderId="107" xfId="3" applyFont="1" applyFill="1" applyBorder="1" applyAlignment="1">
      <alignment horizontal="center"/>
    </xf>
    <xf numFmtId="9" fontId="25" fillId="0" borderId="37" xfId="3" applyFont="1" applyFill="1" applyBorder="1" applyAlignment="1">
      <alignment horizontal="center"/>
    </xf>
    <xf numFmtId="9" fontId="25" fillId="0" borderId="51" xfId="3" applyFont="1" applyFill="1" applyBorder="1" applyAlignment="1">
      <alignment horizontal="center"/>
    </xf>
    <xf numFmtId="9" fontId="25" fillId="0" borderId="107" xfId="3" applyFont="1" applyFill="1" applyBorder="1" applyAlignment="1">
      <alignment horizontal="center"/>
    </xf>
    <xf numFmtId="9" fontId="25" fillId="0" borderId="35" xfId="3" applyFont="1" applyFill="1" applyBorder="1" applyAlignment="1">
      <alignment horizontal="center"/>
    </xf>
    <xf numFmtId="0" fontId="25" fillId="0" borderId="108" xfId="1" applyFont="1" applyBorder="1" applyAlignment="1">
      <alignment horizontal="left"/>
    </xf>
    <xf numFmtId="3" fontId="25" fillId="0" borderId="91" xfId="1" applyNumberFormat="1" applyFont="1" applyBorder="1" applyAlignment="1">
      <alignment horizontal="right"/>
    </xf>
    <xf numFmtId="9" fontId="25" fillId="0" borderId="109" xfId="3" applyFont="1" applyFill="1" applyBorder="1" applyAlignment="1">
      <alignment horizontal="center"/>
    </xf>
    <xf numFmtId="9" fontId="25" fillId="0" borderId="91" xfId="3" applyFont="1" applyFill="1" applyBorder="1" applyAlignment="1">
      <alignment horizontal="center"/>
    </xf>
    <xf numFmtId="9" fontId="25" fillId="0" borderId="110" xfId="3" applyFont="1" applyFill="1" applyBorder="1" applyAlignment="1">
      <alignment horizontal="center"/>
    </xf>
    <xf numFmtId="9" fontId="25" fillId="0" borderId="111" xfId="3" applyFont="1" applyBorder="1" applyAlignment="1">
      <alignment horizontal="center"/>
    </xf>
    <xf numFmtId="3" fontId="51" fillId="0" borderId="0" xfId="1" applyNumberFormat="1" applyFont="1" applyAlignment="1">
      <alignment horizontal="right"/>
    </xf>
    <xf numFmtId="164" fontId="63" fillId="0" borderId="0" xfId="2" applyNumberFormat="1" applyFont="1" applyFill="1" applyBorder="1" applyAlignment="1">
      <alignment horizontal="right"/>
    </xf>
    <xf numFmtId="164" fontId="58" fillId="0" borderId="0" xfId="2" applyNumberFormat="1" applyFont="1" applyFill="1" applyBorder="1" applyAlignment="1">
      <alignment horizontal="right"/>
    </xf>
    <xf numFmtId="3" fontId="18" fillId="0" borderId="0" xfId="1" applyNumberFormat="1" applyFont="1" applyAlignment="1">
      <alignment horizontal="right"/>
    </xf>
    <xf numFmtId="0" fontId="64" fillId="0" borderId="0" xfId="1" applyFont="1" applyAlignment="1">
      <alignment horizontal="center"/>
    </xf>
    <xf numFmtId="0" fontId="65" fillId="0" borderId="0" xfId="1" applyFont="1"/>
    <xf numFmtId="0" fontId="17" fillId="5" borderId="12" xfId="1" applyFont="1" applyFill="1" applyBorder="1" applyAlignment="1">
      <alignment horizontal="center"/>
    </xf>
    <xf numFmtId="0" fontId="5" fillId="0" borderId="52" xfId="1" applyBorder="1" applyAlignment="1">
      <alignment horizontal="center"/>
    </xf>
    <xf numFmtId="0" fontId="66" fillId="0" borderId="0" xfId="1" applyFont="1" applyAlignment="1">
      <alignment horizontal="center" wrapText="1"/>
    </xf>
    <xf numFmtId="0" fontId="10" fillId="0" borderId="0" xfId="1" applyFont="1" applyAlignment="1">
      <alignment horizontal="centerContinuous" wrapText="1"/>
    </xf>
    <xf numFmtId="0" fontId="21" fillId="5" borderId="112" xfId="1" applyFont="1" applyFill="1" applyBorder="1" applyAlignment="1">
      <alignment horizontal="center"/>
    </xf>
    <xf numFmtId="0" fontId="58" fillId="0" borderId="0" xfId="1" applyFont="1" applyAlignment="1">
      <alignment horizontal="center"/>
    </xf>
    <xf numFmtId="164" fontId="58" fillId="0" borderId="0" xfId="2" applyNumberFormat="1" applyFont="1" applyFill="1" applyBorder="1" applyAlignment="1">
      <alignment horizontal="center"/>
    </xf>
    <xf numFmtId="164" fontId="67" fillId="0" borderId="0" xfId="2" applyNumberFormat="1" applyFont="1" applyFill="1" applyBorder="1" applyAlignment="1">
      <alignment horizontal="center"/>
    </xf>
    <xf numFmtId="164" fontId="67" fillId="0" borderId="0" xfId="2" applyNumberFormat="1" applyFont="1" applyFill="1" applyBorder="1" applyAlignment="1">
      <alignment horizontal="right"/>
    </xf>
    <xf numFmtId="9" fontId="25" fillId="8" borderId="113" xfId="3" applyFont="1" applyFill="1" applyBorder="1" applyAlignment="1">
      <alignment horizontal="center"/>
    </xf>
    <xf numFmtId="9" fontId="25" fillId="8" borderId="114" xfId="3" applyFont="1" applyFill="1" applyBorder="1" applyAlignment="1">
      <alignment horizontal="center"/>
    </xf>
    <xf numFmtId="9" fontId="25" fillId="8" borderId="115" xfId="3" applyFont="1" applyFill="1" applyBorder="1" applyAlignment="1">
      <alignment horizontal="center"/>
    </xf>
    <xf numFmtId="9" fontId="25" fillId="8" borderId="116" xfId="3" applyFont="1" applyFill="1" applyBorder="1" applyAlignment="1">
      <alignment horizontal="center"/>
    </xf>
    <xf numFmtId="9" fontId="25" fillId="0" borderId="113" xfId="3" applyFont="1" applyFill="1" applyBorder="1" applyAlignment="1">
      <alignment horizontal="center"/>
    </xf>
    <xf numFmtId="9" fontId="25" fillId="0" borderId="114" xfId="3" applyFont="1" applyFill="1" applyBorder="1" applyAlignment="1">
      <alignment horizontal="center"/>
    </xf>
    <xf numFmtId="9" fontId="25" fillId="8" borderId="117" xfId="3" applyFont="1" applyFill="1" applyBorder="1" applyAlignment="1">
      <alignment horizontal="center"/>
    </xf>
    <xf numFmtId="9" fontId="25" fillId="8" borderId="118" xfId="3" applyFont="1" applyFill="1" applyBorder="1" applyAlignment="1">
      <alignment horizontal="center"/>
    </xf>
    <xf numFmtId="9" fontId="27" fillId="0" borderId="113" xfId="3" applyFont="1" applyFill="1" applyBorder="1" applyAlignment="1">
      <alignment horizontal="center"/>
    </xf>
    <xf numFmtId="9" fontId="27" fillId="0" borderId="114" xfId="3" applyFont="1" applyFill="1" applyBorder="1" applyAlignment="1">
      <alignment horizontal="center"/>
    </xf>
    <xf numFmtId="3" fontId="25" fillId="8" borderId="35" xfId="1" applyNumberFormat="1" applyFont="1" applyFill="1" applyBorder="1" applyAlignment="1">
      <alignment horizontal="right"/>
    </xf>
    <xf numFmtId="0" fontId="68" fillId="0" borderId="0" xfId="1" applyFont="1"/>
    <xf numFmtId="164" fontId="69" fillId="0" borderId="0" xfId="2" applyNumberFormat="1" applyFont="1" applyFill="1" applyBorder="1" applyAlignment="1">
      <alignment horizontal="right"/>
    </xf>
    <xf numFmtId="0" fontId="5" fillId="0" borderId="0" xfId="1" applyAlignment="1">
      <alignment horizontal="center"/>
    </xf>
    <xf numFmtId="9" fontId="25" fillId="8" borderId="119" xfId="3" applyFont="1" applyFill="1" applyBorder="1" applyAlignment="1">
      <alignment horizontal="center"/>
    </xf>
    <xf numFmtId="9" fontId="25" fillId="8" borderId="120" xfId="3" applyFont="1" applyFill="1" applyBorder="1" applyAlignment="1">
      <alignment horizontal="center"/>
    </xf>
    <xf numFmtId="9" fontId="25" fillId="0" borderId="117" xfId="3" applyFont="1" applyFill="1" applyBorder="1" applyAlignment="1">
      <alignment horizontal="center"/>
    </xf>
    <xf numFmtId="9" fontId="25" fillId="0" borderId="118" xfId="3" applyFont="1" applyFill="1" applyBorder="1" applyAlignment="1">
      <alignment horizontal="center"/>
    </xf>
    <xf numFmtId="9" fontId="25" fillId="0" borderId="104" xfId="3" applyFont="1" applyFill="1" applyBorder="1" applyAlignment="1">
      <alignment horizontal="center"/>
    </xf>
    <xf numFmtId="0" fontId="70" fillId="3" borderId="0" xfId="1" applyFont="1" applyFill="1" applyAlignment="1">
      <alignment vertical="center"/>
    </xf>
    <xf numFmtId="0" fontId="15" fillId="4" borderId="0" xfId="1" applyFont="1" applyFill="1"/>
    <xf numFmtId="0" fontId="71" fillId="0" borderId="0" xfId="1" applyFont="1" applyAlignment="1">
      <alignment horizontal="center"/>
    </xf>
    <xf numFmtId="0" fontId="72" fillId="0" borderId="0" xfId="1" applyFont="1" applyAlignment="1">
      <alignment horizontal="center"/>
    </xf>
    <xf numFmtId="0" fontId="71" fillId="0" borderId="0" xfId="1" applyFont="1" applyAlignment="1">
      <alignment horizontal="center"/>
    </xf>
    <xf numFmtId="0" fontId="73" fillId="5" borderId="1" xfId="1" applyFont="1" applyFill="1" applyBorder="1" applyAlignment="1">
      <alignment horizontal="left"/>
    </xf>
    <xf numFmtId="17" fontId="66" fillId="5" borderId="2" xfId="1" applyNumberFormat="1" applyFont="1" applyFill="1" applyBorder="1" applyAlignment="1">
      <alignment horizontal="center"/>
    </xf>
    <xf numFmtId="0" fontId="10" fillId="0" borderId="3" xfId="1" applyFont="1" applyBorder="1" applyAlignment="1">
      <alignment horizontal="center"/>
    </xf>
    <xf numFmtId="0" fontId="10" fillId="0" borderId="3" xfId="1" applyFont="1" applyBorder="1"/>
    <xf numFmtId="0" fontId="10" fillId="0" borderId="46" xfId="1" applyFont="1" applyBorder="1"/>
    <xf numFmtId="0" fontId="10" fillId="0" borderId="92" xfId="1" applyFont="1" applyBorder="1"/>
    <xf numFmtId="0" fontId="66" fillId="5" borderId="2" xfId="1" applyFont="1" applyFill="1" applyBorder="1" applyAlignment="1">
      <alignment horizontal="center"/>
    </xf>
    <xf numFmtId="0" fontId="74" fillId="0" borderId="0" xfId="1" applyFont="1"/>
    <xf numFmtId="0" fontId="73" fillId="5" borderId="11" xfId="1" applyFont="1" applyFill="1" applyBorder="1" applyAlignment="1">
      <alignment horizontal="left"/>
    </xf>
    <xf numFmtId="0" fontId="66" fillId="5" borderId="12" xfId="1" applyFont="1" applyFill="1" applyBorder="1" applyAlignment="1">
      <alignment horizontal="center"/>
    </xf>
    <xf numFmtId="0" fontId="10" fillId="0" borderId="52" xfId="1" applyFont="1" applyBorder="1" applyAlignment="1">
      <alignment horizontal="center"/>
    </xf>
    <xf numFmtId="0" fontId="66" fillId="5" borderId="96" xfId="1" applyFont="1" applyFill="1" applyBorder="1" applyAlignment="1">
      <alignment horizontal="center" wrapText="1"/>
    </xf>
    <xf numFmtId="0" fontId="66" fillId="5" borderId="13" xfId="1" applyFont="1" applyFill="1" applyBorder="1" applyAlignment="1">
      <alignment horizontal="center"/>
    </xf>
    <xf numFmtId="0" fontId="66" fillId="5" borderId="97" xfId="1" applyFont="1" applyFill="1" applyBorder="1" applyAlignment="1">
      <alignment horizontal="center" wrapText="1"/>
    </xf>
    <xf numFmtId="0" fontId="66" fillId="5" borderId="13" xfId="1" applyFont="1" applyFill="1" applyBorder="1" applyAlignment="1">
      <alignment horizontal="center" wrapText="1"/>
    </xf>
    <xf numFmtId="0" fontId="75" fillId="5" borderId="46" xfId="1" applyFont="1" applyFill="1" applyBorder="1" applyAlignment="1">
      <alignment horizontal="left"/>
    </xf>
    <xf numFmtId="0" fontId="76" fillId="5" borderId="112" xfId="1" applyFont="1" applyFill="1" applyBorder="1" applyAlignment="1">
      <alignment horizontal="center"/>
    </xf>
    <xf numFmtId="0" fontId="76" fillId="5" borderId="22" xfId="1" applyFont="1" applyFill="1" applyBorder="1" applyAlignment="1">
      <alignment horizontal="center"/>
    </xf>
    <xf numFmtId="0" fontId="77" fillId="5" borderId="23" xfId="1" applyFont="1" applyFill="1" applyBorder="1" applyAlignment="1">
      <alignment horizontal="left"/>
    </xf>
    <xf numFmtId="0" fontId="66" fillId="5" borderId="24" xfId="1" applyFont="1" applyFill="1" applyBorder="1" applyAlignment="1">
      <alignment horizontal="center"/>
    </xf>
    <xf numFmtId="0" fontId="58" fillId="5" borderId="25" xfId="1" applyFont="1" applyFill="1" applyBorder="1" applyAlignment="1">
      <alignment horizontal="center"/>
    </xf>
    <xf numFmtId="0" fontId="66" fillId="5" borderId="27" xfId="1" applyFont="1" applyFill="1" applyBorder="1" applyAlignment="1">
      <alignment horizontal="center"/>
    </xf>
    <xf numFmtId="0" fontId="58" fillId="5" borderId="26" xfId="1" applyFont="1" applyFill="1" applyBorder="1" applyAlignment="1">
      <alignment horizontal="center"/>
    </xf>
    <xf numFmtId="0" fontId="58" fillId="5" borderId="27" xfId="1" applyFont="1" applyFill="1" applyBorder="1" applyAlignment="1">
      <alignment horizontal="center"/>
    </xf>
    <xf numFmtId="0" fontId="58" fillId="5" borderId="100" xfId="1" applyFont="1" applyFill="1" applyBorder="1" applyAlignment="1">
      <alignment horizontal="center"/>
    </xf>
    <xf numFmtId="0" fontId="58" fillId="5" borderId="28" xfId="1" applyFont="1" applyFill="1" applyBorder="1" applyAlignment="1">
      <alignment horizontal="center"/>
    </xf>
    <xf numFmtId="0" fontId="76" fillId="5" borderId="27" xfId="1" applyFont="1" applyFill="1" applyBorder="1" applyAlignment="1">
      <alignment horizontal="left"/>
    </xf>
    <xf numFmtId="0" fontId="76" fillId="5" borderId="28" xfId="1" applyFont="1" applyFill="1" applyBorder="1" applyAlignment="1">
      <alignment horizontal="center"/>
    </xf>
    <xf numFmtId="0" fontId="76" fillId="5" borderId="32" xfId="1" applyFont="1" applyFill="1" applyBorder="1" applyAlignment="1">
      <alignment horizontal="center"/>
    </xf>
    <xf numFmtId="0" fontId="76" fillId="5" borderId="47" xfId="1" applyFont="1" applyFill="1" applyBorder="1" applyAlignment="1">
      <alignment horizontal="center"/>
    </xf>
    <xf numFmtId="0" fontId="51" fillId="7" borderId="33" xfId="1" applyFont="1" applyFill="1" applyBorder="1" applyAlignment="1">
      <alignment horizontal="left"/>
    </xf>
    <xf numFmtId="3" fontId="51" fillId="8" borderId="11" xfId="1" applyNumberFormat="1" applyFont="1" applyFill="1" applyBorder="1" applyAlignment="1">
      <alignment horizontal="right"/>
    </xf>
    <xf numFmtId="9" fontId="51" fillId="8" borderId="33" xfId="3" applyFont="1" applyFill="1" applyBorder="1" applyAlignment="1">
      <alignment horizontal="center"/>
    </xf>
    <xf numFmtId="3" fontId="51" fillId="8" borderId="17" xfId="1" applyNumberFormat="1" applyFont="1" applyFill="1" applyBorder="1" applyAlignment="1">
      <alignment horizontal="right"/>
    </xf>
    <xf numFmtId="9" fontId="51" fillId="8" borderId="115" xfId="3" applyFont="1" applyFill="1" applyBorder="1" applyAlignment="1">
      <alignment horizontal="center"/>
    </xf>
    <xf numFmtId="9" fontId="51" fillId="8" borderId="114" xfId="3" applyFont="1" applyFill="1" applyBorder="1" applyAlignment="1">
      <alignment horizontal="center"/>
    </xf>
    <xf numFmtId="9" fontId="51" fillId="8" borderId="100" xfId="3" applyFont="1" applyFill="1" applyBorder="1" applyAlignment="1">
      <alignment horizontal="center"/>
    </xf>
    <xf numFmtId="9" fontId="51" fillId="8" borderId="0" xfId="3" applyFont="1" applyFill="1" applyBorder="1" applyAlignment="1">
      <alignment horizontal="center"/>
    </xf>
    <xf numFmtId="9" fontId="51" fillId="8" borderId="34" xfId="3" applyFont="1" applyFill="1" applyBorder="1" applyAlignment="1">
      <alignment horizontal="center"/>
    </xf>
    <xf numFmtId="9" fontId="51" fillId="7" borderId="34" xfId="3" applyFont="1" applyFill="1" applyBorder="1" applyAlignment="1">
      <alignment horizontal="center"/>
    </xf>
    <xf numFmtId="0" fontId="76" fillId="7" borderId="35" xfId="1" applyFont="1" applyFill="1" applyBorder="1" applyAlignment="1">
      <alignment horizontal="left"/>
    </xf>
    <xf numFmtId="3" fontId="76" fillId="7" borderId="35" xfId="1" applyNumberFormat="1" applyFont="1" applyFill="1" applyBorder="1" applyAlignment="1">
      <alignment horizontal="right"/>
    </xf>
    <xf numFmtId="3" fontId="76" fillId="7" borderId="37" xfId="1" applyNumberFormat="1" applyFont="1" applyFill="1" applyBorder="1" applyAlignment="1">
      <alignment horizontal="right"/>
    </xf>
    <xf numFmtId="164" fontId="76" fillId="7" borderId="37" xfId="2" applyNumberFormat="1" applyFont="1" applyFill="1" applyBorder="1" applyAlignment="1">
      <alignment horizontal="right"/>
    </xf>
    <xf numFmtId="9" fontId="76" fillId="7" borderId="37" xfId="3" applyFont="1" applyFill="1" applyBorder="1" applyAlignment="1">
      <alignment horizontal="center"/>
    </xf>
    <xf numFmtId="9" fontId="51" fillId="8" borderId="113" xfId="3" applyFont="1" applyFill="1" applyBorder="1" applyAlignment="1">
      <alignment horizontal="center"/>
    </xf>
    <xf numFmtId="0" fontId="46" fillId="0" borderId="34" xfId="1" applyFont="1" applyBorder="1" applyAlignment="1">
      <alignment horizontal="left"/>
    </xf>
    <xf numFmtId="3" fontId="46" fillId="0" borderId="33" xfId="1" applyNumberFormat="1" applyFont="1" applyBorder="1" applyAlignment="1">
      <alignment horizontal="right"/>
    </xf>
    <xf numFmtId="164" fontId="46" fillId="0" borderId="33" xfId="2" applyNumberFormat="1" applyFont="1" applyBorder="1" applyAlignment="1">
      <alignment horizontal="right"/>
    </xf>
    <xf numFmtId="9" fontId="46" fillId="0" borderId="33" xfId="3" applyFont="1" applyBorder="1" applyAlignment="1">
      <alignment horizontal="center"/>
    </xf>
    <xf numFmtId="3" fontId="46" fillId="2" borderId="33" xfId="1" applyNumberFormat="1" applyFont="1" applyFill="1" applyBorder="1" applyAlignment="1">
      <alignment horizontal="right"/>
    </xf>
    <xf numFmtId="0" fontId="76" fillId="7" borderId="34" xfId="1" applyFont="1" applyFill="1" applyBorder="1" applyAlignment="1">
      <alignment horizontal="left"/>
    </xf>
    <xf numFmtId="3" fontId="76" fillId="7" borderId="34" xfId="1" applyNumberFormat="1" applyFont="1" applyFill="1" applyBorder="1" applyAlignment="1">
      <alignment horizontal="right"/>
    </xf>
    <xf numFmtId="3" fontId="76" fillId="7" borderId="33" xfId="1" applyNumberFormat="1" applyFont="1" applyFill="1" applyBorder="1" applyAlignment="1">
      <alignment horizontal="right"/>
    </xf>
    <xf numFmtId="164" fontId="76" fillId="7" borderId="33" xfId="2" applyNumberFormat="1" applyFont="1" applyFill="1" applyBorder="1" applyAlignment="1">
      <alignment horizontal="right"/>
    </xf>
    <xf numFmtId="9" fontId="76" fillId="7" borderId="33" xfId="3" applyFont="1" applyFill="1" applyBorder="1" applyAlignment="1">
      <alignment horizontal="center"/>
    </xf>
    <xf numFmtId="0" fontId="51" fillId="7" borderId="45" xfId="1" applyFont="1" applyFill="1" applyBorder="1" applyAlignment="1">
      <alignment horizontal="left"/>
    </xf>
    <xf numFmtId="9" fontId="51" fillId="8" borderId="22" xfId="3" applyFont="1" applyFill="1" applyBorder="1" applyAlignment="1">
      <alignment horizontal="center"/>
    </xf>
    <xf numFmtId="9" fontId="51" fillId="8" borderId="116" xfId="3" applyFont="1" applyFill="1" applyBorder="1" applyAlignment="1">
      <alignment horizontal="center"/>
    </xf>
    <xf numFmtId="9" fontId="51" fillId="8" borderId="103" xfId="3" applyFont="1" applyFill="1" applyBorder="1" applyAlignment="1">
      <alignment horizontal="center"/>
    </xf>
    <xf numFmtId="9" fontId="51" fillId="8" borderId="46" xfId="3" applyFont="1" applyFill="1" applyBorder="1" applyAlignment="1">
      <alignment horizontal="center"/>
    </xf>
    <xf numFmtId="9" fontId="51" fillId="8" borderId="45" xfId="3" applyFont="1" applyFill="1" applyBorder="1" applyAlignment="1">
      <alignment horizontal="center"/>
    </xf>
    <xf numFmtId="3" fontId="46" fillId="0" borderId="34" xfId="1" applyNumberFormat="1" applyFont="1" applyBorder="1" applyAlignment="1">
      <alignment horizontal="right"/>
    </xf>
    <xf numFmtId="0" fontId="51" fillId="0" borderId="34" xfId="1" applyFont="1" applyBorder="1" applyAlignment="1">
      <alignment horizontal="left"/>
    </xf>
    <xf numFmtId="9" fontId="51" fillId="0" borderId="33" xfId="3" applyFont="1" applyFill="1" applyBorder="1" applyAlignment="1">
      <alignment horizontal="center"/>
    </xf>
    <xf numFmtId="3" fontId="51" fillId="0" borderId="11" xfId="1" applyNumberFormat="1" applyFont="1" applyBorder="1" applyAlignment="1">
      <alignment horizontal="right"/>
    </xf>
    <xf numFmtId="9" fontId="51" fillId="0" borderId="113" xfId="3" applyFont="1" applyFill="1" applyBorder="1" applyAlignment="1">
      <alignment horizontal="center"/>
    </xf>
    <xf numFmtId="9" fontId="51" fillId="0" borderId="114" xfId="3" applyFont="1" applyFill="1" applyBorder="1" applyAlignment="1">
      <alignment horizontal="center"/>
    </xf>
    <xf numFmtId="9" fontId="51" fillId="0" borderId="100" xfId="3" applyFont="1" applyFill="1" applyBorder="1" applyAlignment="1">
      <alignment horizontal="center"/>
    </xf>
    <xf numFmtId="9" fontId="51" fillId="0" borderId="0" xfId="3" applyFont="1" applyFill="1" applyBorder="1" applyAlignment="1">
      <alignment horizontal="center"/>
    </xf>
    <xf numFmtId="9" fontId="51" fillId="0" borderId="34" xfId="3" applyFont="1" applyFill="1" applyBorder="1" applyAlignment="1">
      <alignment horizontal="center"/>
    </xf>
    <xf numFmtId="9" fontId="51" fillId="0" borderId="34" xfId="3" applyFont="1" applyBorder="1" applyAlignment="1">
      <alignment horizontal="center"/>
    </xf>
    <xf numFmtId="0" fontId="51" fillId="7" borderId="47" xfId="1" applyFont="1" applyFill="1" applyBorder="1" applyAlignment="1">
      <alignment horizontal="left"/>
    </xf>
    <xf numFmtId="3" fontId="51" fillId="8" borderId="23" xfId="1" applyNumberFormat="1" applyFont="1" applyFill="1" applyBorder="1" applyAlignment="1">
      <alignment horizontal="right"/>
    </xf>
    <xf numFmtId="9" fontId="51" fillId="8" borderId="29" xfId="3" applyFont="1" applyFill="1" applyBorder="1" applyAlignment="1">
      <alignment horizontal="center"/>
    </xf>
    <xf numFmtId="9" fontId="51" fillId="8" borderId="117" xfId="3" applyFont="1" applyFill="1" applyBorder="1" applyAlignment="1">
      <alignment horizontal="center"/>
    </xf>
    <xf numFmtId="9" fontId="51" fillId="8" borderId="118" xfId="3" applyFont="1" applyFill="1" applyBorder="1" applyAlignment="1">
      <alignment horizontal="center"/>
    </xf>
    <xf numFmtId="9" fontId="51" fillId="8" borderId="104" xfId="3" applyFont="1" applyFill="1" applyBorder="1" applyAlignment="1">
      <alignment horizontal="center"/>
    </xf>
    <xf numFmtId="3" fontId="51" fillId="8" borderId="47" xfId="1" applyNumberFormat="1" applyFont="1" applyFill="1" applyBorder="1" applyAlignment="1">
      <alignment horizontal="right"/>
    </xf>
    <xf numFmtId="9" fontId="51" fillId="8" borderId="27" xfId="3" applyFont="1" applyFill="1" applyBorder="1" applyAlignment="1">
      <alignment horizontal="center"/>
    </xf>
    <xf numFmtId="9" fontId="51" fillId="7" borderId="47" xfId="3" applyFont="1" applyFill="1" applyBorder="1" applyAlignment="1">
      <alignment horizontal="center"/>
    </xf>
    <xf numFmtId="0" fontId="38" fillId="0" borderId="34" xfId="1" applyFont="1" applyBorder="1" applyAlignment="1">
      <alignment horizontal="left"/>
    </xf>
    <xf numFmtId="9" fontId="38" fillId="0" borderId="33" xfId="3" applyFont="1" applyFill="1" applyBorder="1" applyAlignment="1">
      <alignment horizontal="center"/>
    </xf>
    <xf numFmtId="9" fontId="38" fillId="0" borderId="113" xfId="3" applyFont="1" applyFill="1" applyBorder="1" applyAlignment="1">
      <alignment horizontal="center"/>
    </xf>
    <xf numFmtId="9" fontId="38" fillId="0" borderId="114" xfId="3" applyFont="1" applyFill="1" applyBorder="1" applyAlignment="1">
      <alignment horizontal="center"/>
    </xf>
    <xf numFmtId="9" fontId="38" fillId="0" borderId="100" xfId="3" applyFont="1" applyFill="1" applyBorder="1" applyAlignment="1">
      <alignment horizontal="center"/>
    </xf>
    <xf numFmtId="3" fontId="38" fillId="0" borderId="34" xfId="1" applyNumberFormat="1" applyFont="1" applyBorder="1" applyAlignment="1">
      <alignment horizontal="right"/>
    </xf>
    <xf numFmtId="3" fontId="38" fillId="0" borderId="0" xfId="1" applyNumberFormat="1" applyFont="1" applyAlignment="1">
      <alignment horizontal="right"/>
    </xf>
    <xf numFmtId="9" fontId="38" fillId="0" borderId="0" xfId="3" applyFont="1" applyFill="1" applyBorder="1" applyAlignment="1">
      <alignment horizontal="center"/>
    </xf>
    <xf numFmtId="9" fontId="38" fillId="0" borderId="34" xfId="3" applyFont="1" applyFill="1" applyBorder="1" applyAlignment="1">
      <alignment horizontal="center"/>
    </xf>
    <xf numFmtId="9" fontId="38" fillId="0" borderId="34" xfId="3" applyFont="1" applyBorder="1" applyAlignment="1">
      <alignment horizontal="center"/>
    </xf>
    <xf numFmtId="164" fontId="52" fillId="0" borderId="0" xfId="2" applyNumberFormat="1" applyFont="1" applyFill="1" applyBorder="1" applyAlignment="1">
      <alignment horizontal="right"/>
    </xf>
    <xf numFmtId="3" fontId="51" fillId="0" borderId="34" xfId="1" applyNumberFormat="1" applyFont="1" applyBorder="1" applyAlignment="1">
      <alignment horizontal="right"/>
    </xf>
    <xf numFmtId="3" fontId="76" fillId="8" borderId="35" xfId="1" applyNumberFormat="1" applyFont="1" applyFill="1" applyBorder="1" applyAlignment="1">
      <alignment horizontal="right"/>
    </xf>
    <xf numFmtId="0" fontId="11" fillId="0" borderId="0" xfId="1" applyFont="1" applyAlignment="1">
      <alignment horizontal="center"/>
    </xf>
    <xf numFmtId="3" fontId="51" fillId="0" borderId="47" xfId="1" applyNumberFormat="1" applyFont="1" applyBorder="1" applyAlignment="1">
      <alignment horizontal="right"/>
    </xf>
    <xf numFmtId="0" fontId="51" fillId="7" borderId="35" xfId="1" applyFont="1" applyFill="1" applyBorder="1" applyAlignment="1">
      <alignment horizontal="left"/>
    </xf>
    <xf numFmtId="3" fontId="51" fillId="8" borderId="36" xfId="1" applyNumberFormat="1" applyFont="1" applyFill="1" applyBorder="1" applyAlignment="1">
      <alignment horizontal="right"/>
    </xf>
    <xf numFmtId="9" fontId="51" fillId="8" borderId="37" xfId="3" applyFont="1" applyFill="1" applyBorder="1" applyAlignment="1">
      <alignment horizontal="center"/>
    </xf>
    <xf numFmtId="9" fontId="51" fillId="8" borderId="119" xfId="3" applyFont="1" applyFill="1" applyBorder="1" applyAlignment="1">
      <alignment horizontal="center"/>
    </xf>
    <xf numFmtId="9" fontId="51" fillId="8" borderId="120" xfId="3" applyFont="1" applyFill="1" applyBorder="1" applyAlignment="1">
      <alignment horizontal="center"/>
    </xf>
    <xf numFmtId="9" fontId="51" fillId="8" borderId="107" xfId="3" applyFont="1" applyFill="1" applyBorder="1" applyAlignment="1">
      <alignment horizontal="center"/>
    </xf>
    <xf numFmtId="9" fontId="51" fillId="8" borderId="51" xfId="3" applyFont="1" applyFill="1" applyBorder="1" applyAlignment="1">
      <alignment horizontal="center"/>
    </xf>
    <xf numFmtId="9" fontId="51" fillId="8" borderId="35" xfId="3" applyFont="1" applyFill="1" applyBorder="1" applyAlignment="1">
      <alignment horizontal="center"/>
    </xf>
    <xf numFmtId="9" fontId="51" fillId="7" borderId="35" xfId="3" applyFont="1" applyFill="1" applyBorder="1" applyAlignment="1">
      <alignment horizontal="center"/>
    </xf>
    <xf numFmtId="0" fontId="58" fillId="0" borderId="0" xfId="2" applyNumberFormat="1" applyFont="1" applyFill="1" applyBorder="1" applyAlignment="1">
      <alignment horizontal="right"/>
    </xf>
    <xf numFmtId="9" fontId="51" fillId="0" borderId="117" xfId="3" applyFont="1" applyFill="1" applyBorder="1" applyAlignment="1">
      <alignment horizontal="center"/>
    </xf>
    <xf numFmtId="9" fontId="51" fillId="0" borderId="118" xfId="3" applyFont="1" applyFill="1" applyBorder="1" applyAlignment="1">
      <alignment horizontal="center"/>
    </xf>
    <xf numFmtId="9" fontId="51" fillId="0" borderId="104" xfId="3" applyFont="1" applyFill="1" applyBorder="1" applyAlignment="1">
      <alignment horizontal="center"/>
    </xf>
    <xf numFmtId="9" fontId="51" fillId="0" borderId="47" xfId="3" applyFont="1" applyBorder="1" applyAlignment="1">
      <alignment horizontal="center"/>
    </xf>
    <xf numFmtId="0" fontId="51" fillId="0" borderId="17" xfId="1" applyFont="1" applyBorder="1" applyAlignment="1">
      <alignment horizontal="left"/>
    </xf>
    <xf numFmtId="0" fontId="15" fillId="0" borderId="46" xfId="1" applyFont="1" applyBorder="1"/>
    <xf numFmtId="0" fontId="8" fillId="0" borderId="0" xfId="1" applyFont="1"/>
    <xf numFmtId="164" fontId="15" fillId="0" borderId="0" xfId="2" applyNumberFormat="1" applyFont="1"/>
    <xf numFmtId="0" fontId="78" fillId="9" borderId="62" xfId="1" applyFont="1" applyFill="1" applyBorder="1" applyAlignment="1">
      <alignment horizontal="center"/>
    </xf>
    <xf numFmtId="0" fontId="78" fillId="9" borderId="63" xfId="1" applyFont="1" applyFill="1" applyBorder="1" applyAlignment="1">
      <alignment horizontal="center"/>
    </xf>
    <xf numFmtId="0" fontId="78" fillId="9" borderId="64" xfId="1" applyFont="1" applyFill="1" applyBorder="1" applyAlignment="1">
      <alignment horizontal="center"/>
    </xf>
    <xf numFmtId="0" fontId="21" fillId="5" borderId="73" xfId="1" applyFont="1" applyFill="1" applyBorder="1" applyAlignment="1">
      <alignment horizontal="center"/>
    </xf>
    <xf numFmtId="3" fontId="25" fillId="7" borderId="75" xfId="1" applyNumberFormat="1" applyFont="1" applyFill="1" applyBorder="1" applyAlignment="1">
      <alignment horizontal="right"/>
    </xf>
    <xf numFmtId="3" fontId="31" fillId="0" borderId="11" xfId="1" applyNumberFormat="1" applyFont="1" applyBorder="1" applyAlignment="1">
      <alignment horizontal="right"/>
    </xf>
    <xf numFmtId="3" fontId="25" fillId="7" borderId="121" xfId="1" applyNumberFormat="1" applyFont="1" applyFill="1" applyBorder="1" applyAlignment="1">
      <alignment horizontal="right"/>
    </xf>
    <xf numFmtId="0" fontId="79" fillId="0" borderId="0" xfId="1" applyFont="1"/>
    <xf numFmtId="0" fontId="80" fillId="0" borderId="17" xfId="1" applyFont="1" applyBorder="1" applyAlignment="1">
      <alignment horizontal="left"/>
    </xf>
    <xf numFmtId="3" fontId="79" fillId="0" borderId="0" xfId="1" applyNumberFormat="1" applyFont="1"/>
    <xf numFmtId="164" fontId="81" fillId="0" borderId="0" xfId="2" applyNumberFormat="1" applyFont="1" applyFill="1" applyBorder="1" applyAlignment="1">
      <alignment horizontal="right"/>
    </xf>
    <xf numFmtId="164" fontId="82" fillId="0" borderId="0" xfId="2" applyNumberFormat="1" applyFont="1" applyFill="1" applyBorder="1" applyAlignment="1">
      <alignment horizontal="right"/>
    </xf>
    <xf numFmtId="3" fontId="61" fillId="0" borderId="0" xfId="1" applyNumberFormat="1" applyFont="1"/>
    <xf numFmtId="0" fontId="59" fillId="0" borderId="0" xfId="1" applyFont="1"/>
    <xf numFmtId="0" fontId="10" fillId="6" borderId="27" xfId="1" applyFont="1" applyFill="1" applyBorder="1" applyAlignment="1">
      <alignment horizontal="center"/>
    </xf>
    <xf numFmtId="0" fontId="78" fillId="9" borderId="6" xfId="1" applyFont="1" applyFill="1" applyBorder="1" applyAlignment="1">
      <alignment horizontal="center"/>
    </xf>
    <xf numFmtId="0" fontId="78" fillId="9" borderId="7" xfId="1" applyFont="1" applyFill="1" applyBorder="1" applyAlignment="1">
      <alignment horizontal="center"/>
    </xf>
    <xf numFmtId="0" fontId="78" fillId="9" borderId="79" xfId="1" applyFont="1" applyFill="1" applyBorder="1" applyAlignment="1">
      <alignment horizontal="center"/>
    </xf>
    <xf numFmtId="0" fontId="21" fillId="5" borderId="122" xfId="1" applyFont="1" applyFill="1" applyBorder="1" applyAlignment="1">
      <alignment horizontal="center"/>
    </xf>
    <xf numFmtId="0" fontId="21" fillId="5" borderId="2" xfId="1" applyFont="1" applyFill="1" applyBorder="1" applyAlignment="1">
      <alignment horizontal="center"/>
    </xf>
    <xf numFmtId="0" fontId="21" fillId="5" borderId="85" xfId="1" applyFont="1" applyFill="1" applyBorder="1" applyAlignment="1">
      <alignment horizontal="center"/>
    </xf>
    <xf numFmtId="0" fontId="21" fillId="5" borderId="86" xfId="1" applyFont="1" applyFill="1" applyBorder="1" applyAlignment="1">
      <alignment horizontal="center"/>
    </xf>
    <xf numFmtId="0" fontId="21" fillId="5" borderId="123" xfId="1" applyFont="1" applyFill="1" applyBorder="1" applyAlignment="1">
      <alignment horizontal="center"/>
    </xf>
    <xf numFmtId="0" fontId="21" fillId="5" borderId="124" xfId="1" applyFont="1" applyFill="1" applyBorder="1" applyAlignment="1">
      <alignment horizontal="center"/>
    </xf>
    <xf numFmtId="0" fontId="21" fillId="5" borderId="125" xfId="1" applyFont="1" applyFill="1" applyBorder="1" applyAlignment="1">
      <alignment horizontal="center"/>
    </xf>
    <xf numFmtId="0" fontId="21" fillId="10" borderId="126" xfId="1" applyFont="1" applyFill="1" applyBorder="1" applyAlignment="1">
      <alignment horizontal="center"/>
    </xf>
    <xf numFmtId="0" fontId="21" fillId="10" borderId="127" xfId="1" applyFont="1" applyFill="1" applyBorder="1" applyAlignment="1">
      <alignment horizontal="center"/>
    </xf>
    <xf numFmtId="0" fontId="21" fillId="10" borderId="128" xfId="1" applyFont="1" applyFill="1" applyBorder="1" applyAlignment="1">
      <alignment horizontal="center"/>
    </xf>
    <xf numFmtId="0" fontId="21" fillId="5" borderId="68" xfId="1" applyFont="1" applyFill="1" applyBorder="1" applyAlignment="1">
      <alignment horizontal="center"/>
    </xf>
    <xf numFmtId="3" fontId="25" fillId="7" borderId="129" xfId="1" applyNumberFormat="1" applyFont="1" applyFill="1" applyBorder="1" applyAlignment="1">
      <alignment horizontal="right"/>
    </xf>
    <xf numFmtId="3" fontId="27" fillId="0" borderId="130" xfId="1" applyNumberFormat="1" applyFont="1" applyBorder="1" applyAlignment="1">
      <alignment horizontal="right"/>
    </xf>
    <xf numFmtId="3" fontId="25" fillId="8" borderId="27" xfId="1" applyNumberFormat="1" applyFont="1" applyFill="1" applyBorder="1" applyAlignment="1">
      <alignment horizontal="right"/>
    </xf>
    <xf numFmtId="3" fontId="25" fillId="7" borderId="131" xfId="1" applyNumberFormat="1" applyFont="1" applyFill="1" applyBorder="1" applyAlignment="1">
      <alignment horizontal="right"/>
    </xf>
    <xf numFmtId="164" fontId="50" fillId="0" borderId="0" xfId="2" applyNumberFormat="1" applyFont="1" applyFill="1" applyBorder="1" applyAlignment="1">
      <alignment horizontal="center"/>
    </xf>
    <xf numFmtId="3" fontId="25" fillId="8" borderId="51" xfId="1" applyNumberFormat="1" applyFont="1" applyFill="1" applyBorder="1" applyAlignment="1">
      <alignment horizontal="right"/>
    </xf>
    <xf numFmtId="9" fontId="18" fillId="2" borderId="37" xfId="3" applyFont="1" applyFill="1" applyBorder="1" applyAlignment="1">
      <alignment horizontal="center"/>
    </xf>
    <xf numFmtId="0" fontId="17" fillId="5" borderId="80" xfId="1" applyFont="1" applyFill="1" applyBorder="1" applyAlignment="1">
      <alignment horizontal="center" wrapText="1"/>
    </xf>
    <xf numFmtId="164" fontId="63" fillId="2" borderId="0" xfId="2" applyNumberFormat="1" applyFont="1" applyFill="1" applyBorder="1" applyAlignment="1">
      <alignment horizontal="right"/>
    </xf>
    <xf numFmtId="0" fontId="7" fillId="2" borderId="0" xfId="1" applyFont="1" applyFill="1"/>
    <xf numFmtId="0" fontId="24" fillId="5" borderId="132" xfId="1" applyFont="1" applyFill="1" applyBorder="1" applyAlignment="1">
      <alignment horizontal="center"/>
    </xf>
    <xf numFmtId="0" fontId="17" fillId="5" borderId="0" xfId="1" applyFont="1" applyFill="1" applyAlignment="1">
      <alignment horizontal="center"/>
    </xf>
    <xf numFmtId="164" fontId="63" fillId="2" borderId="0" xfId="2" applyNumberFormat="1" applyFont="1" applyFill="1" applyBorder="1" applyAlignment="1">
      <alignment horizontal="center"/>
    </xf>
    <xf numFmtId="9" fontId="25" fillId="7" borderId="0" xfId="3" applyFont="1" applyFill="1" applyBorder="1" applyAlignment="1">
      <alignment horizontal="right"/>
    </xf>
    <xf numFmtId="3" fontId="25" fillId="7" borderId="133" xfId="1" applyNumberFormat="1" applyFont="1" applyFill="1" applyBorder="1" applyAlignment="1">
      <alignment horizontal="right"/>
    </xf>
    <xf numFmtId="9" fontId="25" fillId="7" borderId="45" xfId="3" applyFont="1" applyFill="1" applyBorder="1" applyAlignment="1">
      <alignment horizontal="center"/>
    </xf>
    <xf numFmtId="9" fontId="25" fillId="7" borderId="11" xfId="3" applyFont="1" applyFill="1" applyBorder="1" applyAlignment="1">
      <alignment horizontal="center"/>
    </xf>
    <xf numFmtId="164" fontId="35" fillId="0" borderId="0" xfId="2" applyNumberFormat="1" applyFont="1" applyFill="1" applyBorder="1" applyAlignment="1">
      <alignment horizontal="center"/>
    </xf>
    <xf numFmtId="3" fontId="35" fillId="0" borderId="35" xfId="1" applyNumberFormat="1" applyFont="1" applyBorder="1" applyAlignment="1">
      <alignment horizontal="right"/>
    </xf>
    <xf numFmtId="3" fontId="25" fillId="7" borderId="134" xfId="1" applyNumberFormat="1" applyFont="1" applyFill="1" applyBorder="1" applyAlignment="1">
      <alignment horizontal="right"/>
    </xf>
    <xf numFmtId="164" fontId="0" fillId="0" borderId="0" xfId="2" applyNumberFormat="1" applyFont="1" applyFill="1" applyBorder="1"/>
    <xf numFmtId="9" fontId="83" fillId="0" borderId="33" xfId="3" applyFont="1" applyBorder="1" applyAlignment="1">
      <alignment horizontal="center"/>
    </xf>
    <xf numFmtId="164" fontId="33" fillId="0" borderId="0" xfId="2" applyNumberFormat="1" applyFont="1" applyFill="1" applyBorder="1" applyAlignment="1">
      <alignment horizontal="center"/>
    </xf>
    <xf numFmtId="0" fontId="5" fillId="2" borderId="60" xfId="1" applyFill="1" applyBorder="1"/>
    <xf numFmtId="9" fontId="25" fillId="7" borderId="17" xfId="3" applyFont="1" applyFill="1" applyBorder="1" applyAlignment="1">
      <alignment horizontal="center"/>
    </xf>
    <xf numFmtId="9" fontId="25" fillId="0" borderId="0" xfId="3" applyFont="1" applyFill="1" applyBorder="1" applyAlignment="1">
      <alignment horizontal="right"/>
    </xf>
    <xf numFmtId="9" fontId="25" fillId="0" borderId="11" xfId="3" applyFont="1" applyBorder="1" applyAlignment="1">
      <alignment horizontal="center"/>
    </xf>
    <xf numFmtId="9" fontId="25" fillId="7" borderId="27" xfId="3" applyFont="1" applyFill="1" applyBorder="1" applyAlignment="1">
      <alignment horizontal="right"/>
    </xf>
    <xf numFmtId="9" fontId="25" fillId="7" borderId="23" xfId="3" applyFont="1" applyFill="1" applyBorder="1" applyAlignment="1">
      <alignment horizontal="center"/>
    </xf>
    <xf numFmtId="9" fontId="27" fillId="0" borderId="0" xfId="3" applyFont="1" applyFill="1" applyBorder="1" applyAlignment="1">
      <alignment horizontal="right"/>
    </xf>
    <xf numFmtId="9" fontId="27" fillId="0" borderId="11" xfId="3" applyFont="1" applyBorder="1" applyAlignment="1">
      <alignment horizontal="center"/>
    </xf>
    <xf numFmtId="3" fontId="7" fillId="0" borderId="0" xfId="1" applyNumberFormat="1" applyFont="1"/>
    <xf numFmtId="9" fontId="25" fillId="0" borderId="0" xfId="3" applyFont="1" applyBorder="1" applyAlignment="1">
      <alignment horizontal="right"/>
    </xf>
    <xf numFmtId="9" fontId="25" fillId="7" borderId="51" xfId="3" applyFont="1" applyFill="1" applyBorder="1" applyAlignment="1">
      <alignment horizontal="right"/>
    </xf>
    <xf numFmtId="9" fontId="25" fillId="7" borderId="36" xfId="3" applyFont="1" applyFill="1" applyBorder="1" applyAlignment="1">
      <alignment horizontal="center"/>
    </xf>
    <xf numFmtId="9" fontId="27" fillId="0" borderId="11" xfId="3" applyFont="1" applyFill="1" applyBorder="1" applyAlignment="1">
      <alignment horizontal="center"/>
    </xf>
    <xf numFmtId="9" fontId="25" fillId="0" borderId="27" xfId="3" applyFont="1" applyFill="1" applyBorder="1" applyAlignment="1">
      <alignment horizontal="right"/>
    </xf>
    <xf numFmtId="9" fontId="25" fillId="0" borderId="23" xfId="3" applyFont="1" applyBorder="1" applyAlignment="1">
      <alignment horizontal="center"/>
    </xf>
    <xf numFmtId="3" fontId="35" fillId="0" borderId="46" xfId="1" applyNumberFormat="1" applyFont="1" applyBorder="1" applyAlignment="1">
      <alignment horizontal="right"/>
    </xf>
    <xf numFmtId="0" fontId="5" fillId="0" borderId="46" xfId="1" applyBorder="1"/>
    <xf numFmtId="0" fontId="21" fillId="4" borderId="93" xfId="1" applyFont="1" applyFill="1" applyBorder="1" applyAlignment="1">
      <alignment horizontal="center"/>
    </xf>
    <xf numFmtId="0" fontId="21" fillId="4" borderId="94" xfId="1" applyFont="1" applyFill="1" applyBorder="1" applyAlignment="1">
      <alignment horizontal="center"/>
    </xf>
    <xf numFmtId="0" fontId="21" fillId="4" borderId="82" xfId="1" applyFont="1" applyFill="1" applyBorder="1" applyAlignment="1">
      <alignment horizontal="center"/>
    </xf>
    <xf numFmtId="0" fontId="21" fillId="5" borderId="135" xfId="1" applyFont="1" applyFill="1" applyBorder="1" applyAlignment="1">
      <alignment horizontal="center"/>
    </xf>
    <xf numFmtId="0" fontId="21" fillId="5" borderId="136" xfId="1" applyFont="1" applyFill="1" applyBorder="1" applyAlignment="1">
      <alignment horizontal="center"/>
    </xf>
    <xf numFmtId="0" fontId="21" fillId="5" borderId="137" xfId="1" applyFont="1" applyFill="1" applyBorder="1" applyAlignment="1">
      <alignment horizontal="center"/>
    </xf>
    <xf numFmtId="0" fontId="21" fillId="5" borderId="138" xfId="1" applyFont="1" applyFill="1" applyBorder="1" applyAlignment="1">
      <alignment horizontal="center"/>
    </xf>
    <xf numFmtId="0" fontId="21" fillId="5" borderId="139" xfId="1" applyFont="1" applyFill="1" applyBorder="1" applyAlignment="1">
      <alignment horizontal="center"/>
    </xf>
    <xf numFmtId="0" fontId="21" fillId="5" borderId="140" xfId="1" applyFont="1" applyFill="1" applyBorder="1" applyAlignment="1">
      <alignment horizontal="center"/>
    </xf>
    <xf numFmtId="0" fontId="21" fillId="5" borderId="141" xfId="1" applyFont="1" applyFill="1" applyBorder="1" applyAlignment="1">
      <alignment horizontal="center"/>
    </xf>
    <xf numFmtId="3" fontId="25" fillId="8" borderId="0" xfId="1" applyNumberFormat="1" applyFont="1" applyFill="1" applyAlignment="1">
      <alignment horizontal="right"/>
    </xf>
    <xf numFmtId="3" fontId="25" fillId="7" borderId="142" xfId="1" applyNumberFormat="1" applyFont="1" applyFill="1" applyBorder="1" applyAlignment="1">
      <alignment horizontal="right"/>
    </xf>
    <xf numFmtId="3" fontId="25" fillId="7" borderId="143" xfId="1" applyNumberFormat="1" applyFont="1" applyFill="1" applyBorder="1" applyAlignment="1">
      <alignment horizontal="right"/>
    </xf>
    <xf numFmtId="3" fontId="25" fillId="7" borderId="144" xfId="1" applyNumberFormat="1" applyFont="1" applyFill="1" applyBorder="1" applyAlignment="1">
      <alignment horizontal="right"/>
    </xf>
    <xf numFmtId="3" fontId="27" fillId="0" borderId="145" xfId="1" applyNumberFormat="1" applyFont="1" applyBorder="1" applyAlignment="1">
      <alignment horizontal="right"/>
    </xf>
    <xf numFmtId="3" fontId="27" fillId="0" borderId="146" xfId="1" applyNumberFormat="1" applyFont="1" applyBorder="1" applyAlignment="1">
      <alignment horizontal="right"/>
    </xf>
    <xf numFmtId="3" fontId="27" fillId="0" borderId="147" xfId="1" applyNumberFormat="1" applyFont="1" applyBorder="1" applyAlignment="1">
      <alignment horizontal="right"/>
    </xf>
    <xf numFmtId="3" fontId="25" fillId="7" borderId="148" xfId="1" applyNumberFormat="1" applyFont="1" applyFill="1" applyBorder="1" applyAlignment="1">
      <alignment horizontal="right"/>
    </xf>
    <xf numFmtId="3" fontId="25" fillId="7" borderId="149" xfId="1" applyNumberFormat="1" applyFont="1" applyFill="1" applyBorder="1" applyAlignment="1">
      <alignment horizontal="right"/>
    </xf>
    <xf numFmtId="3" fontId="25" fillId="7" borderId="150" xfId="1" applyNumberFormat="1" applyFont="1" applyFill="1" applyBorder="1" applyAlignment="1">
      <alignment horizontal="right"/>
    </xf>
    <xf numFmtId="3" fontId="25" fillId="7" borderId="151" xfId="1" applyNumberFormat="1" applyFont="1" applyFill="1" applyBorder="1" applyAlignment="1">
      <alignment horizontal="right"/>
    </xf>
    <xf numFmtId="3" fontId="25" fillId="8" borderId="46" xfId="1" applyNumberFormat="1" applyFont="1" applyFill="1" applyBorder="1" applyAlignment="1">
      <alignment horizontal="right"/>
    </xf>
    <xf numFmtId="3" fontId="27" fillId="0" borderId="152" xfId="1" applyNumberFormat="1" applyFont="1" applyBorder="1" applyAlignment="1">
      <alignment horizontal="right"/>
    </xf>
    <xf numFmtId="3" fontId="25" fillId="7" borderId="153" xfId="1" applyNumberFormat="1" applyFont="1" applyFill="1" applyBorder="1" applyAlignment="1">
      <alignment horizontal="right"/>
    </xf>
    <xf numFmtId="3" fontId="25" fillId="7" borderId="154" xfId="1" applyNumberFormat="1" applyFont="1" applyFill="1" applyBorder="1" applyAlignment="1">
      <alignment horizontal="right"/>
    </xf>
    <xf numFmtId="3" fontId="25" fillId="7" borderId="155" xfId="1" applyNumberFormat="1" applyFont="1" applyFill="1" applyBorder="1" applyAlignment="1">
      <alignment horizontal="right"/>
    </xf>
    <xf numFmtId="3" fontId="8" fillId="0" borderId="0" xfId="1" applyNumberFormat="1" applyFont="1"/>
    <xf numFmtId="3" fontId="25" fillId="0" borderId="27" xfId="1" applyNumberFormat="1" applyFont="1" applyBorder="1" applyAlignment="1">
      <alignment horizontal="right"/>
    </xf>
    <xf numFmtId="3" fontId="11" fillId="2" borderId="0" xfId="1" applyNumberFormat="1" applyFont="1" applyFill="1"/>
    <xf numFmtId="3" fontId="76" fillId="0" borderId="46" xfId="1" applyNumberFormat="1" applyFont="1" applyBorder="1" applyAlignment="1">
      <alignment horizontal="right"/>
    </xf>
    <xf numFmtId="0" fontId="11" fillId="2" borderId="46" xfId="1" applyFont="1" applyFill="1" applyBorder="1"/>
    <xf numFmtId="3" fontId="76" fillId="2" borderId="0" xfId="1" applyNumberFormat="1" applyFont="1" applyFill="1" applyAlignment="1">
      <alignment horizontal="right"/>
    </xf>
    <xf numFmtId="3" fontId="18" fillId="2" borderId="0" xfId="1" applyNumberFormat="1" applyFont="1" applyFill="1" applyAlignment="1">
      <alignment horizontal="right"/>
    </xf>
    <xf numFmtId="3" fontId="76" fillId="0" borderId="0" xfId="1" applyNumberFormat="1" applyFont="1" applyAlignment="1">
      <alignment horizontal="right"/>
    </xf>
    <xf numFmtId="3" fontId="84" fillId="0" borderId="0" xfId="1" applyNumberFormat="1" applyFont="1" applyAlignment="1">
      <alignment horizontal="right"/>
    </xf>
    <xf numFmtId="49" fontId="85" fillId="0" borderId="0" xfId="1" applyNumberFormat="1" applyFont="1"/>
    <xf numFmtId="0" fontId="86" fillId="0" borderId="0" xfId="4" applyFont="1" applyAlignment="1">
      <alignment vertical="center"/>
    </xf>
    <xf numFmtId="0" fontId="87" fillId="0" borderId="0" xfId="1" applyFont="1"/>
    <xf numFmtId="49" fontId="88" fillId="0" borderId="0" xfId="1" applyNumberFormat="1" applyFont="1"/>
    <xf numFmtId="0" fontId="89" fillId="0" borderId="0" xfId="1" applyFont="1"/>
    <xf numFmtId="41" fontId="87" fillId="0" borderId="0" xfId="7" applyFont="1"/>
    <xf numFmtId="49" fontId="90" fillId="0" borderId="0" xfId="4" applyNumberFormat="1" applyFont="1"/>
    <xf numFmtId="0" fontId="91" fillId="0" borderId="0" xfId="4" applyFont="1" applyAlignment="1">
      <alignment vertical="center"/>
    </xf>
    <xf numFmtId="0" fontId="88" fillId="0" borderId="0" xfId="1" applyFont="1"/>
    <xf numFmtId="41" fontId="0" fillId="0" borderId="0" xfId="7" applyFont="1"/>
    <xf numFmtId="49" fontId="92" fillId="0" borderId="0" xfId="4" applyNumberFormat="1" applyFont="1"/>
    <xf numFmtId="49" fontId="91" fillId="0" borderId="0" xfId="4" applyNumberFormat="1" applyFont="1"/>
    <xf numFmtId="0" fontId="93" fillId="0" borderId="0" xfId="4" applyFont="1" applyAlignment="1">
      <alignment vertical="center"/>
    </xf>
    <xf numFmtId="49" fontId="94" fillId="0" borderId="0" xfId="4" applyNumberFormat="1" applyFont="1"/>
    <xf numFmtId="164" fontId="87" fillId="0" borderId="0" xfId="2" applyNumberFormat="1" applyFont="1"/>
    <xf numFmtId="164" fontId="87" fillId="0" borderId="0" xfId="1" applyNumberFormat="1" applyFont="1"/>
    <xf numFmtId="49" fontId="88" fillId="3" borderId="0" xfId="1" applyNumberFormat="1" applyFont="1" applyFill="1"/>
    <xf numFmtId="3" fontId="87" fillId="0" borderId="0" xfId="1" applyNumberFormat="1" applyFont="1"/>
    <xf numFmtId="43" fontId="87" fillId="0" borderId="0" xfId="1" applyNumberFormat="1" applyFont="1"/>
    <xf numFmtId="41" fontId="5" fillId="0" borderId="0" xfId="1" applyNumberFormat="1"/>
    <xf numFmtId="49" fontId="95" fillId="0" borderId="0" xfId="1" applyNumberFormat="1" applyFont="1"/>
    <xf numFmtId="49" fontId="96" fillId="0" borderId="0" xfId="4" applyNumberFormat="1" applyFont="1"/>
    <xf numFmtId="0" fontId="95" fillId="0" borderId="0" xfId="1" applyFont="1"/>
    <xf numFmtId="0" fontId="3" fillId="3" borderId="0" xfId="1" applyFont="1" applyFill="1"/>
    <xf numFmtId="0" fontId="87" fillId="3" borderId="0" xfId="1" applyFont="1" applyFill="1"/>
    <xf numFmtId="0" fontId="97" fillId="0" borderId="0" xfId="1" applyFont="1" applyAlignment="1">
      <alignment vertical="center"/>
    </xf>
    <xf numFmtId="0" fontId="97" fillId="0" borderId="0" xfId="1" applyFont="1" applyAlignment="1">
      <alignment horizontal="left" vertical="center"/>
    </xf>
  </cellXfs>
  <cellStyles count="8">
    <cellStyle name="Millares [0] 2" xfId="7" xr:uid="{15123D23-94A4-417F-AEA4-B0D3CC444DA5}"/>
    <cellStyle name="Millares 2" xfId="2" xr:uid="{C8A38A0A-1252-40EE-BAE9-202A9AD94B62}"/>
    <cellStyle name="Moneda 2" xfId="6" xr:uid="{AB4DE72C-BF1B-404A-86E6-C5D1A61C5050}"/>
    <cellStyle name="Normal" xfId="0" builtinId="0"/>
    <cellStyle name="Normal 2" xfId="1" xr:uid="{A68D5899-3C58-4FEF-A8CA-4E2150A69254}"/>
    <cellStyle name="Normal 2 2" xfId="4" xr:uid="{51D8363D-5B6F-4F62-A526-E74BEFD4A220}"/>
    <cellStyle name="Normal 3" xfId="5" xr:uid="{865B3270-52B2-42DD-8338-4B2A8C9B2459}"/>
    <cellStyle name="Porcentaje 2" xfId="3" xr:uid="{3EBBFF8A-9C8E-4824-AADC-961803969611}"/>
  </cellStyles>
  <dxfs count="2"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Vision%20Tecnologica\UnoBiable\UnoBiable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definedNames>
      <definedName name="Consulta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24.714106712963" createdVersion="3" refreshedVersion="6" minRefreshableVersion="3" recordCount="2824" xr:uid="{67A132E3-E302-43DC-9E5D-C4FC215EABF4}">
  <cacheSource type="external" connectionId="2"/>
  <cacheFields count="108">
    <cacheField name="PERIODO" numFmtId="0">
      <sharedItems containsSemiMixedTypes="0" containsString="0" containsNumber="1" containsInteger="1" minValue="201901" maxValue="201908" count="8">
        <n v="201901"/>
        <n v="201902"/>
        <n v="201906"/>
        <n v="201907"/>
        <n v="201908"/>
        <n v="201903"/>
        <n v="201905"/>
        <n v="201904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entro de Operacion" numFmtId="0">
      <sharedItems count="7">
        <s v="450"/>
        <s v="465"/>
        <s v="462"/>
        <s v="464"/>
        <s v="463"/>
        <s v="460"/>
        <s v="461"/>
      </sharedItems>
    </cacheField>
    <cacheField name="Nombre Centro de Operacion" numFmtId="0">
      <sharedItems count="7">
        <s v="ADMINSTRATIVO"/>
        <s v="BARRANQUILLA"/>
        <s v="BOGOTA"/>
        <s v="MEDELLIN"/>
        <s v="BUCARAMANGA"/>
        <s v="CALI"/>
        <s v="EJE CAFETERO"/>
      </sharedItems>
    </cacheField>
    <cacheField name="Tipo Documento" numFmtId="0">
      <sharedItems count="14">
        <s v="NDS"/>
        <s v="RC"/>
        <s v="NI"/>
        <s v="LAN"/>
        <s v="GVJ"/>
        <s v="OP"/>
        <s v="DFC"/>
        <s v="FP"/>
        <s v="NB"/>
        <s v="RK"/>
        <s v="DBA"/>
        <s v="PEL"/>
        <s v="CE"/>
        <s v="CJM"/>
      </sharedItems>
    </cacheField>
    <cacheField name="Nombre Tipo Documento" numFmtId="0">
      <sharedItems count="14">
        <s v="NOTA DEBITO VENTA DE SERVICIO"/>
        <s v="RECIBOS DE CAJA"/>
        <s v="NOTA INTERNA DE CONTABILIDAD"/>
        <s v="LEGALIZACION ANTICIPOS"/>
        <s v="LEGALIZACION GASTOS DE VIAJE"/>
        <s v="ORDEN DE PAGO"/>
        <s v="DIFERENCIA EN CAMBIO"/>
        <s v="FACTURA POR PAGAR"/>
        <s v="NOTAS BANCARIAS"/>
        <s v="RECIBO CAJA MONTOS SUPERIORES"/>
        <s v="DAR DE BAJA ACTIVOS FIJOS"/>
        <s v="PAGOS ELECTRONICOS"/>
        <s v="COMPROBANTES DE EGRESO"/>
        <s v="CAJA MENOR"/>
      </sharedItems>
    </cacheField>
    <cacheField name="DOCTO" numFmtId="0">
      <sharedItems containsSemiMixedTypes="0" containsString="0" containsNumber="1" containsInteger="1" minValue="9" maxValue="63967"/>
    </cacheField>
    <cacheField name="Tercero Docto" numFmtId="0">
      <sharedItems/>
    </cacheField>
    <cacheField name="Razon social Docto" numFmtId="0">
      <sharedItems/>
    </cacheField>
    <cacheField name="FECHA_DOCTO" numFmtId="0">
      <sharedItems/>
    </cacheField>
    <cacheField name="CUENTA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 Cuenta" numFmtId="0">
      <sharedItems containsString="0" containsBlank="1" count="1">
        <m/>
      </sharedItems>
    </cacheField>
    <cacheField name="NOMBRE_AUXILIAR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PLAN_CUENTA" numFmtId="0">
      <sharedItems count="1">
        <s v="NIF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                                  "/>
      </sharedItems>
    </cacheField>
    <cacheField name="CUENTA_N2" numFmtId="0">
      <sharedItems count="1">
        <s v="53"/>
      </sharedItems>
    </cacheField>
    <cacheField name="NOMBRE_CUENTA_N2" numFmtId="0">
      <sharedItems count="1">
        <s v="NO OPERACIONALES                        "/>
      </sharedItems>
    </cacheField>
    <cacheField name="CUENTA_N3" numFmtId="0">
      <sharedItems count="4">
        <s v="5315"/>
        <s v="5395"/>
        <s v="5305"/>
        <s v="5310"/>
      </sharedItems>
    </cacheField>
    <cacheField name="NOMBRE_CUENTA_N3" numFmtId="0">
      <sharedItems count="4">
        <s v="GASTOS EXTRAORDINARIOS                  "/>
        <s v="GASTOS DIVERSOS                         "/>
        <s v="FINANCIEROS                             "/>
        <s v="PERDIDA EN VENTA Y RETIRO DE BIENES     "/>
      </sharedItems>
    </cacheField>
    <cacheField name="CUENTA_N4" numFmtId="0">
      <sharedItems count="14">
        <s v="531515"/>
        <s v="539510"/>
        <s v="539505"/>
        <s v="530525"/>
        <s v="531516"/>
        <s v="531520"/>
        <s v="531595"/>
        <s v="530520"/>
        <s v="539520"/>
        <s v="530535"/>
        <s v="530595"/>
        <s v="531030"/>
        <s v="530505"/>
        <s v="530515"/>
      </sharedItems>
    </cacheField>
    <cacheField name="NOMBRE_CUENTA_N4" numFmtId="0">
      <sharedItems count="13">
        <s v="COSTOS Y GASTOS EJERCICIOS ANTERIORES   "/>
        <s v="AJUSTE AL PESO                          "/>
        <s v="DEMANDAS LABORALES"/>
        <s v="DIFERENCIA EN CAMBIO                    "/>
        <s v="GTO IMPORENTA EJE ANT                   "/>
        <s v="IMPUESTOS ASUMIDOS                      "/>
        <s v="OTROS                                   "/>
        <s v="INTERESES                               "/>
        <s v="MULTAS,SANCIONES Y LITIGIOS             "/>
        <s v="DESCUENTOS COMERCIALES CONDICONADOS     "/>
        <s v="PERDIDA POR SINIESTRO                   "/>
        <s v="GASTOS BANCARIOS                        "/>
        <s v="COMISIONES                              "/>
      </sharedItems>
    </cacheField>
    <cacheField name="CUENTA_N5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5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6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6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7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7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UENTA_N8" numFmtId="0">
      <sharedItems count="20">
        <s v="5315150000"/>
        <s v="5395100000"/>
        <s v="5395050000"/>
        <s v="5305250102"/>
        <s v="5315160000"/>
        <s v="5315200400"/>
        <s v="5315950000"/>
        <s v="5305202200"/>
        <s v="5315200100"/>
        <s v="5315200000"/>
        <s v="5395200000"/>
        <s v="5305350000"/>
        <s v="5305950000"/>
        <s v="5305200300"/>
        <s v="5310300000"/>
        <s v="5305050000"/>
        <s v="5315150200"/>
        <s v="5305150000"/>
        <s v="5305200100"/>
        <s v="5305250500"/>
      </sharedItems>
    </cacheField>
    <cacheField name="NOMBRE_CUENTA_N8" numFmtId="0">
      <sharedItems count="20">
        <s v="COSTOS Y GTOS.EJERCICIO ANTER."/>
        <s v="AJUSTE AL PESO"/>
        <s v="DEMANDAS LABORALES"/>
        <s v="DIFERENC.EN CAMBIO EXPORT.POR REVALUACIO"/>
        <s v="GTOS IMPTO DE RENTA EJERC.ANTER."/>
        <s v="RETENCIONES ASUMIDAS IND Y CIO"/>
        <s v="OTROS GASTOS EXTRAORDINARIOS"/>
        <s v="INTERESES GTOS. SOBREGIRO"/>
        <s v="RETENCIONES ASUMIDAS RENTA"/>
        <s v="IMPUESTOS ASUMIDOS"/>
        <s v="MULTAS,SANCIONES Y LITIGIOS"/>
        <s v="DESCUENTOS CIALES.CONDICIONADO"/>
        <s v="OTROS GASTOS FINANCIEROS"/>
        <s v="INTERESES A PROVEEDORES"/>
        <s v="RETIRO PROPIEDAD PLANTA Y EQUIPO"/>
        <s v="GASTOS BANCARIOS"/>
        <s v="COSTOS Y GTOS DECLAR.EJER ANTE"/>
        <s v="COMISIONES"/>
        <s v="INTERESES FINANCIEROS NACIONAL"/>
        <s v="DIFERENC.EN CAMBIO OTROS- REALIZADA"/>
      </sharedItems>
    </cacheField>
    <cacheField name="CENTRO_OPERACION_MOVTO" numFmtId="0">
      <sharedItems count="10">
        <s v="460"/>
        <s v="450"/>
        <s v="465"/>
        <s v="464"/>
        <s v="462"/>
        <s v="471"/>
        <s v="461"/>
        <s v="463"/>
        <s v="466"/>
        <s v="090"/>
      </sharedItems>
    </cacheField>
    <cacheField name="Nombre Centro_operacion_movto" numFmtId="0">
      <sharedItems count="10">
        <s v="CALI"/>
        <s v="ADMINSTRATIVO"/>
        <s v="BARRANQUILLA"/>
        <s v="MEDELLIN"/>
        <s v="BOGOTA"/>
        <s v="AYUDA INTERNACIONAL"/>
        <s v="EJE CAFETERO"/>
        <s v="BUCARAMANGA"/>
        <s v="CARTAGENA"/>
        <s v="PROYECTO INNOVACION"/>
      </sharedItems>
    </cacheField>
    <cacheField name="REGIONAL" numFmtId="0">
      <sharedItems count="3">
        <s v="MT"/>
        <s v="00"/>
        <s v="01"/>
      </sharedItems>
    </cacheField>
    <cacheField name="nombre Regional" numFmtId="0">
      <sharedItems count="3">
        <s v="TOTAL SUCURSALES"/>
        <s v="ADMINISTRATIVOS"/>
        <s v="CALI"/>
      </sharedItems>
    </cacheField>
    <cacheField name="Unidad de Negocio" numFmtId="0">
      <sharedItems count="2">
        <s v="01"/>
        <s v="00"/>
      </sharedItems>
    </cacheField>
    <cacheField name="nombre Unidad de Negocio" numFmtId="0">
      <sharedItems count="2">
        <s v="VENTAS"/>
        <s v="ADMINISTRATIVA FICIERA"/>
      </sharedItems>
    </cacheField>
    <cacheField name="TERCERO" numFmtId="0">
      <sharedItems/>
    </cacheField>
    <cacheField name="Nombre Tercero" numFmtId="0">
      <sharedItems containsBlank="1"/>
    </cacheField>
    <cacheField name="SUCURSAL_TERCERO" numFmtId="0">
      <sharedItems containsString="0" containsBlank="1" count="1">
        <m/>
      </sharedItems>
    </cacheField>
    <cacheField name="VENDEDOR" numFmtId="0">
      <sharedItems containsBlank="1" count="3">
        <m/>
        <s v="EJZO"/>
        <s v="MACP"/>
      </sharedItems>
    </cacheField>
    <cacheField name="Nombre vendedor Vendedor" numFmtId="0">
      <sharedItems containsBlank="1" count="3">
        <m/>
        <s v="MUSICAR S.A.S"/>
        <s v="CARRASQUILLA PIZARRO MARCO ANTONIO"/>
      </sharedItems>
    </cacheField>
    <cacheField name="GRUPO_CCOSTO" numFmtId="0">
      <sharedItems containsString="0" containsBlank="1" count="1">
        <m/>
      </sharedItems>
    </cacheField>
    <cacheField name="Centro de Costo" numFmtId="0">
      <sharedItems containsString="0" containsBlank="1" count="1">
        <m/>
      </sharedItems>
    </cacheField>
    <cacheField name="Nombre Centro de Costo" numFmtId="0">
      <sharedItems containsString="0" containsBlank="1" count="1">
        <m/>
      </sharedItems>
    </cacheField>
    <cacheField name="NOMBRE_CCOSTO" numFmtId="0">
      <sharedItems containsString="0" containsBlank="1" count="1">
        <m/>
      </sharedItems>
    </cacheField>
    <cacheField name="CCOSTO_N1" numFmtId="0">
      <sharedItems containsString="0" containsBlank="1" count="1">
        <m/>
      </sharedItems>
    </cacheField>
    <cacheField name="NOMBRE_CCOSTO_N1" numFmtId="0">
      <sharedItems containsString="0" containsBlank="1" count="1">
        <m/>
      </sharedItems>
    </cacheField>
    <cacheField name="CCOSTO_N2" numFmtId="0">
      <sharedItems containsString="0" containsBlank="1" count="1">
        <m/>
      </sharedItems>
    </cacheField>
    <cacheField name="NOMBRE_CCOSTO_N2" numFmtId="0">
      <sharedItems containsString="0" containsBlank="1" count="1">
        <m/>
      </sharedItems>
    </cacheField>
    <cacheField name="CCOSTO_N3" numFmtId="0">
      <sharedItems containsString="0" containsBlank="1" count="1">
        <m/>
      </sharedItems>
    </cacheField>
    <cacheField name="NOMBRE_CCOSTO_N3" numFmtId="0">
      <sharedItems containsString="0" containsBlank="1" count="1">
        <m/>
      </sharedItems>
    </cacheField>
    <cacheField name="CCOSTO_N4" numFmtId="0">
      <sharedItems containsString="0" containsBlank="1" count="1">
        <m/>
      </sharedItems>
    </cacheField>
    <cacheField name="NOMBRE_CCOSTO_N4" numFmtId="0">
      <sharedItems containsString="0" containsBlank="1" count="1">
        <m/>
      </sharedItems>
    </cacheField>
    <cacheField name="CCOSTO_N5" numFmtId="0">
      <sharedItems containsString="0" containsBlank="1" count="1">
        <m/>
      </sharedItems>
    </cacheField>
    <cacheField name="NOMBRE_CCOSTO_N5" numFmtId="0">
      <sharedItems containsString="0" containsBlank="1" count="1">
        <m/>
      </sharedItems>
    </cacheField>
    <cacheField name="CCOSTO_N6" numFmtId="0">
      <sharedItems containsString="0" containsBlank="1" count="1">
        <m/>
      </sharedItems>
    </cacheField>
    <cacheField name="NOMBRE_CCOSTO_N6" numFmtId="0">
      <sharedItems containsString="0" containsBlank="1" count="1">
        <m/>
      </sharedItems>
    </cacheField>
    <cacheField name="CCOSTO_N7" numFmtId="0">
      <sharedItems containsString="0" containsBlank="1" count="1">
        <m/>
      </sharedItems>
    </cacheField>
    <cacheField name="NOMBRE_CCOSTO_N7" numFmtId="0">
      <sharedItems containsString="0" containsBlank="1" count="1">
        <m/>
      </sharedItems>
    </cacheField>
    <cacheField name="CCOSTO_N8" numFmtId="0">
      <sharedItems containsString="0" containsBlank="1" count="1">
        <m/>
      </sharedItems>
    </cacheField>
    <cacheField name="NOMBRE_CCOSTO_N8" numFmtId="0">
      <sharedItems containsString="0" containsBlank="1" count="1">
        <m/>
      </sharedItems>
    </cacheField>
    <cacheField name="FLUJO_EFECTIVO" numFmtId="0">
      <sharedItems containsString="0" containsBlank="1" count="1">
        <m/>
      </sharedItems>
    </cacheField>
    <cacheField name="NOMBRE_FLUJO_EFECTIVO" numFmtId="0">
      <sharedItems containsString="0" containsBlank="1" count="1">
        <m/>
      </sharedItems>
    </cacheField>
    <cacheField name="MAYOR_FLUJO_EFECTIVO" numFmtId="0">
      <sharedItems containsString="0" containsBlank="1" count="1">
        <m/>
      </sharedItems>
    </cacheField>
    <cacheField name="CPTOFE_N1" numFmtId="0">
      <sharedItems containsString="0" containsBlank="1" count="1">
        <m/>
      </sharedItems>
    </cacheField>
    <cacheField name="NOMBRE_CPTOFE_N1" numFmtId="0">
      <sharedItems containsString="0" containsBlank="1" count="1">
        <m/>
      </sharedItems>
    </cacheField>
    <cacheField name="CPTOFE_N2" numFmtId="0">
      <sharedItems containsString="0" containsBlank="1" count="1">
        <m/>
      </sharedItems>
    </cacheField>
    <cacheField name="NOMBRE_CPTOFE_N2" numFmtId="0">
      <sharedItems containsString="0" containsBlank="1" count="1">
        <m/>
      </sharedItems>
    </cacheField>
    <cacheField name="CPTOFE_N3" numFmtId="0">
      <sharedItems containsString="0" containsBlank="1" count="1">
        <m/>
      </sharedItems>
    </cacheField>
    <cacheField name="NOMBRE_CPTOFE_N3" numFmtId="0">
      <sharedItems containsString="0" containsBlank="1" count="1">
        <m/>
      </sharedItems>
    </cacheField>
    <cacheField name="CPTOFE_N4" numFmtId="0">
      <sharedItems containsString="0" containsBlank="1" count="1">
        <m/>
      </sharedItems>
    </cacheField>
    <cacheField name="NOMBRE_CPTOFE_N4" numFmtId="0">
      <sharedItems containsString="0" containsBlank="1" count="1">
        <m/>
      </sharedItems>
    </cacheField>
    <cacheField name="CPTOFE_N5" numFmtId="0">
      <sharedItems containsString="0" containsBlank="1" count="1">
        <m/>
      </sharedItems>
    </cacheField>
    <cacheField name="NOMBRE_CPTOFE_N5" numFmtId="0">
      <sharedItems containsString="0" containsBlank="1" count="1">
        <m/>
      </sharedItems>
    </cacheField>
    <cacheField name="CPTOFE_N6" numFmtId="0">
      <sharedItems containsString="0" containsBlank="1" count="1">
        <m/>
      </sharedItems>
    </cacheField>
    <cacheField name="NOMBRE_CPTOFE_N6" numFmtId="0">
      <sharedItems containsString="0" containsBlank="1" count="1">
        <m/>
      </sharedItems>
    </cacheField>
    <cacheField name="CPTOFE_N7" numFmtId="0">
      <sharedItems containsString="0" containsBlank="1" count="1">
        <m/>
      </sharedItems>
    </cacheField>
    <cacheField name="NOMBRE_CPTOFE_N7" numFmtId="0">
      <sharedItems containsString="0" containsBlank="1" count="1">
        <m/>
      </sharedItems>
    </cacheField>
    <cacheField name="CPTOFE_N8" numFmtId="0">
      <sharedItems containsString="0" containsBlank="1" count="1">
        <m/>
      </sharedItems>
    </cacheField>
    <cacheField name="NOMBRE_CPTOFE_N8" numFmtId="0">
      <sharedItems containsString="0" containsBlank="1" count="1">
        <m/>
      </sharedItems>
    </cacheField>
    <cacheField name="DOCUMENTO_BANCOS" numFmtId="0">
      <sharedItems containsString="0" containsBlank="1" count="1">
        <m/>
      </sharedItems>
    </cacheField>
    <cacheField name="NUMERO_DOCTO_BANCOS" numFmtId="0">
      <sharedItems containsSemiMixedTypes="0" containsString="0" containsNumber="1" containsInteger="1" minValue="0" maxValue="0" count="1">
        <n v="0"/>
      </sharedItems>
    </cacheField>
    <cacheField name="DOCTO_ALTERNO_BANCOS" numFmtId="0">
      <sharedItems count="1">
        <s v=" "/>
      </sharedItems>
    </cacheField>
    <cacheField name="Referencia 1" numFmtId="0">
      <sharedItems count="1">
        <s v=" "/>
      </sharedItems>
    </cacheField>
    <cacheField name="Referencia 2" numFmtId="0">
      <sharedItems count="1">
        <s v=" "/>
      </sharedItems>
    </cacheField>
    <cacheField name="Referencia 3" numFmtId="0">
      <sharedItems count="1">
        <s v=" "/>
      </sharedItems>
    </cacheField>
    <cacheField name="NOTAS" numFmtId="0">
      <sharedItems/>
    </cacheField>
    <cacheField name="DEBITOS" numFmtId="0">
      <sharedItems containsSemiMixedTypes="0" containsString="0" containsNumber="1" minValue="0" maxValue="11209723.92"/>
    </cacheField>
    <cacheField name="CREDITOS" numFmtId="0">
      <sharedItems containsSemiMixedTypes="0" containsString="0" containsNumber="1" minValue="0" maxValue="5574045"/>
    </cacheField>
    <cacheField name="MOVIMIENTO" numFmtId="0">
      <sharedItems containsSemiMixedTypes="0" containsString="0" containsNumber="1" minValue="-5574045" maxValue="11209723.92"/>
    </cacheField>
    <cacheField name="DEBITOS_ALT" numFmtId="0">
      <sharedItems containsSemiMixedTypes="0" containsString="0" containsNumber="1" containsInteger="1" minValue="0" maxValue="0" count="1">
        <n v="0"/>
      </sharedItems>
    </cacheField>
    <cacheField name="CREDITOS_ALT" numFmtId="0">
      <sharedItems containsSemiMixedTypes="0" containsString="0" containsNumber="1" containsInteger="1" minValue="0" maxValue="0" count="1">
        <n v="0"/>
      </sharedItems>
    </cacheField>
    <cacheField name="MOVIMIENTO_ALT" numFmtId="0">
      <sharedItems containsSemiMixedTypes="0" containsString="0" containsNumber="1" containsInteger="1" minValue="0" maxValue="0" count="1">
        <n v="0"/>
      </sharedItems>
    </cacheField>
    <cacheField name="Deb Libro 2" numFmtId="0">
      <sharedItems containsSemiMixedTypes="0" containsString="0" containsNumber="1" minValue="0" maxValue="11209723.92"/>
    </cacheField>
    <cacheField name="Cred Libro 2" numFmtId="0">
      <sharedItems containsSemiMixedTypes="0" containsString="0" containsNumber="1" minValue="0" maxValue="5574045"/>
    </cacheField>
    <cacheField name="MOVTO_LIBRO2" numFmtId="0">
      <sharedItems containsSemiMixedTypes="0" containsString="0" containsNumber="1" minValue="-5574045" maxValue="11209723.92"/>
    </cacheField>
    <cacheField name="Deb alt Libro 2" numFmtId="0">
      <sharedItems containsSemiMixedTypes="0" containsString="0" containsNumber="1" containsInteger="1" minValue="0" maxValue="0" count="1">
        <n v="0"/>
      </sharedItems>
    </cacheField>
    <cacheField name="Cred alt libro 2" numFmtId="0">
      <sharedItems containsSemiMixedTypes="0" containsString="0" containsNumber="1" containsInteger="1" minValue="0" maxValue="0" count="1">
        <n v="0"/>
      </sharedItems>
    </cacheField>
    <cacheField name="MOVTO_ALT_LIBRO2" numFmtId="0">
      <sharedItems containsSemiMixedTypes="0" containsString="0" containsNumber="1" containsInteger="1" minValue="0" maxValue="0" count="1">
        <n v="0"/>
      </sharedItems>
    </cacheField>
    <cacheField name="Deb Libro 3" numFmtId="0">
      <sharedItems containsSemiMixedTypes="0" containsString="0" containsNumber="1" minValue="0" maxValue="11209723.92"/>
    </cacheField>
    <cacheField name="Cred Libro 3" numFmtId="0">
      <sharedItems containsSemiMixedTypes="0" containsString="0" containsNumber="1" minValue="0" maxValue="5574045"/>
    </cacheField>
    <cacheField name="MOVTO_LIBRO3" numFmtId="0">
      <sharedItems containsSemiMixedTypes="0" containsString="0" containsNumber="1" minValue="-5574045" maxValue="11209723.92"/>
    </cacheField>
    <cacheField name="Deb alt Libro 3" numFmtId="0">
      <sharedItems containsSemiMixedTypes="0" containsString="0" containsNumber="1" containsInteger="1" minValue="0" maxValue="0" count="1">
        <n v="0"/>
      </sharedItems>
    </cacheField>
    <cacheField name="Cred alt Libro 3" numFmtId="0">
      <sharedItems containsSemiMixedTypes="0" containsString="0" containsNumber="1" containsInteger="1" minValue="0" maxValue="0" count="1">
        <n v="0"/>
      </sharedItems>
    </cacheField>
    <cacheField name="MOVTO_ALT_LIBRO3" numFmtId="0">
      <sharedItems containsSemiMixedTypes="0" containsString="0" containsNumber="1" containsInteger="1" minValue="0" maxValue="0" count="1">
        <n v="0"/>
      </sharedItems>
    </cacheField>
    <cacheField name="VALOR_BASE" numFmtId="0">
      <sharedItems containsSemiMixedTypes="0" containsString="0" containsNumber="1" containsInteger="1" minValue="0" maxValue="0" count="1">
        <n v="0"/>
      </sharedItems>
    </cacheField>
    <cacheField name="VALOR_IMP_ASUM" numFmtId="0">
      <sharedItems containsSemiMixedTypes="0" containsString="0" containsNumber="1" containsInteger="1" minValue="0" maxValue="0" count="1"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ert G." refreshedDate="42537.493262847223" createdVersion="3" refreshedVersion="6" minRefreshableVersion="3" recordCount="12" xr:uid="{902C0E8F-0855-485A-AE3C-2976558EE7AB}">
  <cacheSource type="external" connectionId="1"/>
  <cacheFields count="31">
    <cacheField name="PERIODO" numFmtId="0">
      <sharedItems containsSemiMixedTypes="0" containsString="0" containsNumber="1" containsInteger="1" minValue="201605" maxValue="201605" count="1">
        <n v="201605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EL SALVADOR, S.A. DE C V"/>
      </sharedItems>
    </cacheField>
    <cacheField name="PLAN_PRESUPUESTO" numFmtId="0">
      <sharedItems count="2">
        <s v="006"/>
        <s v="001"/>
      </sharedItems>
    </cacheField>
    <cacheField name="AUXILIAR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AUXILIAR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" numFmtId="0">
      <sharedItems count="6">
        <s v="523595"/>
        <s v="516010"/>
        <s v="520518"/>
        <s v="524515"/>
        <s v="520536"/>
        <s v="529910"/>
      </sharedItems>
    </cacheField>
    <cacheField name="Nombre Cuenta" numFmtId="0">
      <sharedItems containsString="0" containsBlank="1" count="1">
        <m/>
      </sharedItems>
    </cacheField>
    <cacheField name="PLAN_CUENTA" numFmtId="0">
      <sharedItems count="1">
        <s v="PUC"/>
      </sharedItems>
    </cacheField>
    <cacheField name="CUENTA_N1" numFmtId="0">
      <sharedItems count="1">
        <s v="5"/>
      </sharedItems>
    </cacheField>
    <cacheField name="NOMBRE_CUENTA_N1" numFmtId="0">
      <sharedItems count="1">
        <s v="GASTOS"/>
      </sharedItems>
    </cacheField>
    <cacheField name="CUENTA_N2" numFmtId="0">
      <sharedItems count="2">
        <s v="52"/>
        <s v="51"/>
      </sharedItems>
    </cacheField>
    <cacheField name="NOMBRE_CUENTA_N2" numFmtId="0">
      <sharedItems count="2">
        <s v="OPERACIONALES DE VENTAS"/>
        <s v="OPERACIONALES DE ADMINISTRACION"/>
      </sharedItems>
    </cacheField>
    <cacheField name="CUENTA_N3" numFmtId="0">
      <sharedItems count="5">
        <s v="5235"/>
        <s v="5160"/>
        <s v="5205"/>
        <s v="5245"/>
        <s v="5299"/>
      </sharedItems>
    </cacheField>
    <cacheField name="NOMBRE_CUENTA_N3" numFmtId="0">
      <sharedItems count="5">
        <s v="SERVICIOS"/>
        <s v="DEPRECIACIONES"/>
        <s v="GASTOS DE PERSONAL"/>
        <s v="MANTENIMIENTO Y REPARACIONES"/>
        <s v="PROVISIONES"/>
      </sharedItems>
    </cacheField>
    <cacheField name="CUENTA_N4" numFmtId="0">
      <sharedItems count="6">
        <s v="523595"/>
        <s v="516010"/>
        <s v="520518"/>
        <s v="524515"/>
        <s v="520536"/>
        <s v="529910"/>
      </sharedItems>
    </cacheField>
    <cacheField name="NOMBRE_CUENTA_N4" numFmtId="0">
      <sharedItems count="6">
        <s v="OTROS"/>
        <s v="MAQUINARIA Y EQUIPO"/>
        <s v="COMISIONES"/>
        <s v="MANT.Y REPARAC.MAQUINARIA"/>
        <s v="PRIMA DE SERVICIOS"/>
        <s v="DEUDORES"/>
      </sharedItems>
    </cacheField>
    <cacheField name="CUENTA_N5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5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6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6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7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7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UENTA_N8" numFmtId="0">
      <sharedItems count="6">
        <s v="5235950500"/>
        <s v="5160100000"/>
        <s v="5205180100"/>
        <s v="5245150100"/>
        <s v="5205361000"/>
        <s v="5299100000"/>
      </sharedItems>
    </cacheField>
    <cacheField name="NOMBRE_CUENTA_N8" numFmtId="0">
      <sharedItems count="6">
        <s v="OTROS SERVICIOS"/>
        <s v="DEPRECIAC.MAQUINARIA Y EQUIPO"/>
        <s v="COMISIONES-DIRECTOS"/>
        <s v="MANTENIMIENTO EQUIPO INSTALADO"/>
        <s v="PRIMA DE SERVICIOS COMISION"/>
        <s v="PROVISIONES-DEUDORES"/>
      </sharedItems>
    </cacheField>
    <cacheField name="Centro de Operacion" numFmtId="0">
      <sharedItems count="1">
        <s v="001"/>
      </sharedItems>
    </cacheField>
    <cacheField name="Nombre Centro de Operacion" numFmtId="0">
      <sharedItems count="1">
        <s v="EL SALVADOR"/>
      </sharedItems>
    </cacheField>
    <cacheField name="Unidad de Negocio" numFmtId="0">
      <sharedItems count="1">
        <s v="01"/>
      </sharedItems>
    </cacheField>
    <cacheField name="nombre Unidad de Negocio" numFmtId="0">
      <sharedItems count="1">
        <s v="MUSICAR"/>
      </sharedItems>
    </cacheField>
    <cacheField name="AÑO" numFmtId="0">
      <sharedItems containsSemiMixedTypes="0" containsString="0" containsNumber="1" containsInteger="1" minValue="2016" maxValue="2016" count="1">
        <n v="2016"/>
      </sharedItems>
    </cacheField>
    <cacheField name="VALOR_PRESUPUESTO" numFmtId="0">
      <sharedItems containsSemiMixedTypes="0" containsString="0" containsNumber="1" minValue="13.58" maxValue="2319.4899999999998" count="6">
        <n v="448.4"/>
        <n v="2319.4899999999998"/>
        <n v="615.13"/>
        <n v="302.10000000000002"/>
        <n v="153.78"/>
        <n v="13.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tierrez Rodriguez Robert" refreshedDate="43747.442095023151" createdVersion="3" refreshedVersion="6" minRefreshableVersion="3" recordCount="3" xr:uid="{CB431C6C-E0F3-4C49-9CB1-81386A22F047}">
  <cacheSource type="external" connectionId="3"/>
  <cacheFields count="33">
    <cacheField name="PERIODO" numFmtId="0">
      <sharedItems containsSemiMixedTypes="0" containsString="0" containsNumber="1" containsInteger="1" minValue="201909" maxValue="201909" count="1">
        <n v="201909"/>
      </sharedItems>
    </cacheField>
    <cacheField name="Plan Presupuestal" numFmtId="0">
      <sharedItems count="1">
        <s v="001"/>
      </sharedItems>
    </cacheField>
    <cacheField name="Nombre Plan Presupuestal" numFmtId="0">
      <sharedItems count="1">
        <s v="REAL"/>
      </sharedItems>
    </cacheField>
    <cacheField name="EMPRESA" numFmtId="0">
      <sharedItems containsSemiMixedTypes="0" containsString="0" containsNumber="1" containsInteger="1" minValue="1" maxValue="1" count="1">
        <n v="1"/>
      </sharedItems>
    </cacheField>
    <cacheField name="Nombre Empresa" numFmtId="0">
      <sharedItems count="1">
        <s v="MUSICAR S A S"/>
      </sharedItems>
    </cacheField>
    <cacheField name="Cpto Flujo de Efectivo" numFmtId="0">
      <sharedItems count="3">
        <s v="4102"/>
        <s v="7102"/>
        <s v="7105"/>
      </sharedItems>
    </cacheField>
    <cacheField name="Nombre Cpto Flujo Efectivo" numFmtId="0">
      <sharedItems count="3">
        <s v="INTERESES LARGO PLAZO"/>
        <s v="PAGO CUOTA CORRIENTE"/>
        <s v="PRESTAMOS ENTIDADES FINANCIERAS LP"/>
      </sharedItems>
    </cacheField>
    <cacheField name="Cpto Mayor Flujo Efectivo" numFmtId="0">
      <sharedItems count="2">
        <s v="4"/>
        <s v="7"/>
      </sharedItems>
    </cacheField>
    <cacheField name="CPTO_FE_N1" numFmtId="0">
      <sharedItems count="2">
        <s v="4"/>
        <s v="7"/>
      </sharedItems>
    </cacheField>
    <cacheField name="Nombre Cpto FE N1" numFmtId="0">
      <sharedItems count="2">
        <s v="MOVIMIENTO FINANCIERO"/>
        <s v="ACTIVIDADES DE FINANCIACION"/>
      </sharedItems>
    </cacheField>
    <cacheField name="CPTO_FE_N2" numFmtId="0">
      <sharedItems count="3">
        <s v="4102"/>
        <s v="7102"/>
        <s v="7105"/>
      </sharedItems>
    </cacheField>
    <cacheField name="Nombre Cpto FE N2" numFmtId="0">
      <sharedItems count="3">
        <s v="INTERESES LARGO PLAZO"/>
        <s v="PAGO CUOTA CORRIENTE"/>
        <s v="PRESTAMOS ENTIDADES FINANCIERAS LP"/>
      </sharedItems>
    </cacheField>
    <cacheField name="CPTO_FE_N3" numFmtId="0">
      <sharedItems count="3">
        <s v="4102"/>
        <s v="7102"/>
        <s v="7105"/>
      </sharedItems>
    </cacheField>
    <cacheField name="Nombre Cpto FE N3" numFmtId="0">
      <sharedItems count="3">
        <s v="INTERESES LARGO PLAZO"/>
        <s v="PAGO CUOTA CORRIENTE"/>
        <s v="PRESTAMOS ENTIDADES FINANCIERAS LP"/>
      </sharedItems>
    </cacheField>
    <cacheField name="CPTO_FE_N4" numFmtId="0">
      <sharedItems count="3">
        <s v="4102"/>
        <s v="7102"/>
        <s v="7105"/>
      </sharedItems>
    </cacheField>
    <cacheField name="Nombre Cpto FE N4" numFmtId="0">
      <sharedItems count="3">
        <s v="INTERESES LARGO PLAZO"/>
        <s v="PAGO CUOTA CORRIENTE"/>
        <s v="PRESTAMOS ENTIDADES FINANCIERAS LP"/>
      </sharedItems>
    </cacheField>
    <cacheField name="CPTO_FE_N5" numFmtId="0">
      <sharedItems count="3">
        <s v="4102"/>
        <s v="7102"/>
        <s v="7105"/>
      </sharedItems>
    </cacheField>
    <cacheField name="Nombre Cpto FE N5" numFmtId="0">
      <sharedItems count="3">
        <s v="INTERESES LARGO PLAZO"/>
        <s v="PAGO CUOTA CORRIENTE"/>
        <s v="PRESTAMOS ENTIDADES FINANCIERAS LP"/>
      </sharedItems>
    </cacheField>
    <cacheField name="CPTO_FE_N6" numFmtId="0">
      <sharedItems count="3">
        <s v="4102"/>
        <s v="7102"/>
        <s v="7105"/>
      </sharedItems>
    </cacheField>
    <cacheField name="Nombre Cpto FE N6" numFmtId="0">
      <sharedItems count="3">
        <s v="INTERESES LARGO PLAZO"/>
        <s v="PAGO CUOTA CORRIENTE"/>
        <s v="PRESTAMOS ENTIDADES FINANCIERAS LP"/>
      </sharedItems>
    </cacheField>
    <cacheField name="CPTO_FE_N7" numFmtId="0">
      <sharedItems count="3">
        <s v="4102"/>
        <s v="7102"/>
        <s v="7105"/>
      </sharedItems>
    </cacheField>
    <cacheField name="Nombre Cpto FE N7" numFmtId="0">
      <sharedItems count="3">
        <s v="INTERESES LARGO PLAZO"/>
        <s v="PAGO CUOTA CORRIENTE"/>
        <s v="PRESTAMOS ENTIDADES FINANCIERAS LP"/>
      </sharedItems>
    </cacheField>
    <cacheField name="CPTO_FE_N8" numFmtId="0">
      <sharedItems count="3">
        <s v="4102"/>
        <s v="7102"/>
        <s v="7105"/>
      </sharedItems>
    </cacheField>
    <cacheField name="Nombre Cpto FE N8" numFmtId="0">
      <sharedItems count="3">
        <s v="INTERESES LARGO PLAZO"/>
        <s v="PAGO CUOTA CORRIENTE"/>
        <s v="PRESTAMOS ENTIDADES FINANCIERAS LP"/>
      </sharedItems>
    </cacheField>
    <cacheField name="Centro de Operacion" numFmtId="0">
      <sharedItems count="1">
        <s v="450"/>
      </sharedItems>
    </cacheField>
    <cacheField name="Nombre Centro de Operacion" numFmtId="0">
      <sharedItems count="1">
        <s v="ADMINSTRATIVO"/>
      </sharedItems>
    </cacheField>
    <cacheField name="REGIONAL" numFmtId="0">
      <sharedItems count="1">
        <s v="00"/>
      </sharedItems>
    </cacheField>
    <cacheField name="nombre Regional" numFmtId="0">
      <sharedItems count="1">
        <s v="ADMINISTRATIVOS"/>
      </sharedItems>
    </cacheField>
    <cacheField name="Unidad de Negocio" numFmtId="0">
      <sharedItems count="1">
        <s v="00"/>
      </sharedItems>
    </cacheField>
    <cacheField name="nombre Unidad de Negocio" numFmtId="0">
      <sharedItems count="1">
        <s v="ADMINISTRATIVA FICIERA"/>
      </sharedItems>
    </cacheField>
    <cacheField name="FECHA" numFmtId="0">
      <sharedItems containsString="0" containsBlank="1" count="1">
        <m/>
      </sharedItems>
    </cacheField>
    <cacheField name="AÑO" numFmtId="0">
      <sharedItems containsSemiMixedTypes="0" containsString="0" containsNumber="1" containsInteger="1" minValue="2019" maxValue="2019" count="1">
        <n v="2019"/>
      </sharedItems>
    </cacheField>
    <cacheField name="Valor Presupuesto" numFmtId="0">
      <sharedItems containsSemiMixedTypes="0" containsString="0" containsNumber="1" containsInteger="1" minValue="15856000" maxValue="89381000" count="3">
        <n v="15856000"/>
        <n v="89381000"/>
        <n v="4200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4">
  <r>
    <x v="0"/>
    <x v="0"/>
    <x v="0"/>
    <x v="0"/>
    <x v="0"/>
    <x v="0"/>
    <x v="0"/>
    <n v="4273"/>
    <s v="411881957"/>
    <s v="SAJAN, INC"/>
    <s v="201901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CONTABILIACION ERRADA EN EL RECIBO DE CAJA"/>
    <n v="1234905"/>
    <n v="0"/>
    <n v="1234905"/>
    <x v="0"/>
    <x v="0"/>
    <x v="0"/>
    <n v="1234905"/>
    <n v="0"/>
    <n v="1234905"/>
    <x v="0"/>
    <x v="0"/>
    <x v="0"/>
    <n v="1234905"/>
    <n v="0"/>
    <n v="1234905"/>
    <x v="0"/>
    <x v="0"/>
    <x v="0"/>
    <x v="0"/>
    <x v="0"/>
  </r>
  <r>
    <x v="1"/>
    <x v="0"/>
    <x v="0"/>
    <x v="0"/>
    <x v="0"/>
    <x v="1"/>
    <x v="1"/>
    <n v="2377"/>
    <s v="860037707"/>
    <s v="SBS SEGUROS COLOMBIA S.A."/>
    <s v="201902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1"/>
    <x v="1"/>
    <x v="1"/>
    <s v="860037707"/>
    <s v="SBS SEGURO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POLIZA QUE SE CANCELO DE LA CAMIONETA PARA GERENCIA"/>
    <n v="0"/>
    <n v="2315865.0699999998"/>
    <n v="-2315865.0699999998"/>
    <x v="0"/>
    <x v="0"/>
    <x v="0"/>
    <n v="0"/>
    <n v="2315865.0699999998"/>
    <n v="-2315865.0699999998"/>
    <x v="0"/>
    <x v="0"/>
    <x v="0"/>
    <n v="0"/>
    <n v="2315865.0699999998"/>
    <n v="-2315865.0699999998"/>
    <x v="0"/>
    <x v="0"/>
    <x v="0"/>
    <x v="0"/>
    <x v="0"/>
  </r>
  <r>
    <x v="1"/>
    <x v="0"/>
    <x v="0"/>
    <x v="0"/>
    <x v="0"/>
    <x v="2"/>
    <x v="2"/>
    <n v="19702"/>
    <s v="890399003"/>
    <s v="EMPRESAS MUNICIPALES DE CALI E.I.C.E.  E.S.P."/>
    <s v="201902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 PAGO SERVCIOS PUBLICOS DIR NAL / TEL 6689603/6683173/6672449/668388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22"/>
    <s v="830053800"/>
    <s v="TELMEX COLOMBIA SA"/>
    <s v="2019022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ELMEX - TRANSMISION AREA TECNICA -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36"/>
    <s v="830122566"/>
    <s v="COLOMBIA TELECOMUNICACIONES S.A.-ESP"/>
    <s v="201906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.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3"/>
    <x v="3"/>
    <n v="201"/>
    <s v="1045717933"/>
    <s v="PALMA GUTIERREZ KETTY JANETH"/>
    <s v="201907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473169"/>
    <s v="VEGA JIMENEZ ALBERTO TUL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RVICIO DE DESINSTALACION DE 3 AIRES ACONDICIONADOS E INSTALACION DE 2 POR TRASLADO CON CAMBIO DE GAS Y TUBERIA"/>
    <n v="0"/>
    <n v="80"/>
    <n v="-80"/>
    <x v="0"/>
    <x v="0"/>
    <x v="0"/>
    <n v="0"/>
    <n v="80"/>
    <n v="-80"/>
    <x v="0"/>
    <x v="0"/>
    <x v="0"/>
    <n v="0"/>
    <n v="80"/>
    <n v="-80"/>
    <x v="0"/>
    <x v="0"/>
    <x v="0"/>
    <x v="0"/>
    <x v="0"/>
  </r>
  <r>
    <x v="4"/>
    <x v="0"/>
    <x v="0"/>
    <x v="1"/>
    <x v="1"/>
    <x v="4"/>
    <x v="4"/>
    <n v="672"/>
    <s v="1143135964"/>
    <s v="CABALLERO GONZALEZ JORGE ELIECER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6"/>
    <n v="0"/>
    <n v="656"/>
    <x v="0"/>
    <x v="0"/>
    <x v="0"/>
    <n v="656"/>
    <n v="0"/>
    <n v="656"/>
    <x v="0"/>
    <x v="0"/>
    <x v="0"/>
    <n v="656"/>
    <n v="0"/>
    <n v="656"/>
    <x v="0"/>
    <x v="0"/>
    <x v="0"/>
    <x v="0"/>
    <x v="0"/>
  </r>
  <r>
    <x v="4"/>
    <x v="0"/>
    <x v="0"/>
    <x v="2"/>
    <x v="2"/>
    <x v="3"/>
    <x v="3"/>
    <n v="233"/>
    <s v="1020483062"/>
    <s v="QUINTERO ESPINAL JUAN DAVID"/>
    <s v="201908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3"/>
    <x v="3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PORQUE EL TRABAJADOR YA NO LABORA EN LA EMPRESA"/>
    <n v="3368"/>
    <n v="0"/>
    <n v="3368"/>
    <x v="0"/>
    <x v="0"/>
    <x v="0"/>
    <n v="3368"/>
    <n v="0"/>
    <n v="3368"/>
    <x v="0"/>
    <x v="0"/>
    <x v="0"/>
    <n v="3368"/>
    <n v="0"/>
    <n v="3368"/>
    <x v="0"/>
    <x v="0"/>
    <x v="0"/>
    <x v="0"/>
    <x v="0"/>
  </r>
  <r>
    <x v="4"/>
    <x v="0"/>
    <x v="0"/>
    <x v="1"/>
    <x v="1"/>
    <x v="4"/>
    <x v="4"/>
    <n v="677"/>
    <s v="8763635"/>
    <s v="MOLINA PACHECO LUIS EDUARDO"/>
    <s v="201908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98"/>
    <n v="0"/>
    <n v="698"/>
    <x v="0"/>
    <x v="0"/>
    <x v="0"/>
    <n v="698"/>
    <n v="0"/>
    <n v="698"/>
    <x v="0"/>
    <x v="0"/>
    <x v="0"/>
    <n v="698"/>
    <n v="0"/>
    <n v="698"/>
    <x v="0"/>
    <x v="0"/>
    <x v="0"/>
    <x v="0"/>
    <x v="0"/>
  </r>
  <r>
    <x v="4"/>
    <x v="0"/>
    <x v="0"/>
    <x v="0"/>
    <x v="0"/>
    <x v="2"/>
    <x v="2"/>
    <n v="20691"/>
    <s v="800153993"/>
    <s v="COMUNICACIONES CELULAR S A  COMCEL S A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CLARO - LOCUTOR VIRTUAL  -13/07/2019 - 12/08/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71"/>
    <s v="860047239"/>
    <s v="MUSICAR S.A.S"/>
    <s v="201908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LA CTA.1588059900 COMPENSACION ACTIVOS FIJOS."/>
    <n v="843"/>
    <n v="0"/>
    <n v="843"/>
    <x v="0"/>
    <x v="0"/>
    <x v="0"/>
    <n v="843"/>
    <n v="0"/>
    <n v="843"/>
    <x v="0"/>
    <x v="0"/>
    <x v="0"/>
    <n v="843"/>
    <n v="0"/>
    <n v="843"/>
    <x v="0"/>
    <x v="0"/>
    <x v="0"/>
    <x v="0"/>
    <x v="0"/>
  </r>
  <r>
    <x v="2"/>
    <x v="0"/>
    <x v="0"/>
    <x v="0"/>
    <x v="0"/>
    <x v="5"/>
    <x v="5"/>
    <n v="431"/>
    <s v="1151939784"/>
    <s v="MOLINEROS MARTINEZ JOHANA ALEXANDRA"/>
    <s v="20190613"/>
    <x v="2"/>
    <x v="0"/>
    <x v="2"/>
    <x v="0"/>
    <x v="0"/>
    <x v="0"/>
    <x v="0"/>
    <x v="0"/>
    <x v="1"/>
    <x v="1"/>
    <x v="2"/>
    <x v="2"/>
    <x v="2"/>
    <x v="2"/>
    <x v="2"/>
    <x v="2"/>
    <x v="2"/>
    <x v="2"/>
    <x v="2"/>
    <x v="2"/>
    <x v="1"/>
    <x v="1"/>
    <x v="1"/>
    <x v="1"/>
    <x v="1"/>
    <x v="1"/>
    <s v="1151939784"/>
    <s v="MOLINEROS MARTINEZ JOHANA ALEXAND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CILIACION JOHANA MOLINEROS MARTINEZ"/>
    <n v="5786978"/>
    <n v="0"/>
    <n v="5786978"/>
    <x v="0"/>
    <x v="0"/>
    <x v="0"/>
    <n v="5786978"/>
    <n v="0"/>
    <n v="5786978"/>
    <x v="0"/>
    <x v="0"/>
    <x v="0"/>
    <n v="5786978"/>
    <n v="0"/>
    <n v="5786978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25023"/>
    <n v="0"/>
    <n v="25023"/>
    <x v="0"/>
    <x v="0"/>
    <x v="0"/>
    <n v="25023"/>
    <n v="0"/>
    <n v="25023"/>
    <x v="0"/>
    <x v="0"/>
    <x v="0"/>
    <n v="25023"/>
    <n v="0"/>
    <n v="25023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4846959.1100000003"/>
    <n v="0"/>
    <n v="4846959.1100000003"/>
    <x v="0"/>
    <x v="0"/>
    <x v="0"/>
    <n v="0"/>
    <n v="0"/>
    <n v="0"/>
    <x v="0"/>
    <x v="0"/>
    <x v="0"/>
    <x v="0"/>
    <x v="0"/>
  </r>
  <r>
    <x v="1"/>
    <x v="0"/>
    <x v="0"/>
    <x v="0"/>
    <x v="0"/>
    <x v="2"/>
    <x v="2"/>
    <n v="19681"/>
    <s v="890102018"/>
    <s v="MUNICIPIO DE BARRANQUILLA"/>
    <s v="20190222"/>
    <x v="4"/>
    <x v="0"/>
    <x v="4"/>
    <x v="0"/>
    <x v="0"/>
    <x v="0"/>
    <x v="0"/>
    <x v="0"/>
    <x v="0"/>
    <x v="0"/>
    <x v="4"/>
    <x v="4"/>
    <x v="4"/>
    <x v="4"/>
    <x v="4"/>
    <x v="4"/>
    <x v="4"/>
    <x v="4"/>
    <x v="4"/>
    <x v="4"/>
    <x v="2"/>
    <x v="2"/>
    <x v="0"/>
    <x v="0"/>
    <x v="0"/>
    <x v="0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ANUAL BARRANQUILLA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4"/>
    <x v="0"/>
    <x v="0"/>
    <x v="2"/>
    <x v="2"/>
    <x v="3"/>
    <x v="3"/>
    <n v="231"/>
    <s v="830046791"/>
    <s v="COFACE SERVICES COLOMBIA S.A."/>
    <s v="20190821"/>
    <x v="5"/>
    <x v="0"/>
    <x v="5"/>
    <x v="0"/>
    <x v="0"/>
    <x v="0"/>
    <x v="0"/>
    <x v="0"/>
    <x v="0"/>
    <x v="0"/>
    <x v="5"/>
    <x v="5"/>
    <x v="5"/>
    <x v="5"/>
    <x v="5"/>
    <x v="5"/>
    <x v="5"/>
    <x v="5"/>
    <x v="5"/>
    <x v="5"/>
    <x v="4"/>
    <x v="4"/>
    <x v="0"/>
    <x v="0"/>
    <x v="0"/>
    <x v="0"/>
    <s v="830046791"/>
    <s v="COFACE SERVICES 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PARA CERTIFICACION COFACE CLIENTE TELEPERFORMANCE"/>
    <n v="1518"/>
    <n v="0"/>
    <n v="1518"/>
    <x v="0"/>
    <x v="0"/>
    <x v="0"/>
    <n v="1518"/>
    <n v="0"/>
    <n v="1518"/>
    <x v="0"/>
    <x v="0"/>
    <x v="0"/>
    <n v="1518"/>
    <n v="0"/>
    <n v="1518"/>
    <x v="0"/>
    <x v="0"/>
    <x v="0"/>
    <x v="0"/>
    <x v="0"/>
  </r>
  <r>
    <x v="3"/>
    <x v="0"/>
    <x v="0"/>
    <x v="0"/>
    <x v="0"/>
    <x v="7"/>
    <x v="7"/>
    <n v="25836"/>
    <s v="890903407"/>
    <s v="SEGUROS GENERALES SURAMERICANA S.A"/>
    <s v="20190703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1"/>
    <x v="1"/>
    <x v="1"/>
    <x v="1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"/>
    <n v="300"/>
    <n v="0"/>
    <n v="300"/>
    <x v="0"/>
    <x v="0"/>
    <x v="0"/>
    <n v="300"/>
    <n v="0"/>
    <n v="300"/>
    <x v="0"/>
    <x v="0"/>
    <x v="0"/>
    <n v="300"/>
    <n v="0"/>
    <n v="300"/>
    <x v="0"/>
    <x v="0"/>
    <x v="0"/>
    <x v="0"/>
    <x v="0"/>
  </r>
  <r>
    <x v="1"/>
    <x v="0"/>
    <x v="0"/>
    <x v="1"/>
    <x v="1"/>
    <x v="4"/>
    <x v="4"/>
    <n v="638"/>
    <s v="72187626"/>
    <s v="ULLOA ORTEGA LUIS FERNANDO"/>
    <s v="2019021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130"/>
    <n v="0"/>
    <n v="130"/>
    <x v="0"/>
    <x v="0"/>
    <x v="0"/>
    <n v="130"/>
    <n v="0"/>
    <n v="130"/>
    <x v="0"/>
    <x v="0"/>
    <x v="0"/>
    <n v="130"/>
    <n v="0"/>
    <n v="130"/>
    <x v="0"/>
    <x v="0"/>
    <x v="0"/>
    <x v="0"/>
    <x v="0"/>
  </r>
  <r>
    <x v="1"/>
    <x v="0"/>
    <x v="0"/>
    <x v="0"/>
    <x v="0"/>
    <x v="2"/>
    <x v="2"/>
    <n v="19761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BANCOLOMBIA - FEB 2019"/>
    <n v="6594.99"/>
    <n v="0"/>
    <n v="6594.99"/>
    <x v="0"/>
    <x v="0"/>
    <x v="0"/>
    <n v="6594.99"/>
    <n v="0"/>
    <n v="6594.99"/>
    <x v="0"/>
    <x v="0"/>
    <x v="0"/>
    <n v="6594.99"/>
    <n v="0"/>
    <n v="6594.99"/>
    <x v="0"/>
    <x v="0"/>
    <x v="0"/>
    <x v="0"/>
    <x v="0"/>
  </r>
  <r>
    <x v="5"/>
    <x v="0"/>
    <x v="0"/>
    <x v="0"/>
    <x v="0"/>
    <x v="2"/>
    <x v="2"/>
    <n v="19805"/>
    <s v="800197368"/>
    <s v="DIRECCION DE IMPUESTOS Y ADUANAS NACIONALES"/>
    <s v="201903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FEBRERO-2019."/>
    <n v="415.37"/>
    <n v="0"/>
    <n v="415.37"/>
    <x v="0"/>
    <x v="0"/>
    <x v="0"/>
    <n v="415.37"/>
    <n v="0"/>
    <n v="415.37"/>
    <x v="0"/>
    <x v="0"/>
    <x v="0"/>
    <n v="415.37"/>
    <n v="0"/>
    <n v="415.37"/>
    <x v="0"/>
    <x v="0"/>
    <x v="0"/>
    <x v="0"/>
    <x v="0"/>
  </r>
  <r>
    <x v="5"/>
    <x v="0"/>
    <x v="0"/>
    <x v="0"/>
    <x v="0"/>
    <x v="2"/>
    <x v="2"/>
    <n v="19884"/>
    <s v="900092385"/>
    <s v="EPM TELECOMUNICACIONES S.A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LINEA 01800 - (01/02/2019-28/02/2019)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8"/>
    <s v="830053800"/>
    <s v="TELMEX COLOMBIA SA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 - SERVICIO TRASMISIONES AREA TECNICA EN CO 46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89"/>
    <s v="890399003"/>
    <s v="EMPRESAS MUNICIPALES DE CALI E.I.C.E.  E.S.P."/>
    <s v="201903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 - SERVICIO TELEFONICO 6683884-6672449-6683173-6689603 Y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1"/>
    <x v="1"/>
    <x v="4"/>
    <x v="4"/>
    <n v="657"/>
    <s v="1143135964"/>
    <s v="CABALLERO GONZALEZ JORGE ELIECER"/>
    <s v="2019052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22"/>
    <n v="-322"/>
    <x v="0"/>
    <x v="0"/>
    <x v="0"/>
    <n v="0"/>
    <n v="322"/>
    <n v="-322"/>
    <x v="0"/>
    <x v="0"/>
    <x v="0"/>
    <n v="0"/>
    <n v="322"/>
    <n v="-322"/>
    <x v="0"/>
    <x v="0"/>
    <x v="0"/>
    <x v="0"/>
    <x v="0"/>
  </r>
  <r>
    <x v="6"/>
    <x v="0"/>
    <x v="0"/>
    <x v="1"/>
    <x v="1"/>
    <x v="4"/>
    <x v="4"/>
    <n v="659"/>
    <s v="72187626"/>
    <s v="ULLOA ORTEGA LUIS FERNANDO"/>
    <s v="201905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1120"/>
    <n v="-1120"/>
    <x v="0"/>
    <x v="0"/>
    <x v="0"/>
    <n v="0"/>
    <n v="1120"/>
    <n v="-1120"/>
    <x v="0"/>
    <x v="0"/>
    <x v="0"/>
    <n v="0"/>
    <n v="1120"/>
    <n v="-1120"/>
    <x v="0"/>
    <x v="0"/>
    <x v="0"/>
    <x v="0"/>
    <x v="0"/>
  </r>
  <r>
    <x v="6"/>
    <x v="0"/>
    <x v="0"/>
    <x v="0"/>
    <x v="0"/>
    <x v="2"/>
    <x v="2"/>
    <n v="20237"/>
    <s v="900092385"/>
    <s v="EPM TELECOMUNICACIONES S.A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LINEA 01800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241"/>
    <s v="890399003"/>
    <s v="EMPRESAS MUNICIPALES DE CALI E.I.C.E.  E.S.P.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MCALI -SERVICIOS PUBLICOS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1"/>
    <x v="1"/>
    <x v="4"/>
    <x v="4"/>
    <n v="661"/>
    <s v="1143441764"/>
    <s v="RODRIGUEZ PADILLA GIOVANNI ENRIQUE"/>
    <s v="201906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950"/>
    <n v="0"/>
    <n v="950"/>
    <x v="0"/>
    <x v="0"/>
    <x v="0"/>
    <n v="950"/>
    <n v="0"/>
    <n v="950"/>
    <x v="0"/>
    <x v="0"/>
    <x v="0"/>
    <n v="950"/>
    <n v="0"/>
    <n v="950"/>
    <x v="0"/>
    <x v="0"/>
    <x v="0"/>
    <x v="0"/>
    <x v="0"/>
  </r>
  <r>
    <x v="2"/>
    <x v="0"/>
    <x v="0"/>
    <x v="0"/>
    <x v="0"/>
    <x v="2"/>
    <x v="2"/>
    <n v="20396"/>
    <s v="860007660"/>
    <s v="HELM BANK S.A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ES DE JUNIO 2019"/>
    <n v="0.76"/>
    <n v="0"/>
    <n v="0.76"/>
    <x v="0"/>
    <x v="0"/>
    <x v="0"/>
    <n v="0.76"/>
    <n v="0"/>
    <n v="0.76"/>
    <x v="0"/>
    <x v="0"/>
    <x v="0"/>
    <n v="0.76"/>
    <n v="0"/>
    <n v="0.76"/>
    <x v="0"/>
    <x v="0"/>
    <x v="0"/>
    <x v="0"/>
    <x v="0"/>
  </r>
  <r>
    <x v="2"/>
    <x v="0"/>
    <x v="0"/>
    <x v="0"/>
    <x v="0"/>
    <x v="2"/>
    <x v="2"/>
    <n v="20443"/>
    <s v="995"/>
    <s v="GASTOS DE MENOR CUANTIA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RECLASIFICACION DE U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3"/>
    <x v="0"/>
    <x v="0"/>
    <x v="0"/>
    <x v="0"/>
    <x v="2"/>
    <x v="2"/>
    <n v="20475"/>
    <s v="890904996"/>
    <s v="EMPRESAS PUBLICAS DE MEDELLIN ESP"/>
    <s v="201907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PUBLICOS CP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467"/>
    <s v="512"/>
    <s v="PAGOS POR NOMINA"/>
    <s v="2019071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512"/>
    <s v="PAGOS POR NOM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ONCILIACION NOMINA MES DE JUNIO DE 2019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0"/>
    <x v="0"/>
    <x v="2"/>
    <x v="2"/>
    <n v="20516"/>
    <s v="900092385"/>
    <s v="EPM TELECOMUNICACIONES S.A.  E.S.P."/>
    <s v="2019072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LINEA 0180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1"/>
    <x v="1"/>
    <x v="4"/>
    <x v="4"/>
    <n v="670"/>
    <s v="72187626"/>
    <s v="ULLOA ORTEGA LUIS FERNANDO"/>
    <s v="201907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8"/>
    <n v="-8"/>
    <x v="0"/>
    <x v="0"/>
    <x v="0"/>
    <n v="0"/>
    <n v="8"/>
    <n v="-8"/>
    <x v="0"/>
    <x v="0"/>
    <x v="0"/>
    <n v="0"/>
    <n v="8"/>
    <n v="-8"/>
    <x v="0"/>
    <x v="0"/>
    <x v="0"/>
    <x v="0"/>
    <x v="0"/>
  </r>
  <r>
    <x v="3"/>
    <x v="0"/>
    <x v="0"/>
    <x v="0"/>
    <x v="0"/>
    <x v="2"/>
    <x v="2"/>
    <n v="20530"/>
    <s v="900092385"/>
    <s v="EPM TELECOMUNICACIONES S.A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IGO UNE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4"/>
    <s v="860007660"/>
    <s v="HELM BANK S.A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46"/>
    <n v="0"/>
    <n v="0.46"/>
    <x v="0"/>
    <x v="0"/>
    <x v="0"/>
    <n v="0.46"/>
    <n v="0"/>
    <n v="0.46"/>
    <x v="0"/>
    <x v="0"/>
    <x v="0"/>
    <n v="0.46"/>
    <n v="0"/>
    <n v="0.46"/>
    <x v="0"/>
    <x v="0"/>
    <x v="0"/>
    <x v="0"/>
    <x v="0"/>
  </r>
  <r>
    <x v="4"/>
    <x v="0"/>
    <x v="0"/>
    <x v="0"/>
    <x v="0"/>
    <x v="2"/>
    <x v="2"/>
    <n v="20636"/>
    <s v="800153993"/>
    <s v="COMUNICACIONES CELULAR S A  COMCEL S A"/>
    <s v="201908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ODEM CARTELERAS SUPER INTER (JUN-JUL 2019)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0"/>
    <x v="0"/>
    <x v="2"/>
    <x v="2"/>
    <n v="20678"/>
    <s v="860007660"/>
    <s v="HELM BANK S.A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4000000000000001"/>
    <n v="0"/>
    <n v="0.14000000000000001"/>
    <x v="0"/>
    <x v="0"/>
    <x v="0"/>
    <n v="0.14000000000000001"/>
    <n v="0"/>
    <n v="0.14000000000000001"/>
    <x v="0"/>
    <x v="0"/>
    <x v="0"/>
    <n v="0.14000000000000001"/>
    <n v="0"/>
    <n v="0.14000000000000001"/>
    <x v="0"/>
    <x v="0"/>
    <x v="0"/>
    <x v="0"/>
    <x v="0"/>
  </r>
  <r>
    <x v="4"/>
    <x v="0"/>
    <x v="0"/>
    <x v="0"/>
    <x v="0"/>
    <x v="2"/>
    <x v="2"/>
    <n v="20682"/>
    <s v="890905055"/>
    <s v="EMPRESAS VARIAS DE MEDELLIN E.S.P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5055"/>
    <s v="EMPRESAS VARIAS DE MEDELLIN E.S.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CO 4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2"/>
    <x v="2"/>
    <n v="20683"/>
    <s v="830037248"/>
    <s v="CODENSA S.A. ES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-ENERGIA -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4"/>
    <x v="0"/>
    <x v="0"/>
    <x v="0"/>
    <x v="0"/>
    <x v="2"/>
    <x v="2"/>
    <n v="20684"/>
    <s v="890399003"/>
    <s v="EMPRESAS MUNICIPALES DE CALI E.I.C.E.  E.S.P."/>
    <s v="201908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EMCALI - TEL 6683884-6672449-6683173-6689603 Y SERVICIOS PUBLICOS DIR NAL Y CO 4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0"/>
    <x v="0"/>
    <x v="2"/>
    <x v="2"/>
    <n v="19870"/>
    <s v="890200162"/>
    <s v="ACUEDUCTO METROPOLITANO DE BUCARAMANGA S.A. E.S.P."/>
    <s v="2019032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0162"/>
    <s v="ACUEDUCTO METROPOLITANO DE BUCARAMANGA S.A.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VARIOS C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39"/>
    <s v="899999061"/>
    <s v="BOGOTA DISTRITO CAPITAL"/>
    <s v="201901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9999061"/>
    <s v="BOGOTA DISTRITO CAPI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D Y CCIO - NOV-DIC  2018- CO BOGOTA"/>
    <n v="439"/>
    <n v="0"/>
    <n v="439"/>
    <x v="0"/>
    <x v="0"/>
    <x v="0"/>
    <n v="439"/>
    <n v="0"/>
    <n v="439"/>
    <x v="0"/>
    <x v="0"/>
    <x v="0"/>
    <n v="439"/>
    <n v="0"/>
    <n v="439"/>
    <x v="0"/>
    <x v="0"/>
    <x v="0"/>
    <x v="0"/>
    <x v="0"/>
  </r>
  <r>
    <x v="0"/>
    <x v="0"/>
    <x v="0"/>
    <x v="0"/>
    <x v="0"/>
    <x v="2"/>
    <x v="2"/>
    <n v="19542"/>
    <s v="830122566"/>
    <s v="COLOMBIA TELECOMUNICACIONES S.A.-ESP"/>
    <s v="2019011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- VARIOS C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0"/>
    <x v="0"/>
    <x v="0"/>
    <x v="1"/>
    <x v="1"/>
    <x v="4"/>
    <x v="4"/>
    <n v="634"/>
    <s v="1143135964"/>
    <s v="CABALLERO GONZALEZ JORGE ELIECER"/>
    <s v="201901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6"/>
    <n v="0"/>
    <n v="266"/>
    <x v="0"/>
    <x v="0"/>
    <x v="0"/>
    <n v="266"/>
    <n v="0"/>
    <n v="266"/>
    <x v="0"/>
    <x v="0"/>
    <x v="0"/>
    <n v="266"/>
    <n v="0"/>
    <n v="266"/>
    <x v="0"/>
    <x v="0"/>
    <x v="0"/>
    <x v="0"/>
    <x v="0"/>
  </r>
  <r>
    <x v="5"/>
    <x v="0"/>
    <x v="0"/>
    <x v="0"/>
    <x v="0"/>
    <x v="2"/>
    <x v="2"/>
    <n v="19825"/>
    <s v="890480184"/>
    <s v="DISTRITO TURISTICO Y CULTURAL DE CARTAGENA DE IND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480184"/>
    <s v="DISTRITO TURISTICO Y CULTURAL DE CARTAGENA DE IND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CARTAGENA ENE-FEB 2019"/>
    <n v="187"/>
    <n v="0"/>
    <n v="187"/>
    <x v="0"/>
    <x v="0"/>
    <x v="0"/>
    <n v="187"/>
    <n v="0"/>
    <n v="187"/>
    <x v="0"/>
    <x v="0"/>
    <x v="0"/>
    <n v="187"/>
    <n v="0"/>
    <n v="187"/>
    <x v="0"/>
    <x v="0"/>
    <x v="0"/>
    <x v="0"/>
    <x v="0"/>
  </r>
  <r>
    <x v="5"/>
    <x v="0"/>
    <x v="0"/>
    <x v="0"/>
    <x v="0"/>
    <x v="2"/>
    <x v="2"/>
    <n v="19821"/>
    <s v="890399011"/>
    <s v="MUNICIPIO DE SANTIAGO DE CALI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11"/>
    <s v="MUNICIPIO DE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ICA- CALI ( ENE-FEB 2019)"/>
    <n v="152"/>
    <n v="0"/>
    <n v="152"/>
    <x v="0"/>
    <x v="0"/>
    <x v="0"/>
    <n v="152"/>
    <n v="0"/>
    <n v="152"/>
    <x v="0"/>
    <x v="0"/>
    <x v="0"/>
    <n v="152"/>
    <n v="0"/>
    <n v="152"/>
    <x v="0"/>
    <x v="0"/>
    <x v="0"/>
    <x v="0"/>
    <x v="0"/>
  </r>
  <r>
    <x v="5"/>
    <x v="0"/>
    <x v="0"/>
    <x v="0"/>
    <x v="0"/>
    <x v="2"/>
    <x v="2"/>
    <n v="19822"/>
    <s v="890102018"/>
    <s v="MUNICIPIO DE BARRANQUILLA"/>
    <s v="2019031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CA BARRANQUILLA (ENE-FEB 2019)"/>
    <n v="408"/>
    <n v="0"/>
    <n v="408"/>
    <x v="0"/>
    <x v="0"/>
    <x v="0"/>
    <n v="408"/>
    <n v="0"/>
    <n v="408"/>
    <x v="0"/>
    <x v="0"/>
    <x v="0"/>
    <n v="408"/>
    <n v="0"/>
    <n v="408"/>
    <x v="0"/>
    <x v="0"/>
    <x v="0"/>
    <x v="0"/>
    <x v="0"/>
  </r>
  <r>
    <x v="5"/>
    <x v="0"/>
    <x v="0"/>
    <x v="1"/>
    <x v="1"/>
    <x v="4"/>
    <x v="4"/>
    <n v="645"/>
    <s v="22656341"/>
    <s v="ARIAS QUINTERO NELVIS ROCIO"/>
    <s v="201903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0"/>
    <n v="-20"/>
    <x v="0"/>
    <x v="0"/>
    <x v="0"/>
    <n v="0"/>
    <n v="20"/>
    <n v="-20"/>
    <x v="0"/>
    <x v="0"/>
    <x v="0"/>
    <n v="0"/>
    <n v="20"/>
    <n v="-20"/>
    <x v="0"/>
    <x v="0"/>
    <x v="0"/>
    <x v="0"/>
    <x v="0"/>
  </r>
  <r>
    <x v="7"/>
    <x v="0"/>
    <x v="0"/>
    <x v="0"/>
    <x v="0"/>
    <x v="2"/>
    <x v="2"/>
    <n v="19978"/>
    <s v="800153993"/>
    <s v="COMUNICACIONES CELULAR S A  COMCEL S A"/>
    <s v="20190403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VARIOS CO- COOMEVA CARTELER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70"/>
    <s v="830053800"/>
    <s v="TELMEX COLOMBIA SA"/>
    <s v="2019050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- ABRI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0"/>
    <x v="0"/>
    <x v="2"/>
    <x v="2"/>
    <n v="20193"/>
    <s v="900397145"/>
    <s v="TILETRADE S.A."/>
    <s v="20190517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 01 - (Saldo de Utilidad del año 2015-Utilidad del año 2017)- USD 3585.16 (TRM 3313.80)"/>
    <n v="0.21"/>
    <n v="0"/>
    <n v="0.21"/>
    <x v="0"/>
    <x v="0"/>
    <x v="0"/>
    <n v="0.21"/>
    <n v="0"/>
    <n v="0.21"/>
    <x v="0"/>
    <x v="0"/>
    <x v="0"/>
    <n v="0.21"/>
    <n v="0"/>
    <n v="0.21"/>
    <x v="0"/>
    <x v="0"/>
    <x v="0"/>
    <x v="0"/>
    <x v="0"/>
  </r>
  <r>
    <x v="2"/>
    <x v="0"/>
    <x v="0"/>
    <x v="0"/>
    <x v="0"/>
    <x v="2"/>
    <x v="2"/>
    <n v="20362"/>
    <s v="830037248"/>
    <s v="CODENSA S.A. ESP.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37248"/>
    <s v="CODENSA S.A. ES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ENERGIA CO 462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2"/>
    <x v="0"/>
    <x v="0"/>
    <x v="1"/>
    <x v="1"/>
    <x v="4"/>
    <x v="4"/>
    <n v="662"/>
    <s v="1143135964"/>
    <s v="CABALLERO GONZALEZ JORGE ELIECER"/>
    <s v="20190626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280"/>
    <n v="-280"/>
    <x v="0"/>
    <x v="0"/>
    <x v="0"/>
    <n v="0"/>
    <n v="280"/>
    <n v="-280"/>
    <x v="0"/>
    <x v="0"/>
    <x v="0"/>
    <n v="0"/>
    <n v="280"/>
    <n v="-280"/>
    <x v="0"/>
    <x v="0"/>
    <x v="0"/>
    <x v="0"/>
    <x v="0"/>
  </r>
  <r>
    <x v="3"/>
    <x v="0"/>
    <x v="0"/>
    <x v="1"/>
    <x v="1"/>
    <x v="4"/>
    <x v="4"/>
    <n v="667"/>
    <s v="72187626"/>
    <s v="ULLOA ORTEGA LUIS FERNANDO"/>
    <s v="2019071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50"/>
    <n v="0"/>
    <n v="650"/>
    <x v="0"/>
    <x v="0"/>
    <x v="0"/>
    <n v="650"/>
    <n v="0"/>
    <n v="650"/>
    <x v="0"/>
    <x v="0"/>
    <x v="0"/>
    <n v="650"/>
    <n v="0"/>
    <n v="650"/>
    <x v="0"/>
    <x v="0"/>
    <x v="0"/>
    <x v="0"/>
    <x v="0"/>
  </r>
  <r>
    <x v="3"/>
    <x v="0"/>
    <x v="0"/>
    <x v="0"/>
    <x v="0"/>
    <x v="2"/>
    <x v="2"/>
    <n v="20537"/>
    <s v="890399003"/>
    <s v="EMPRESAS MUNICIPALES DE CALI E.I.C.E.  E.S.P."/>
    <s v="201907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TEL 6683884/6683173/6689603/6672449 Y SERVICIOS PUBLICOS DIR NAL"/>
    <n v="3"/>
    <n v="0"/>
    <n v="3"/>
    <x v="0"/>
    <x v="0"/>
    <x v="0"/>
    <n v="3"/>
    <n v="0"/>
    <n v="3"/>
    <x v="0"/>
    <x v="0"/>
    <x v="0"/>
    <n v="3"/>
    <n v="0"/>
    <n v="3"/>
    <x v="0"/>
    <x v="0"/>
    <x v="0"/>
    <x v="0"/>
    <x v="0"/>
  </r>
  <r>
    <x v="4"/>
    <x v="0"/>
    <x v="0"/>
    <x v="0"/>
    <x v="0"/>
    <x v="3"/>
    <x v="3"/>
    <n v="348"/>
    <s v="10131503"/>
    <s v="CANO RIOS JUAN CARLOS"/>
    <s v="2019080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10131503"/>
    <s v="CANO RIOS JUAN CARL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ANTICIPO AP - 450 - 200 REGISTRO CAMARA DE COMERCIO"/>
    <n v="200"/>
    <n v="0"/>
    <n v="200"/>
    <x v="0"/>
    <x v="0"/>
    <x v="0"/>
    <n v="200"/>
    <n v="0"/>
    <n v="200"/>
    <x v="0"/>
    <x v="0"/>
    <x v="0"/>
    <n v="200"/>
    <n v="0"/>
    <n v="200"/>
    <x v="0"/>
    <x v="0"/>
    <x v="0"/>
    <x v="0"/>
    <x v="0"/>
  </r>
  <r>
    <x v="5"/>
    <x v="0"/>
    <x v="0"/>
    <x v="0"/>
    <x v="0"/>
    <x v="2"/>
    <x v="2"/>
    <n v="19923"/>
    <s v="860047239"/>
    <s v="MUSICAR S.A.S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CUENTA DE DIVIDENDOS AÑO 2018"/>
    <n v="109"/>
    <n v="0"/>
    <n v="109"/>
    <x v="0"/>
    <x v="0"/>
    <x v="0"/>
    <n v="109"/>
    <n v="0"/>
    <n v="109"/>
    <x v="0"/>
    <x v="0"/>
    <x v="0"/>
    <n v="109"/>
    <n v="0"/>
    <n v="109"/>
    <x v="0"/>
    <x v="0"/>
    <x v="0"/>
    <x v="0"/>
    <x v="0"/>
  </r>
  <r>
    <x v="7"/>
    <x v="0"/>
    <x v="0"/>
    <x v="0"/>
    <x v="0"/>
    <x v="2"/>
    <x v="2"/>
    <n v="19936"/>
    <s v="860047239"/>
    <s v="MUSICAR S.A.S"/>
    <s v="201904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MARZO-2019"/>
    <n v="161.6"/>
    <n v="0"/>
    <n v="161.6"/>
    <x v="0"/>
    <x v="0"/>
    <x v="0"/>
    <n v="161.6"/>
    <n v="0"/>
    <n v="161.6"/>
    <x v="0"/>
    <x v="0"/>
    <x v="0"/>
    <n v="161.6"/>
    <n v="0"/>
    <n v="161.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7191.9"/>
    <n v="0"/>
    <n v="7191.9000000000005"/>
    <x v="0"/>
    <x v="0"/>
    <x v="0"/>
    <n v="7191.9"/>
    <n v="0"/>
    <n v="7191.9000000000005"/>
    <x v="0"/>
    <x v="0"/>
    <x v="0"/>
    <n v="7191.9"/>
    <n v="0"/>
    <n v="7191.900000000000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06142312021030"/>
    <s v="MUSICAR EL SALVADOR S.A DE CV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796235"/>
    <n v="0"/>
    <n v="796235"/>
    <x v="0"/>
    <x v="0"/>
    <x v="0"/>
    <n v="796235"/>
    <n v="0"/>
    <n v="796235"/>
    <x v="0"/>
    <x v="0"/>
    <x v="0"/>
    <n v="796235"/>
    <n v="0"/>
    <n v="796235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3130"/>
    <n v="0"/>
    <n v="3130"/>
    <x v="0"/>
    <x v="0"/>
    <x v="0"/>
    <n v="3130"/>
    <n v="0"/>
    <n v="3130"/>
    <x v="0"/>
    <x v="0"/>
    <x v="0"/>
    <n v="3130"/>
    <n v="0"/>
    <n v="313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349.99"/>
    <n v="0"/>
    <n v="3349.9900000000002"/>
    <x v="0"/>
    <x v="0"/>
    <x v="0"/>
    <n v="3349.99"/>
    <n v="0"/>
    <n v="3349.9900000000002"/>
    <x v="0"/>
    <x v="0"/>
    <x v="0"/>
    <n v="3349.99"/>
    <n v="0"/>
    <n v="3349.9900000000002"/>
    <x v="0"/>
    <x v="0"/>
    <x v="0"/>
    <x v="0"/>
    <x v="0"/>
  </r>
  <r>
    <x v="3"/>
    <x v="0"/>
    <x v="0"/>
    <x v="3"/>
    <x v="3"/>
    <x v="4"/>
    <x v="4"/>
    <n v="145"/>
    <s v="1128280824"/>
    <s v="OSORIO SANCHEZ WILSON DARIO"/>
    <s v="201907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71595034"/>
    <s v="RIOS NARANJO MAR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ÓN DE 1%"/>
    <n v="3200"/>
    <n v="0"/>
    <n v="3200"/>
    <x v="0"/>
    <x v="0"/>
    <x v="0"/>
    <n v="3200"/>
    <n v="0"/>
    <n v="3200"/>
    <x v="0"/>
    <x v="0"/>
    <x v="0"/>
    <n v="3200"/>
    <n v="0"/>
    <n v="3200"/>
    <x v="0"/>
    <x v="0"/>
    <x v="0"/>
    <x v="0"/>
    <x v="0"/>
  </r>
  <r>
    <x v="4"/>
    <x v="0"/>
    <x v="0"/>
    <x v="0"/>
    <x v="0"/>
    <x v="3"/>
    <x v="3"/>
    <n v="349"/>
    <s v="1118283794"/>
    <s v="ROMERO SERNA LEIDY CATALINA"/>
    <s v="20190808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1118283794"/>
    <s v="ROMERO SERNA LEIDY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ENCION RENTA"/>
    <n v="93600"/>
    <n v="0"/>
    <n v="93600"/>
    <x v="0"/>
    <x v="0"/>
    <x v="0"/>
    <n v="93600"/>
    <n v="0"/>
    <n v="93600"/>
    <x v="0"/>
    <x v="0"/>
    <x v="0"/>
    <n v="93600"/>
    <n v="0"/>
    <n v="93600"/>
    <x v="0"/>
    <x v="0"/>
    <x v="0"/>
    <x v="0"/>
    <x v="0"/>
  </r>
  <r>
    <x v="4"/>
    <x v="0"/>
    <x v="0"/>
    <x v="3"/>
    <x v="3"/>
    <x v="3"/>
    <x v="3"/>
    <n v="167"/>
    <s v="71590620"/>
    <s v="RINCON CARO ODILIO DE JESUS"/>
    <s v="20190822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3"/>
    <x v="3"/>
    <x v="0"/>
    <x v="0"/>
    <x v="0"/>
    <x v="0"/>
    <s v="1037265346"/>
    <s v="RUIZ MORALES JUAN GUILLER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ÓN ANTICIPO LEVANTAMIENTO DE Y DIBUJO DE REDES C.C. AVENTURA"/>
    <n v="18000"/>
    <n v="0"/>
    <n v="18000"/>
    <x v="0"/>
    <x v="0"/>
    <x v="0"/>
    <n v="18000"/>
    <n v="0"/>
    <n v="18000"/>
    <x v="0"/>
    <x v="0"/>
    <x v="0"/>
    <n v="18000"/>
    <n v="0"/>
    <n v="180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032471"/>
    <s v="ARDILA CORTES NATHA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42140339"/>
    <s v="LILI JOHANA RUIZ GRAJ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900576027"/>
    <s v="LOMA LIND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144142603"/>
    <s v="MINA PEREZ Y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30400"/>
    <n v="0"/>
    <n v="30400"/>
    <x v="0"/>
    <x v="0"/>
    <x v="0"/>
    <n v="30400"/>
    <n v="0"/>
    <n v="30400"/>
    <x v="0"/>
    <x v="0"/>
    <x v="0"/>
    <n v="30400"/>
    <n v="0"/>
    <n v="3040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142334"/>
    <s v="PACHAMAMA HOTEL SP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25650"/>
    <n v="0"/>
    <n v="25650"/>
    <x v="0"/>
    <x v="0"/>
    <x v="0"/>
    <n v="25650"/>
    <n v="0"/>
    <n v="25650"/>
    <x v="0"/>
    <x v="0"/>
    <x v="0"/>
    <n v="25650"/>
    <n v="0"/>
    <n v="25650"/>
    <x v="0"/>
    <x v="0"/>
    <x v="0"/>
    <x v="0"/>
    <x v="0"/>
  </r>
  <r>
    <x v="4"/>
    <x v="0"/>
    <x v="0"/>
    <x v="0"/>
    <x v="0"/>
    <x v="2"/>
    <x v="2"/>
    <n v="20716"/>
    <s v="1088032471"/>
    <s v="ARDILA CORTES NATHALIA"/>
    <s v="20190831"/>
    <x v="9"/>
    <x v="0"/>
    <x v="9"/>
    <x v="0"/>
    <x v="0"/>
    <x v="0"/>
    <x v="0"/>
    <x v="0"/>
    <x v="0"/>
    <x v="0"/>
    <x v="5"/>
    <x v="5"/>
    <x v="9"/>
    <x v="9"/>
    <x v="9"/>
    <x v="9"/>
    <x v="9"/>
    <x v="9"/>
    <x v="9"/>
    <x v="9"/>
    <x v="6"/>
    <x v="6"/>
    <x v="0"/>
    <x v="0"/>
    <x v="0"/>
    <x v="0"/>
    <s v="1088238756"/>
    <s v="ROMAN PERDOMO MONICA JULI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ón de IVA generado S/FVA-367636, FVA-367720, FVA-367642,FVA-367659,FVA-365863, FVA-367652, FVA-367641 las cuales por error no se les facturó IVA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1"/>
    <x v="0"/>
    <x v="0"/>
    <x v="0"/>
    <x v="0"/>
    <x v="2"/>
    <x v="2"/>
    <n v="19682"/>
    <s v="890102018"/>
    <s v="MUNICIPIO DE BARRANQUILLA"/>
    <s v="201902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102018"/>
    <s v="MUNICIPIO DE BARRANQUILL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RRECION DEC 2016 BARRAQUILLA"/>
    <n v="392000"/>
    <n v="0"/>
    <n v="392000"/>
    <x v="0"/>
    <x v="0"/>
    <x v="0"/>
    <n v="392000"/>
    <n v="0"/>
    <n v="392000"/>
    <x v="0"/>
    <x v="0"/>
    <x v="0"/>
    <n v="392000"/>
    <n v="0"/>
    <n v="392000"/>
    <x v="0"/>
    <x v="0"/>
    <x v="0"/>
    <x v="0"/>
    <x v="0"/>
  </r>
  <r>
    <x v="6"/>
    <x v="0"/>
    <x v="0"/>
    <x v="0"/>
    <x v="0"/>
    <x v="2"/>
    <x v="2"/>
    <n v="20251"/>
    <s v="890905211"/>
    <s v="MUNICIPIO DE MEDELLIN - SECRETARIA DE MOVILIDAD"/>
    <s v="20190531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 PAGO IND Y CIO MEDELLIN - ABRIL Y MAYO 2019"/>
    <n v="26828"/>
    <n v="0"/>
    <n v="26828"/>
    <x v="0"/>
    <x v="0"/>
    <x v="0"/>
    <n v="26828"/>
    <n v="0"/>
    <n v="26828"/>
    <x v="0"/>
    <x v="0"/>
    <x v="0"/>
    <n v="26828"/>
    <n v="0"/>
    <n v="26828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EGALIZACION AE-229 PAGO SANCION EXTEMPORANEIDAD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2"/>
    <x v="0"/>
    <x v="0"/>
    <x v="4"/>
    <x v="4"/>
    <x v="3"/>
    <x v="3"/>
    <n v="229"/>
    <s v="1098657994"/>
    <s v="HERNANDEZ ROJAS JOHN EDISON"/>
    <s v="20190613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1"/>
    <x v="1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NDUSTRIA Y COMERCIO MES DE MARZO REGIONAL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4"/>
    <x v="0"/>
    <x v="0"/>
    <x v="4"/>
    <x v="4"/>
    <x v="3"/>
    <x v="3"/>
    <n v="232"/>
    <s v="1098657994"/>
    <s v="HERNANDEZ ROJAS JOHN EDISON"/>
    <s v="20190816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1"/>
    <x v="1"/>
    <x v="1"/>
    <x v="1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NCION EXTEMPORANEIDAD IMPUESTO INDUSTRIA Y COMERCIO BUCARAMANGA"/>
    <n v="171000"/>
    <n v="0"/>
    <n v="171000"/>
    <x v="0"/>
    <x v="0"/>
    <x v="0"/>
    <n v="171000"/>
    <n v="0"/>
    <n v="171000"/>
    <x v="0"/>
    <x v="0"/>
    <x v="0"/>
    <n v="171000"/>
    <n v="0"/>
    <n v="171000"/>
    <x v="0"/>
    <x v="0"/>
    <x v="0"/>
    <x v="0"/>
    <x v="0"/>
  </r>
  <r>
    <x v="0"/>
    <x v="0"/>
    <x v="0"/>
    <x v="2"/>
    <x v="2"/>
    <x v="9"/>
    <x v="9"/>
    <n v="1446"/>
    <s v="860049609"/>
    <s v="MILSEN S.A.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ANUAL $679.874"/>
    <n v="679874"/>
    <n v="0"/>
    <n v="679874"/>
    <x v="0"/>
    <x v="0"/>
    <x v="0"/>
    <n v="679874"/>
    <n v="0"/>
    <n v="679874"/>
    <x v="0"/>
    <x v="0"/>
    <x v="0"/>
    <n v="679874"/>
    <n v="0"/>
    <n v="679874"/>
    <x v="0"/>
    <x v="0"/>
    <x v="0"/>
    <x v="0"/>
    <x v="0"/>
  </r>
  <r>
    <x v="0"/>
    <x v="0"/>
    <x v="0"/>
    <x v="5"/>
    <x v="5"/>
    <x v="1"/>
    <x v="1"/>
    <n v="45487"/>
    <s v="800047266"/>
    <s v="QUIMICA COLOMBIANA LTDA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7266"/>
    <s v="QUIMICA COLOMBIA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766"/>
    <n v="0"/>
    <n v="1766"/>
    <x v="0"/>
    <x v="0"/>
    <x v="0"/>
    <n v="1766"/>
    <n v="0"/>
    <n v="1766"/>
    <x v="0"/>
    <x v="0"/>
    <x v="0"/>
    <n v="1766"/>
    <n v="0"/>
    <n v="1766"/>
    <x v="0"/>
    <x v="0"/>
    <x v="0"/>
    <x v="0"/>
    <x v="0"/>
  </r>
  <r>
    <x v="0"/>
    <x v="0"/>
    <x v="0"/>
    <x v="5"/>
    <x v="5"/>
    <x v="9"/>
    <x v="9"/>
    <n v="1198"/>
    <s v="805012610"/>
    <s v="FINES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62.778 En factura."/>
    <n v="62778"/>
    <n v="0"/>
    <n v="62778"/>
    <x v="0"/>
    <x v="0"/>
    <x v="0"/>
    <n v="62778"/>
    <n v="0"/>
    <n v="62778"/>
    <x v="0"/>
    <x v="0"/>
    <x v="0"/>
    <n v="62778"/>
    <n v="0"/>
    <n v="62778"/>
    <x v="0"/>
    <x v="0"/>
    <x v="0"/>
    <x v="0"/>
    <x v="0"/>
  </r>
  <r>
    <x v="0"/>
    <x v="0"/>
    <x v="0"/>
    <x v="5"/>
    <x v="5"/>
    <x v="1"/>
    <x v="1"/>
    <n v="45499"/>
    <s v="805009741"/>
    <s v="COOMEVA MEDICINA PREPAGADA S.A."/>
    <s v="201901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2"/>
    <x v="2"/>
    <x v="9"/>
    <x v="9"/>
    <n v="1449"/>
    <s v="860032450"/>
    <s v="POLLO FIESTA LTD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32450"/>
    <s v="POLLO FIESTA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4.5% POR SEMESTRE ANTICIPADO."/>
    <n v="30632"/>
    <n v="0"/>
    <n v="30632"/>
    <x v="0"/>
    <x v="0"/>
    <x v="0"/>
    <n v="30632"/>
    <n v="0"/>
    <n v="30632"/>
    <x v="0"/>
    <x v="0"/>
    <x v="0"/>
    <n v="30632"/>
    <n v="0"/>
    <n v="30632"/>
    <x v="0"/>
    <x v="0"/>
    <x v="0"/>
    <x v="0"/>
    <x v="0"/>
  </r>
  <r>
    <x v="0"/>
    <x v="0"/>
    <x v="0"/>
    <x v="6"/>
    <x v="6"/>
    <x v="9"/>
    <x v="9"/>
    <n v="1106"/>
    <s v="830073145"/>
    <s v="ADMINISTRADORA DE HOTELES NUEVA GRANADA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73145"/>
    <s v="ADMINISTRADORA DE HOTELES NUEVA GRAN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4 DESCUENTO  DE $ 23.579 POR PAGO ANTICIPADO"/>
    <n v="23579"/>
    <n v="0"/>
    <n v="23579"/>
    <x v="0"/>
    <x v="0"/>
    <x v="0"/>
    <n v="23579"/>
    <n v="0"/>
    <n v="23579"/>
    <x v="0"/>
    <x v="0"/>
    <x v="0"/>
    <n v="23579"/>
    <n v="0"/>
    <n v="23579"/>
    <x v="0"/>
    <x v="0"/>
    <x v="0"/>
    <x v="0"/>
    <x v="0"/>
  </r>
  <r>
    <x v="0"/>
    <x v="0"/>
    <x v="0"/>
    <x v="3"/>
    <x v="3"/>
    <x v="9"/>
    <x v="9"/>
    <n v="1079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8 - DCTO 9% AÑO ANTICIPADO $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3"/>
    <x v="3"/>
    <x v="9"/>
    <x v="9"/>
    <n v="1080"/>
    <s v="900163527"/>
    <s v="CENTRO COMERCIAL SAN NICOLAS PROPIEDAD HORIZONTAL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450 DCTO 9% PAGO ANTICIPADO 68920"/>
    <n v="68920"/>
    <n v="0"/>
    <n v="68920"/>
    <x v="0"/>
    <x v="0"/>
    <x v="0"/>
    <n v="68920"/>
    <n v="0"/>
    <n v="68920"/>
    <x v="0"/>
    <x v="0"/>
    <x v="0"/>
    <n v="68920"/>
    <n v="0"/>
    <n v="68920"/>
    <x v="0"/>
    <x v="0"/>
    <x v="0"/>
    <x v="0"/>
    <x v="0"/>
  </r>
  <r>
    <x v="0"/>
    <x v="0"/>
    <x v="0"/>
    <x v="1"/>
    <x v="1"/>
    <x v="1"/>
    <x v="1"/>
    <n v="23996"/>
    <s v="890102508"/>
    <s v="SALES INMOBILIARIA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6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642"/>
    <s v="800196652"/>
    <s v="INSTITUTO CARDIOVASCULAR Y DE ESTUDIOS ESPECIALE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96652"/>
    <s v="INSTITUTO CARDIOVASCULAR Y DE ESTUDIOS ESPECIAL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"/>
    <n v="228"/>
    <n v="0"/>
    <n v="228"/>
    <x v="0"/>
    <x v="0"/>
    <x v="0"/>
    <n v="228"/>
    <n v="0"/>
    <n v="228"/>
    <x v="0"/>
    <x v="0"/>
    <x v="0"/>
    <n v="228"/>
    <n v="0"/>
    <n v="228"/>
    <x v="0"/>
    <x v="0"/>
    <x v="0"/>
    <x v="0"/>
    <x v="0"/>
  </r>
  <r>
    <x v="0"/>
    <x v="0"/>
    <x v="0"/>
    <x v="5"/>
    <x v="5"/>
    <x v="1"/>
    <x v="1"/>
    <n v="45647"/>
    <s v="890901218"/>
    <s v="TIENDAS DE ROPA INTIMA S.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1218"/>
    <s v="TIENDAS DE ROPA INTIM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3"/>
    <x v="3"/>
    <x v="1"/>
    <x v="1"/>
    <n v="37092"/>
    <s v="890900943"/>
    <s v="COLOMBIANA DE COMERCIO S.A. Y/O ALKOSTO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943"/>
    <s v="COLOMBIANA DE COMERCIO S.A. Y/O ALKOSTO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200"/>
    <n v="1239"/>
    <n v="0"/>
    <n v="1239"/>
    <x v="0"/>
    <x v="0"/>
    <x v="0"/>
    <n v="1239"/>
    <n v="0"/>
    <n v="1239"/>
    <x v="0"/>
    <x v="0"/>
    <x v="0"/>
    <n v="1239"/>
    <n v="0"/>
    <n v="1239"/>
    <x v="0"/>
    <x v="0"/>
    <x v="0"/>
    <x v="0"/>
    <x v="0"/>
  </r>
  <r>
    <x v="1"/>
    <x v="0"/>
    <x v="0"/>
    <x v="5"/>
    <x v="5"/>
    <x v="1"/>
    <x v="1"/>
    <n v="45693"/>
    <s v="860046201"/>
    <s v="FORTOX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1"/>
    <x v="0"/>
    <x v="0"/>
    <x v="5"/>
    <x v="5"/>
    <x v="1"/>
    <x v="1"/>
    <n v="45694"/>
    <s v="860037900"/>
    <s v="CONSTRUCTORA  BOLIVAR  CALI S.A"/>
    <s v="201902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5"/>
    <x v="5"/>
    <x v="9"/>
    <x v="9"/>
    <n v="1226"/>
    <s v="890300513"/>
    <s v="CLINICA DE OCCIDENTE S.A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513"/>
    <s v="CLINICA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del 2.25 %trimestre anticipado.$13.570."/>
    <n v="13570"/>
    <n v="0"/>
    <n v="13570"/>
    <x v="0"/>
    <x v="0"/>
    <x v="0"/>
    <n v="13570"/>
    <n v="0"/>
    <n v="13570"/>
    <x v="0"/>
    <x v="0"/>
    <x v="0"/>
    <n v="13570"/>
    <n v="0"/>
    <n v="13570"/>
    <x v="0"/>
    <x v="0"/>
    <x v="0"/>
    <x v="0"/>
    <x v="0"/>
  </r>
  <r>
    <x v="1"/>
    <x v="0"/>
    <x v="0"/>
    <x v="2"/>
    <x v="2"/>
    <x v="9"/>
    <x v="9"/>
    <n v="1463"/>
    <s v="800076770"/>
    <s v="CORRIENTE ALTERNA LTDA"/>
    <s v="201902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76770"/>
    <s v="CORRIENTE ALTERN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4.5 % POR PAGO DE SEMESTRE ANTICIPADO."/>
    <n v="49881"/>
    <n v="0"/>
    <n v="49881"/>
    <x v="0"/>
    <x v="0"/>
    <x v="0"/>
    <n v="49881"/>
    <n v="0"/>
    <n v="49881"/>
    <x v="0"/>
    <x v="0"/>
    <x v="0"/>
    <n v="49881"/>
    <n v="0"/>
    <n v="49881"/>
    <x v="0"/>
    <x v="0"/>
    <x v="0"/>
    <x v="0"/>
    <x v="0"/>
  </r>
  <r>
    <x v="1"/>
    <x v="0"/>
    <x v="0"/>
    <x v="5"/>
    <x v="5"/>
    <x v="1"/>
    <x v="1"/>
    <n v="45940"/>
    <s v="805009741"/>
    <s v="COOMEVA MEDICINA PREPAGADA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OMEV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5"/>
    <x v="5"/>
    <x v="1"/>
    <x v="1"/>
    <n v="45926"/>
    <s v="890304375"/>
    <s v="INDUGRAFICAS S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1"/>
    <x v="0"/>
    <x v="0"/>
    <x v="5"/>
    <x v="5"/>
    <x v="9"/>
    <x v="9"/>
    <n v="1235"/>
    <s v="890315430"/>
    <s v="AGRICOLA COLOMBIANA S.A.-AGRICOL S.A.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5430"/>
    <s v="AGRICOLA COLOMBIANA S.A.-AGRI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DESCUENTO $32.944, RETEIVA $20.865"/>
    <n v="32944"/>
    <n v="0"/>
    <n v="32944"/>
    <x v="0"/>
    <x v="0"/>
    <x v="0"/>
    <n v="32944"/>
    <n v="0"/>
    <n v="32944"/>
    <x v="0"/>
    <x v="0"/>
    <x v="0"/>
    <n v="32944"/>
    <n v="0"/>
    <n v="32944"/>
    <x v="0"/>
    <x v="0"/>
    <x v="0"/>
    <x v="0"/>
    <x v="0"/>
  </r>
  <r>
    <x v="0"/>
    <x v="0"/>
    <x v="0"/>
    <x v="3"/>
    <x v="3"/>
    <x v="1"/>
    <x v="1"/>
    <n v="37029"/>
    <s v="800032634"/>
    <s v="CENTRO COMERCIAL METRO CENTRO 1"/>
    <s v="201901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00032634"/>
    <s v="CENTRO COMERCIAL METRO CENTRO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4941"/>
    <n v="13120"/>
    <n v="0"/>
    <n v="13120"/>
    <x v="0"/>
    <x v="0"/>
    <x v="0"/>
    <n v="13120"/>
    <n v="0"/>
    <n v="13120"/>
    <x v="0"/>
    <x v="0"/>
    <x v="0"/>
    <n v="13120"/>
    <n v="0"/>
    <n v="13120"/>
    <x v="0"/>
    <x v="0"/>
    <x v="0"/>
    <x v="0"/>
    <x v="0"/>
  </r>
  <r>
    <x v="5"/>
    <x v="0"/>
    <x v="0"/>
    <x v="3"/>
    <x v="3"/>
    <x v="1"/>
    <x v="1"/>
    <n v="37258"/>
    <s v="811007125"/>
    <s v="RIO ASEO TOTAL"/>
    <s v="20190305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540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2"/>
    <x v="0"/>
    <x v="0"/>
    <x v="0"/>
    <x v="0"/>
    <x v="0"/>
    <x v="0"/>
    <n v="4316"/>
    <s v="900138858"/>
    <s v="BRECCIA SALUD S.A.S."/>
    <s v="20190619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900138858"/>
    <s v="BRECCIA SALUD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FUENTE"/>
    <n v="57233"/>
    <n v="0"/>
    <n v="57233"/>
    <x v="0"/>
    <x v="0"/>
    <x v="0"/>
    <n v="57233"/>
    <n v="0"/>
    <n v="57233"/>
    <x v="0"/>
    <x v="0"/>
    <x v="0"/>
    <n v="57233"/>
    <n v="0"/>
    <n v="57233"/>
    <x v="0"/>
    <x v="0"/>
    <x v="0"/>
    <x v="0"/>
    <x v="0"/>
  </r>
  <r>
    <x v="3"/>
    <x v="0"/>
    <x v="0"/>
    <x v="0"/>
    <x v="0"/>
    <x v="0"/>
    <x v="0"/>
    <n v="4342"/>
    <s v="900699086"/>
    <s v="CLINICA PALMA REAL S.A.S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3"/>
    <x v="0"/>
    <x v="0"/>
    <x v="0"/>
    <x v="0"/>
    <x v="2"/>
    <x v="2"/>
    <n v="20538"/>
    <s v="890905211"/>
    <s v="MUNICIPIO DE MEDELLIN - SECRETARIA DE MOVILIDAD"/>
    <s v="20190730"/>
    <x v="13"/>
    <x v="0"/>
    <x v="13"/>
    <x v="0"/>
    <x v="0"/>
    <x v="0"/>
    <x v="0"/>
    <x v="0"/>
    <x v="2"/>
    <x v="2"/>
    <x v="7"/>
    <x v="7"/>
    <x v="13"/>
    <x v="13"/>
    <x v="13"/>
    <x v="13"/>
    <x v="13"/>
    <x v="13"/>
    <x v="13"/>
    <x v="13"/>
    <x v="1"/>
    <x v="1"/>
    <x v="1"/>
    <x v="1"/>
    <x v="1"/>
    <x v="1"/>
    <s v="890905211"/>
    <s v="MUNICIPIO DE MEDELLIN - SECRETARIA DE MOVILI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MPUESTOS CO 464 ( JUNIO/JULIO) 2019"/>
    <n v="26801"/>
    <n v="0"/>
    <n v="26801"/>
    <x v="0"/>
    <x v="0"/>
    <x v="0"/>
    <n v="26801"/>
    <n v="0"/>
    <n v="26801"/>
    <x v="0"/>
    <x v="0"/>
    <x v="0"/>
    <n v="26801"/>
    <n v="0"/>
    <n v="268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5"/>
    <x v="0"/>
    <x v="0"/>
    <x v="3"/>
    <x v="3"/>
    <x v="7"/>
    <x v="7"/>
    <n v="3485"/>
    <s v="890903407"/>
    <s v="SEGUROS GENERALES SURAMERICANA S.A"/>
    <s v="20190318"/>
    <x v="6"/>
    <x v="0"/>
    <x v="6"/>
    <x v="0"/>
    <x v="0"/>
    <x v="0"/>
    <x v="0"/>
    <x v="0"/>
    <x v="0"/>
    <x v="0"/>
    <x v="6"/>
    <x v="6"/>
    <x v="6"/>
    <x v="6"/>
    <x v="6"/>
    <x v="6"/>
    <x v="6"/>
    <x v="6"/>
    <x v="6"/>
    <x v="6"/>
    <x v="3"/>
    <x v="3"/>
    <x v="0"/>
    <x v="0"/>
    <x v="1"/>
    <x v="1"/>
    <s v="890903407"/>
    <s v="SEGUROS GENERALES SURAMERICAN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LIZA CUMPLIMIENTO - ESE HOSPITAL MENTAL DE ANTIOQUI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4"/>
    <s v="1143441764"/>
    <s v="RODRIGUEZ PADILLA GIOVANNI ENRIQUE"/>
    <s v="2019031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520"/>
    <n v="-520"/>
    <x v="0"/>
    <x v="0"/>
    <x v="0"/>
    <n v="0"/>
    <n v="520"/>
    <n v="-520"/>
    <x v="0"/>
    <x v="0"/>
    <x v="0"/>
    <n v="0"/>
    <n v="520"/>
    <n v="-520"/>
    <x v="0"/>
    <x v="0"/>
    <x v="0"/>
    <x v="0"/>
    <x v="0"/>
  </r>
  <r>
    <x v="0"/>
    <x v="0"/>
    <x v="0"/>
    <x v="0"/>
    <x v="0"/>
    <x v="2"/>
    <x v="2"/>
    <n v="19555"/>
    <s v="830053800"/>
    <s v="TELMEX COLOMBIA SA"/>
    <s v="2019012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0"/>
    <x v="0"/>
    <x v="2"/>
    <x v="2"/>
    <n v="19560"/>
    <s v="830122566"/>
    <s v="COLOMBIA TELECOMUNICACIONES S.A.-ESP"/>
    <s v="201901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S SERVICIOS PUBLICOS Y TEL VARIOS C.O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2"/>
    <x v="2"/>
    <n v="19732"/>
    <s v="890399003"/>
    <s v="EMPRESAS MUNICIPALES DE CALI E.I.C.E.  E.S.P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SERVICIOS PUBLICOS DIR NAL Y CO CALI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828"/>
    <s v="890904996"/>
    <s v="EMPRESAS PUBLICAS DE MEDELLIN ESP"/>
    <s v="2019030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4996"/>
    <s v="EMPRESAS PUBLICAS DE MEDELLIN 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SERVICIOS  CO 464-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4"/>
    <x v="4"/>
    <n v="642"/>
    <s v="72187626"/>
    <s v="ULLOA ORTEGA LUIS FERNANDO"/>
    <s v="20190314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368"/>
    <n v="-368"/>
    <x v="0"/>
    <x v="0"/>
    <x v="0"/>
    <n v="0"/>
    <n v="368"/>
    <n v="-368"/>
    <x v="0"/>
    <x v="0"/>
    <x v="0"/>
    <n v="0"/>
    <n v="368"/>
    <n v="-368"/>
    <x v="0"/>
    <x v="0"/>
    <x v="0"/>
    <x v="0"/>
    <x v="0"/>
  </r>
  <r>
    <x v="5"/>
    <x v="0"/>
    <x v="0"/>
    <x v="1"/>
    <x v="1"/>
    <x v="4"/>
    <x v="4"/>
    <n v="647"/>
    <s v="8763635"/>
    <s v="MOLINA PACHECO LUIS EDUARDO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26"/>
    <n v="0"/>
    <n v="26"/>
    <x v="0"/>
    <x v="0"/>
    <x v="0"/>
    <n v="26"/>
    <n v="0"/>
    <n v="26"/>
    <x v="0"/>
    <x v="0"/>
    <x v="0"/>
    <n v="26"/>
    <n v="0"/>
    <n v="26"/>
    <x v="0"/>
    <x v="0"/>
    <x v="0"/>
    <x v="0"/>
    <x v="0"/>
  </r>
  <r>
    <x v="7"/>
    <x v="0"/>
    <x v="0"/>
    <x v="1"/>
    <x v="1"/>
    <x v="4"/>
    <x v="4"/>
    <n v="649"/>
    <s v="1143441764"/>
    <s v="RODRIGUEZ PADILLA GIOVANNI ENRIQUE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670"/>
    <n v="0"/>
    <n v="670"/>
    <x v="0"/>
    <x v="0"/>
    <x v="0"/>
    <n v="670"/>
    <n v="0"/>
    <n v="670"/>
    <x v="0"/>
    <x v="0"/>
    <x v="0"/>
    <n v="670"/>
    <n v="0"/>
    <n v="670"/>
    <x v="0"/>
    <x v="0"/>
    <x v="0"/>
    <x v="0"/>
    <x v="0"/>
  </r>
  <r>
    <x v="7"/>
    <x v="0"/>
    <x v="0"/>
    <x v="1"/>
    <x v="1"/>
    <x v="4"/>
    <x v="4"/>
    <n v="648"/>
    <s v="72187626"/>
    <s v="ULLOA ORTEGA LUIS FERNANDO"/>
    <s v="20190412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2"/>
    <x v="2"/>
    <x v="0"/>
    <x v="0"/>
    <x v="0"/>
    <x v="0"/>
    <s v="72187626"/>
    <s v="ULLOA ORTEGA LUIS FERNAN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914"/>
    <n v="-914"/>
    <x v="0"/>
    <x v="0"/>
    <x v="0"/>
    <n v="0"/>
    <n v="914"/>
    <n v="-914"/>
    <x v="0"/>
    <x v="0"/>
    <x v="0"/>
    <n v="0"/>
    <n v="914"/>
    <n v="-914"/>
    <x v="0"/>
    <x v="0"/>
    <x v="0"/>
    <x v="0"/>
    <x v="0"/>
  </r>
  <r>
    <x v="7"/>
    <x v="0"/>
    <x v="0"/>
    <x v="0"/>
    <x v="0"/>
    <x v="2"/>
    <x v="2"/>
    <n v="20056"/>
    <s v="890399003"/>
    <s v="EMPRESAS MUNICIPALES DE CALI E.I.C.E.  E.S.P."/>
    <s v="201904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146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RETENCION EN LA FUENTE MES DE ABRIL-2019."/>
    <n v="467.95"/>
    <n v="0"/>
    <n v="467.95"/>
    <x v="0"/>
    <x v="0"/>
    <x v="0"/>
    <n v="467.95"/>
    <n v="0"/>
    <n v="467.95"/>
    <x v="0"/>
    <x v="0"/>
    <x v="0"/>
    <n v="467.95"/>
    <n v="0"/>
    <n v="467.95"/>
    <x v="0"/>
    <x v="0"/>
    <x v="0"/>
    <x v="0"/>
    <x v="0"/>
  </r>
  <r>
    <x v="6"/>
    <x v="0"/>
    <x v="0"/>
    <x v="0"/>
    <x v="0"/>
    <x v="2"/>
    <x v="2"/>
    <n v="20153"/>
    <s v="800197368"/>
    <s v="DIRECCION DE IMPUESTOS Y ADUANAS NACIONALES"/>
    <s v="2019050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DIAN"/>
    <s v="DIAN PAG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VA IIBIMESTRE ABRIL-2019"/>
    <n v="152.61000000000001"/>
    <n v="0"/>
    <n v="152.61000000000001"/>
    <x v="0"/>
    <x v="0"/>
    <x v="0"/>
    <n v="152.61000000000001"/>
    <n v="0"/>
    <n v="152.61000000000001"/>
    <x v="0"/>
    <x v="0"/>
    <x v="0"/>
    <n v="152.61000000000001"/>
    <n v="0"/>
    <n v="152.61000000000001"/>
    <x v="0"/>
    <x v="0"/>
    <x v="0"/>
    <x v="0"/>
    <x v="0"/>
  </r>
  <r>
    <x v="6"/>
    <x v="0"/>
    <x v="0"/>
    <x v="1"/>
    <x v="1"/>
    <x v="4"/>
    <x v="4"/>
    <n v="653"/>
    <s v="72187626"/>
    <s v="ULLOA ORTEGA LUIS FERNANDO"/>
    <s v="2019050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0"/>
    <x v="0"/>
    <s v="995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AL PESO"/>
    <n v="0"/>
    <n v="774"/>
    <n v="-774"/>
    <x v="0"/>
    <x v="0"/>
    <x v="0"/>
    <n v="0"/>
    <n v="774"/>
    <n v="-774"/>
    <x v="0"/>
    <x v="0"/>
    <x v="0"/>
    <n v="0"/>
    <n v="774"/>
    <n v="-774"/>
    <x v="0"/>
    <x v="0"/>
    <x v="0"/>
    <x v="0"/>
    <x v="0"/>
  </r>
  <r>
    <x v="6"/>
    <x v="0"/>
    <x v="0"/>
    <x v="0"/>
    <x v="0"/>
    <x v="2"/>
    <x v="2"/>
    <n v="20223"/>
    <s v="830053800"/>
    <s v="TELMEX COLOMBIA SA"/>
    <s v="201905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053800"/>
    <s v="TELMEX COLOMBIA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ELMEX - SERVICIO CO BOGOTA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42"/>
    <s v="860007660"/>
    <s v="HELM BANK S.A.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4225"/>
    <n v="0.12"/>
    <n v="0"/>
    <n v="0.12"/>
    <x v="0"/>
    <x v="0"/>
    <x v="0"/>
    <n v="0.12"/>
    <n v="0"/>
    <n v="0.12"/>
    <x v="0"/>
    <x v="0"/>
    <x v="0"/>
    <n v="0.12"/>
    <n v="0"/>
    <n v="0.12"/>
    <x v="0"/>
    <x v="0"/>
    <x v="0"/>
    <x v="0"/>
    <x v="0"/>
  </r>
  <r>
    <x v="2"/>
    <x v="0"/>
    <x v="0"/>
    <x v="0"/>
    <x v="0"/>
    <x v="2"/>
    <x v="2"/>
    <n v="20346"/>
    <s v="800153993"/>
    <s v="COMUNICACIONES CELULAR S A  COMCEL S A"/>
    <s v="20190625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MEX - CO 462 / INGENIERIA-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2"/>
    <x v="2"/>
    <n v="20366"/>
    <s v="72136462"/>
    <s v="GARIZABALO MONTES RAFAEL ANGEL"/>
    <s v="201906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72136462"/>
    <s v="GARIZABALO MONTES RAFAEL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AJUSTE A NOMINA MES ABRIL-2019"/>
    <n v="25038"/>
    <n v="0"/>
    <n v="25038"/>
    <x v="0"/>
    <x v="0"/>
    <x v="0"/>
    <n v="25038"/>
    <n v="0"/>
    <n v="25038"/>
    <x v="0"/>
    <x v="0"/>
    <x v="0"/>
    <n v="25038"/>
    <n v="0"/>
    <n v="25038"/>
    <x v="0"/>
    <x v="0"/>
    <x v="0"/>
    <x v="0"/>
    <x v="0"/>
  </r>
  <r>
    <x v="2"/>
    <x v="0"/>
    <x v="0"/>
    <x v="0"/>
    <x v="0"/>
    <x v="2"/>
    <x v="2"/>
    <n v="20379"/>
    <s v="890399003"/>
    <s v="EMPRESAS MUNICIPALES DE CALI E.I.C.E.  E.S.P."/>
    <s v="201906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CO 460 Y DIR NAL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39"/>
    <s v="800153993"/>
    <s v="COMUNICACIONES CELULAR S A  COMCEL S A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00153993"/>
    <s v="COMUNICACIONES CELULAR S A  COMCEL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TELMEX SERVICIO CO 462 Y SERVICIO DIR NAL INGENIERIA Y COPYS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47"/>
    <s v="830122566"/>
    <s v="COLOMBIA TELECOMUNICACIONES S.A.-ESP"/>
    <s v="20190730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S CO 465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57"/>
    <s v="890399003"/>
    <s v="EMPRESAS MUNICIPALES DE CALI E.I.C.E.  E.S.P.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PUBLICOS DIR NAL Y CO 460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2"/>
    <x v="2"/>
    <n v="20583"/>
    <s v="830114921"/>
    <s v="COLOMBIA MOVIL S.A. E S P"/>
    <s v="201907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14921"/>
    <s v="COLOMBIA MOVIL S.A. E S 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S LOCUTOR VIRTUAL CO 465"/>
    <n v="0"/>
    <n v="1"/>
    <n v="-1"/>
    <x v="0"/>
    <x v="0"/>
    <x v="0"/>
    <n v="0"/>
    <n v="1"/>
    <n v="-1"/>
    <x v="0"/>
    <x v="0"/>
    <x v="0"/>
    <n v="0"/>
    <n v="1"/>
    <n v="-1"/>
    <x v="0"/>
    <x v="0"/>
    <x v="0"/>
    <x v="0"/>
    <x v="0"/>
  </r>
  <r>
    <x v="1"/>
    <x v="0"/>
    <x v="0"/>
    <x v="0"/>
    <x v="0"/>
    <x v="2"/>
    <x v="2"/>
    <n v="19765"/>
    <s v="890903938"/>
    <s v="BANCOLOMBIA S.A."/>
    <s v="20190228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LEASING"/>
    <n v="299"/>
    <n v="0"/>
    <n v="299"/>
    <x v="0"/>
    <x v="0"/>
    <x v="0"/>
    <n v="299"/>
    <n v="0"/>
    <n v="299"/>
    <x v="0"/>
    <x v="0"/>
    <x v="0"/>
    <n v="299"/>
    <n v="0"/>
    <n v="299"/>
    <x v="0"/>
    <x v="0"/>
    <x v="0"/>
    <x v="0"/>
    <x v="0"/>
  </r>
  <r>
    <x v="5"/>
    <x v="0"/>
    <x v="0"/>
    <x v="0"/>
    <x v="0"/>
    <x v="2"/>
    <x v="2"/>
    <n v="19906"/>
    <s v="890201210"/>
    <s v="EMPRESA DE TELECOMUNICACIONES DE BUCARAMANGA S.A."/>
    <s v="201903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201210"/>
    <s v="EMPRESA DE TELECOMUNICACIONES DE BUCARAMANG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IO TELEFONICO CO 46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2"/>
    <x v="2"/>
    <n v="19917"/>
    <s v="890399003"/>
    <s v="EMPRESAS MUNICIPALES DE CALI E.I.C.E.  E.S.P."/>
    <s v="201903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90399003"/>
    <s v="EMPRESAS MUNICIPALES DE CALI E.I.C.E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EMCALI- PAGO DE FACTURAS DE SERVICIOS DIR NAL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0"/>
    <x v="0"/>
    <x v="2"/>
    <x v="2"/>
    <n v="20266"/>
    <s v="830122566"/>
    <s v="COLOMBIA TELECOMUNICACIONES S.A.-ESP"/>
    <s v="20190531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830122566"/>
    <s v="COLOMBIA TELECOMUNICACIONES S.A.-ES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MOVISTAR - LARGA DISTANCIA DIR NAL - MAYO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26521"/>
    <n v="0"/>
    <n v="26521"/>
    <x v="0"/>
    <x v="0"/>
    <x v="0"/>
    <n v="26521"/>
    <n v="0"/>
    <n v="26521"/>
    <x v="0"/>
    <x v="0"/>
    <x v="0"/>
    <n v="26521"/>
    <n v="0"/>
    <n v="26521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64"/>
    <n v="0"/>
    <n v="1164"/>
    <x v="0"/>
    <x v="0"/>
    <x v="0"/>
    <n v="1164"/>
    <n v="0"/>
    <n v="1164"/>
    <x v="0"/>
    <x v="0"/>
    <x v="0"/>
    <n v="1164"/>
    <n v="0"/>
    <n v="11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3650"/>
    <n v="0"/>
    <n v="3650"/>
    <x v="0"/>
    <x v="0"/>
    <x v="0"/>
    <n v="3650"/>
    <n v="0"/>
    <n v="3650"/>
    <x v="0"/>
    <x v="0"/>
    <x v="0"/>
    <n v="3650"/>
    <n v="0"/>
    <n v="365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3"/>
    <x v="0"/>
    <x v="3"/>
    <x v="0"/>
    <x v="0"/>
    <x v="0"/>
    <x v="0"/>
    <x v="0"/>
    <x v="2"/>
    <x v="2"/>
    <x v="3"/>
    <x v="3"/>
    <x v="3"/>
    <x v="3"/>
    <x v="3"/>
    <x v="3"/>
    <x v="3"/>
    <x v="3"/>
    <x v="3"/>
    <x v="3"/>
    <x v="0"/>
    <x v="0"/>
    <x v="0"/>
    <x v="0"/>
    <x v="0"/>
    <x v="0"/>
    <s v="411881957"/>
    <s v="SAJAN,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18220"/>
    <n v="0"/>
    <n v="118220"/>
    <x v="0"/>
    <x v="0"/>
    <x v="0"/>
    <n v="118220"/>
    <n v="0"/>
    <n v="118220"/>
    <x v="0"/>
    <x v="0"/>
    <x v="0"/>
    <n v="118220"/>
    <n v="0"/>
    <n v="118220"/>
    <x v="0"/>
    <x v="0"/>
    <x v="0"/>
    <x v="0"/>
    <x v="0"/>
  </r>
  <r>
    <x v="0"/>
    <x v="0"/>
    <x v="0"/>
    <x v="5"/>
    <x v="5"/>
    <x v="1"/>
    <x v="1"/>
    <n v="45417"/>
    <s v="860037900"/>
    <s v="CONSTRUCTORA  BOLIVAR  CALI S.A"/>
    <s v="201901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5549"/>
    <n v="0"/>
    <n v="5549"/>
    <x v="0"/>
    <x v="0"/>
    <x v="0"/>
    <n v="5549"/>
    <n v="0"/>
    <n v="5549"/>
    <x v="0"/>
    <x v="0"/>
    <x v="0"/>
    <n v="5549"/>
    <n v="0"/>
    <n v="5549"/>
    <x v="0"/>
    <x v="0"/>
    <x v="0"/>
    <x v="0"/>
    <x v="0"/>
  </r>
  <r>
    <x v="0"/>
    <x v="0"/>
    <x v="0"/>
    <x v="6"/>
    <x v="6"/>
    <x v="9"/>
    <x v="9"/>
    <n v="1100"/>
    <s v="800021913"/>
    <s v="G.GRAJALES AUTOSERVICIO S.A.S"/>
    <s v="201901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69 DESCUIENTO POR PAGO ANUAL ANTICIPADO DEL 9 % POR VALOR DE $ 108.180"/>
    <n v="108180"/>
    <n v="0"/>
    <n v="108180"/>
    <x v="0"/>
    <x v="0"/>
    <x v="0"/>
    <n v="108180"/>
    <n v="0"/>
    <n v="108180"/>
    <x v="0"/>
    <x v="0"/>
    <x v="0"/>
    <n v="108180"/>
    <n v="0"/>
    <n v="108180"/>
    <x v="0"/>
    <x v="0"/>
    <x v="0"/>
    <x v="0"/>
    <x v="0"/>
  </r>
  <r>
    <x v="0"/>
    <x v="0"/>
    <x v="0"/>
    <x v="5"/>
    <x v="5"/>
    <x v="1"/>
    <x v="1"/>
    <n v="45476"/>
    <s v="800054863"/>
    <s v="HEMISFERIO TOURS Y CIA LTD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588"/>
    <n v="0"/>
    <n v="9588"/>
    <x v="0"/>
    <x v="0"/>
    <x v="0"/>
    <n v="9588"/>
    <n v="0"/>
    <n v="9588"/>
    <x v="0"/>
    <x v="0"/>
    <x v="0"/>
    <n v="9588"/>
    <n v="0"/>
    <n v="9588"/>
    <x v="0"/>
    <x v="0"/>
    <x v="0"/>
    <x v="0"/>
    <x v="0"/>
  </r>
  <r>
    <x v="0"/>
    <x v="0"/>
    <x v="0"/>
    <x v="4"/>
    <x v="4"/>
    <x v="1"/>
    <x v="1"/>
    <n v="20063"/>
    <s v="800086042"/>
    <s v="INACAR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3879"/>
    <n v="6712"/>
    <n v="0"/>
    <n v="6712"/>
    <x v="0"/>
    <x v="0"/>
    <x v="0"/>
    <n v="6712"/>
    <n v="0"/>
    <n v="6712"/>
    <x v="0"/>
    <x v="0"/>
    <x v="0"/>
    <n v="6712"/>
    <n v="0"/>
    <n v="6712"/>
    <x v="0"/>
    <x v="0"/>
    <x v="0"/>
    <x v="0"/>
    <x v="0"/>
  </r>
  <r>
    <x v="0"/>
    <x v="0"/>
    <x v="0"/>
    <x v="1"/>
    <x v="1"/>
    <x v="1"/>
    <x v="1"/>
    <n v="23889"/>
    <s v="900205377"/>
    <s v="COMERCIALIZADORA AGROHIERROS S.A.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205377"/>
    <s v="COMERCIALIZADORA AGROHIERRO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5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1"/>
    <x v="1"/>
    <n v="45431"/>
    <s v="890300012"/>
    <s v="COLPOZOS 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0"/>
    <x v="0"/>
    <x v="0"/>
    <x v="5"/>
    <x v="5"/>
    <x v="1"/>
    <x v="1"/>
    <n v="45434"/>
    <s v="817001528"/>
    <s v="PAVCO DE OCCIDENTE SAS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0"/>
    <x v="0"/>
    <x v="0"/>
    <x v="5"/>
    <x v="5"/>
    <x v="1"/>
    <x v="1"/>
    <n v="45439"/>
    <s v="860046201"/>
    <s v="FORTOX S.A"/>
    <s v="201901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5"/>
    <x v="5"/>
    <x v="9"/>
    <x v="9"/>
    <n v="1197"/>
    <s v="830510909"/>
    <s v="RIVERCOL S.A.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SEMESTRE ANTICIPADO DESCUENTO 4.5 % $68.589"/>
    <n v="68589"/>
    <n v="0"/>
    <n v="68589"/>
    <x v="0"/>
    <x v="0"/>
    <x v="0"/>
    <n v="68589"/>
    <n v="0"/>
    <n v="68589"/>
    <x v="0"/>
    <x v="0"/>
    <x v="0"/>
    <n v="68589"/>
    <n v="0"/>
    <n v="68589"/>
    <x v="0"/>
    <x v="0"/>
    <x v="0"/>
    <x v="0"/>
    <x v="0"/>
  </r>
  <r>
    <x v="0"/>
    <x v="0"/>
    <x v="0"/>
    <x v="1"/>
    <x v="1"/>
    <x v="1"/>
    <x v="1"/>
    <n v="23919"/>
    <s v="802016130"/>
    <s v="CENTRO COMERCIAL BUENAVIST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5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0"/>
    <x v="0"/>
    <x v="0"/>
    <x v="1"/>
    <x v="1"/>
    <x v="1"/>
    <x v="1"/>
    <n v="23921"/>
    <s v="806012958"/>
    <s v="IPS SALUD DEL CARIBE S.A"/>
    <s v="201901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79 - FVA-354892 - FVA-354897 - FVA-35490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0"/>
    <x v="0"/>
    <x v="0"/>
    <x v="4"/>
    <x v="4"/>
    <x v="1"/>
    <x v="1"/>
    <n v="20111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2"/>
    <n v="1301"/>
    <n v="0"/>
    <n v="1301"/>
    <x v="0"/>
    <x v="0"/>
    <x v="0"/>
    <n v="1301"/>
    <n v="0"/>
    <n v="1301"/>
    <x v="0"/>
    <x v="0"/>
    <x v="0"/>
    <n v="1301"/>
    <n v="0"/>
    <n v="1301"/>
    <x v="0"/>
    <x v="0"/>
    <x v="0"/>
    <x v="0"/>
    <x v="0"/>
  </r>
  <r>
    <x v="0"/>
    <x v="0"/>
    <x v="0"/>
    <x v="4"/>
    <x v="4"/>
    <x v="1"/>
    <x v="1"/>
    <n v="20112"/>
    <s v="900418536"/>
    <s v="SUMAS CONSTRUCCIONES SA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418536"/>
    <s v="SUMAS CONSTRUCCIONE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2165"/>
    <n v="2082"/>
    <n v="0"/>
    <n v="2082"/>
    <x v="0"/>
    <x v="0"/>
    <x v="0"/>
    <n v="2082"/>
    <n v="0"/>
    <n v="2082"/>
    <x v="0"/>
    <x v="0"/>
    <x v="0"/>
    <n v="2082"/>
    <n v="0"/>
    <n v="2082"/>
    <x v="0"/>
    <x v="0"/>
    <x v="0"/>
    <x v="0"/>
    <x v="0"/>
  </r>
  <r>
    <x v="0"/>
    <x v="0"/>
    <x v="0"/>
    <x v="4"/>
    <x v="4"/>
    <x v="1"/>
    <x v="1"/>
    <n v="20113"/>
    <s v="899999068"/>
    <s v="ECOPETROL S.A.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9999068"/>
    <s v="ECOPETR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470"/>
    <n v="26716"/>
    <n v="0"/>
    <n v="26716"/>
    <x v="0"/>
    <x v="0"/>
    <x v="0"/>
    <n v="26716"/>
    <n v="0"/>
    <n v="26716"/>
    <x v="0"/>
    <x v="0"/>
    <x v="0"/>
    <n v="26716"/>
    <n v="0"/>
    <n v="26716"/>
    <x v="0"/>
    <x v="0"/>
    <x v="0"/>
    <x v="0"/>
    <x v="0"/>
  </r>
  <r>
    <x v="0"/>
    <x v="0"/>
    <x v="0"/>
    <x v="5"/>
    <x v="5"/>
    <x v="1"/>
    <x v="1"/>
    <n v="45522"/>
    <s v="900203566"/>
    <s v="ABASTECEMOS  DE OCCIDENTE S.A."/>
    <s v="201901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0"/>
    <x v="0"/>
    <x v="0"/>
    <x v="6"/>
    <x v="6"/>
    <x v="9"/>
    <x v="9"/>
    <n v="1107"/>
    <s v="900729995"/>
    <s v="HOTELES DEL OTUN SAS"/>
    <s v="201901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729995"/>
    <s v="HOTELES DEL OTUN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5636-565-570 DESCUENTO DEL 9% POR PAGO ANTICIPADO"/>
    <n v="337883"/>
    <n v="0"/>
    <n v="337883"/>
    <x v="0"/>
    <x v="0"/>
    <x v="0"/>
    <n v="337883"/>
    <n v="0"/>
    <n v="337883"/>
    <x v="0"/>
    <x v="0"/>
    <x v="0"/>
    <n v="337883"/>
    <n v="0"/>
    <n v="337883"/>
    <x v="0"/>
    <x v="0"/>
    <x v="0"/>
    <x v="0"/>
    <x v="0"/>
  </r>
  <r>
    <x v="0"/>
    <x v="0"/>
    <x v="0"/>
    <x v="1"/>
    <x v="1"/>
    <x v="1"/>
    <x v="1"/>
    <n v="23992"/>
    <s v="32757237"/>
    <s v="MEDINA OLIVEROS FARATH DIVA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2472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0"/>
    <x v="0"/>
    <x v="0"/>
    <x v="4"/>
    <x v="4"/>
    <x v="1"/>
    <x v="1"/>
    <n v="20144"/>
    <s v="890201881"/>
    <s v="AVIDESA MAC POLLO S.A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881"/>
    <s v="AVIDESA MAC POLL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0"/>
    <n v="1790"/>
    <n v="0"/>
    <n v="1790"/>
    <x v="0"/>
    <x v="0"/>
    <x v="0"/>
    <n v="1790"/>
    <n v="0"/>
    <n v="1790"/>
    <x v="0"/>
    <x v="0"/>
    <x v="0"/>
    <n v="1790"/>
    <n v="0"/>
    <n v="1790"/>
    <x v="0"/>
    <x v="0"/>
    <x v="0"/>
    <x v="0"/>
    <x v="0"/>
  </r>
  <r>
    <x v="0"/>
    <x v="0"/>
    <x v="0"/>
    <x v="4"/>
    <x v="4"/>
    <x v="1"/>
    <x v="1"/>
    <n v="20148"/>
    <s v="890208890"/>
    <s v="ALDIA S.A.S."/>
    <s v="201901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8890"/>
    <s v="ALD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2"/>
    <n v="6525"/>
    <n v="0"/>
    <n v="6525"/>
    <x v="0"/>
    <x v="0"/>
    <x v="0"/>
    <n v="6525"/>
    <n v="0"/>
    <n v="6525"/>
    <x v="0"/>
    <x v="0"/>
    <x v="0"/>
    <n v="6525"/>
    <n v="0"/>
    <n v="6525"/>
    <x v="0"/>
    <x v="0"/>
    <x v="0"/>
    <x v="0"/>
    <x v="0"/>
  </r>
  <r>
    <x v="0"/>
    <x v="0"/>
    <x v="0"/>
    <x v="1"/>
    <x v="1"/>
    <x v="1"/>
    <x v="1"/>
    <n v="24005"/>
    <s v="802016306"/>
    <s v="EXPOCONSTRUCCION 43 Y CIA LTD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66 - FVA-356530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0"/>
    <x v="0"/>
    <x v="0"/>
    <x v="1"/>
    <x v="1"/>
    <x v="1"/>
    <x v="1"/>
    <n v="24006"/>
    <s v="901062361"/>
    <s v="INVERSIONES MARCRI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A FVA-356565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0"/>
    <x v="0"/>
    <x v="0"/>
    <x v="5"/>
    <x v="5"/>
    <x v="1"/>
    <x v="1"/>
    <n v="45634"/>
    <s v="890942766"/>
    <s v="CONSTRUCTORA MONSERRATE DE COLOMB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42766"/>
    <s v="CONSTRUCTORA MONSERRATE DE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3830"/>
    <n v="0"/>
    <n v="3830"/>
    <x v="0"/>
    <x v="0"/>
    <x v="0"/>
    <n v="3830"/>
    <n v="0"/>
    <n v="3830"/>
    <x v="0"/>
    <x v="0"/>
    <x v="0"/>
    <n v="3830"/>
    <n v="0"/>
    <n v="3830"/>
    <x v="0"/>
    <x v="0"/>
    <x v="0"/>
    <x v="0"/>
    <x v="0"/>
  </r>
  <r>
    <x v="0"/>
    <x v="0"/>
    <x v="0"/>
    <x v="5"/>
    <x v="5"/>
    <x v="1"/>
    <x v="1"/>
    <n v="45638"/>
    <s v="890900842"/>
    <s v="C.C. F. COMFENALCO ANTIOQUIA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0842"/>
    <s v="C.C. F. COMFENALCO ANTIOQU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 SE APLICAA FACTUAR ESTE VALOR EN LA CUENTA."/>
    <n v="350"/>
    <n v="0"/>
    <n v="350"/>
    <x v="0"/>
    <x v="0"/>
    <x v="0"/>
    <n v="350"/>
    <n v="0"/>
    <n v="350"/>
    <x v="0"/>
    <x v="0"/>
    <x v="0"/>
    <n v="350"/>
    <n v="0"/>
    <n v="350"/>
    <x v="0"/>
    <x v="0"/>
    <x v="0"/>
    <x v="0"/>
    <x v="0"/>
  </r>
  <r>
    <x v="0"/>
    <x v="0"/>
    <x v="0"/>
    <x v="4"/>
    <x v="4"/>
    <x v="9"/>
    <x v="9"/>
    <n v="221"/>
    <s v="5670719"/>
    <s v="BAYONA SERRANO ANTONIO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5670719"/>
    <s v="BAYONA SERRANO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400, DESCUENTO DEL 9% POR PAGO ANUAL ANTICIPADO, VALOR DSTO DE $200.582"/>
    <n v="200582"/>
    <n v="0"/>
    <n v="200582"/>
    <x v="0"/>
    <x v="0"/>
    <x v="0"/>
    <n v="200582"/>
    <n v="0"/>
    <n v="200582"/>
    <x v="0"/>
    <x v="0"/>
    <x v="0"/>
    <n v="200582"/>
    <n v="0"/>
    <n v="200582"/>
    <x v="0"/>
    <x v="0"/>
    <x v="0"/>
    <x v="0"/>
    <x v="0"/>
  </r>
  <r>
    <x v="0"/>
    <x v="0"/>
    <x v="0"/>
    <x v="5"/>
    <x v="5"/>
    <x v="1"/>
    <x v="1"/>
    <n v="45618"/>
    <s v="900825179"/>
    <s v="ELIZABETH TRULLAS  CIA S.A.S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0"/>
    <x v="0"/>
    <x v="0"/>
    <x v="5"/>
    <x v="5"/>
    <x v="1"/>
    <x v="1"/>
    <n v="45619"/>
    <s v="890318490"/>
    <s v="FERRETERIA TUBERIAS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0"/>
    <x v="0"/>
    <x v="0"/>
    <x v="5"/>
    <x v="5"/>
    <x v="1"/>
    <x v="1"/>
    <n v="45620"/>
    <s v="900569801"/>
    <s v="MARGARITA PEÑA S.A.S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0"/>
    <x v="0"/>
    <x v="0"/>
    <x v="5"/>
    <x v="5"/>
    <x v="1"/>
    <x v="1"/>
    <n v="45621"/>
    <s v="890311006"/>
    <s v="FONDO DE EMPLEADOS DE LAS EMP.MPALES DE CALI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VOLUCION RETENCION MAL REALIZADA."/>
    <n v="250"/>
    <n v="0"/>
    <n v="250"/>
    <x v="0"/>
    <x v="0"/>
    <x v="0"/>
    <n v="250"/>
    <n v="0"/>
    <n v="250"/>
    <x v="0"/>
    <x v="0"/>
    <x v="0"/>
    <n v="250"/>
    <n v="0"/>
    <n v="250"/>
    <x v="0"/>
    <x v="0"/>
    <x v="0"/>
    <x v="0"/>
    <x v="0"/>
  </r>
  <r>
    <x v="0"/>
    <x v="0"/>
    <x v="0"/>
    <x v="5"/>
    <x v="5"/>
    <x v="1"/>
    <x v="1"/>
    <n v="45623"/>
    <s v="900192072"/>
    <s v="SEOUL MEDICINA ESTETICA INTEGRAL Y SPA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92072"/>
    <s v="SEOUL MEDICINA ESTETICA INTEGRAL Y SP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91"/>
    <n v="0"/>
    <n v="10591"/>
    <x v="0"/>
    <x v="0"/>
    <x v="0"/>
    <n v="10591"/>
    <n v="0"/>
    <n v="10591"/>
    <x v="0"/>
    <x v="0"/>
    <x v="0"/>
    <n v="10591"/>
    <n v="0"/>
    <n v="10591"/>
    <x v="0"/>
    <x v="0"/>
    <x v="0"/>
    <x v="0"/>
    <x v="0"/>
  </r>
  <r>
    <x v="1"/>
    <x v="0"/>
    <x v="0"/>
    <x v="5"/>
    <x v="5"/>
    <x v="1"/>
    <x v="1"/>
    <n v="45705"/>
    <s v="805002583"/>
    <s v="FARMACIA DROGUERIA SAN JORGE LTDA"/>
    <s v="201902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2583"/>
    <s v="FARMACIA DROGUERIA SAN JORGE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3"/>
    <x v="3"/>
    <x v="1"/>
    <x v="1"/>
    <n v="37129"/>
    <s v="900041914"/>
    <s v="AVON COLOMBIA S.A.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41914"/>
    <s v="AVON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2323"/>
    <n v="399"/>
    <n v="0"/>
    <n v="399"/>
    <x v="0"/>
    <x v="0"/>
    <x v="0"/>
    <n v="399"/>
    <n v="0"/>
    <n v="399"/>
    <x v="0"/>
    <x v="0"/>
    <x v="0"/>
    <n v="399"/>
    <n v="0"/>
    <n v="399"/>
    <x v="0"/>
    <x v="0"/>
    <x v="0"/>
    <x v="0"/>
    <x v="0"/>
  </r>
  <r>
    <x v="1"/>
    <x v="0"/>
    <x v="0"/>
    <x v="6"/>
    <x v="6"/>
    <x v="9"/>
    <x v="9"/>
    <n v="1112"/>
    <s v="900434532"/>
    <s v="SPECIALIZED COLOMBIA S.A.S."/>
    <s v="201902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900434532"/>
    <s v="SPECIALIZED COLOMB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574 DESCUENTO DEL 9 % POR PAGO ANUAL ANTICIPADO POR VALOR DE 1.851.528 Y RETE IVA DEL 15% POR VALOR DE $ 586.317, Y FAC: 355708 DESCUENTO  9 % POR PAGO ANUAL ANTICIPADO DE $ 105.863 Y RETE IVA $80.573"/>
    <n v="1957391"/>
    <n v="0"/>
    <n v="1957391"/>
    <x v="0"/>
    <x v="0"/>
    <x v="0"/>
    <n v="1957391"/>
    <n v="0"/>
    <n v="1957391"/>
    <x v="0"/>
    <x v="0"/>
    <x v="0"/>
    <n v="1957391"/>
    <n v="0"/>
    <n v="1957391"/>
    <x v="0"/>
    <x v="0"/>
    <x v="0"/>
    <x v="0"/>
    <x v="0"/>
  </r>
  <r>
    <x v="1"/>
    <x v="0"/>
    <x v="0"/>
    <x v="5"/>
    <x v="5"/>
    <x v="1"/>
    <x v="1"/>
    <n v="45895"/>
    <s v="805006389"/>
    <s v="HOSPITAL EN CASA S.A.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6389"/>
    <s v="HOSPITAL EN CA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46479,348191,349921. BANCOOMEVA"/>
    <n v="3142"/>
    <n v="0"/>
    <n v="3142"/>
    <x v="0"/>
    <x v="0"/>
    <x v="0"/>
    <n v="3142"/>
    <n v="0"/>
    <n v="3142"/>
    <x v="0"/>
    <x v="0"/>
    <x v="0"/>
    <n v="3142"/>
    <n v="0"/>
    <n v="3142"/>
    <x v="0"/>
    <x v="0"/>
    <x v="0"/>
    <x v="0"/>
    <x v="0"/>
  </r>
  <r>
    <x v="1"/>
    <x v="0"/>
    <x v="0"/>
    <x v="2"/>
    <x v="2"/>
    <x v="9"/>
    <x v="9"/>
    <n v="1467"/>
    <s v="830111257"/>
    <s v="GRUPO EMPRESARIAL EN LINEA S.A."/>
    <s v="201902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111257"/>
    <s v="GRUPO EMPRESARIAL EN LIN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521241"/>
    <n v="0"/>
    <n v="521241"/>
    <x v="0"/>
    <x v="0"/>
    <x v="0"/>
    <n v="521241"/>
    <n v="0"/>
    <n v="521241"/>
    <x v="0"/>
    <x v="0"/>
    <x v="0"/>
    <n v="521241"/>
    <n v="0"/>
    <n v="521241"/>
    <x v="0"/>
    <x v="0"/>
    <x v="0"/>
    <x v="0"/>
    <x v="0"/>
  </r>
  <r>
    <x v="1"/>
    <x v="0"/>
    <x v="0"/>
    <x v="2"/>
    <x v="2"/>
    <x v="9"/>
    <x v="9"/>
    <n v="1470"/>
    <s v="800130907"/>
    <s v="SALUD TOTAL E.P.S-S S.A.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30907"/>
    <s v="SALUD TOTAL E.P.S-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CONCEPTO DE PRONTO PAGO 9% $1.799.872 Y USO PLATAFORMA COMPRANET $50.000"/>
    <n v="1799872"/>
    <n v="0"/>
    <n v="1799872"/>
    <x v="0"/>
    <x v="0"/>
    <x v="0"/>
    <n v="1799872"/>
    <n v="0"/>
    <n v="1799872"/>
    <x v="0"/>
    <x v="0"/>
    <x v="0"/>
    <n v="1799872"/>
    <n v="0"/>
    <n v="1799872"/>
    <x v="0"/>
    <x v="0"/>
    <x v="0"/>
    <x v="0"/>
    <x v="0"/>
  </r>
  <r>
    <x v="1"/>
    <x v="0"/>
    <x v="0"/>
    <x v="2"/>
    <x v="2"/>
    <x v="9"/>
    <x v="9"/>
    <n v="1472"/>
    <s v="860510431"/>
    <s v="ALVARO VELEZ Y CIA S.A.S"/>
    <s v="201902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087 Y RTE ICA $4.960"/>
    <n v="8087"/>
    <n v="0"/>
    <n v="8087"/>
    <x v="0"/>
    <x v="0"/>
    <x v="0"/>
    <n v="8087"/>
    <n v="0"/>
    <n v="8087"/>
    <x v="0"/>
    <x v="0"/>
    <x v="0"/>
    <n v="8087"/>
    <n v="0"/>
    <n v="8087"/>
    <x v="0"/>
    <x v="0"/>
    <x v="0"/>
    <x v="0"/>
    <x v="0"/>
  </r>
  <r>
    <x v="1"/>
    <x v="0"/>
    <x v="0"/>
    <x v="1"/>
    <x v="1"/>
    <x v="1"/>
    <x v="1"/>
    <n v="24079"/>
    <s v="806012958"/>
    <s v="IPS SALUD DEL CARIBE S.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639 - FVA-356652 - FVA-356658 - FVA-35666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1"/>
    <x v="0"/>
    <x v="0"/>
    <x v="0"/>
    <x v="0"/>
    <x v="0"/>
    <x v="0"/>
    <n v="4278"/>
    <s v="900863024"/>
    <s v="SUPERMERCADO PUNTO &amp; FAM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863024"/>
    <s v="SUPERMERCADO PUNTO &amp; FAM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79"/>
    <s v="900112301"/>
    <s v="SIGMART INGENIERIA SAS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12765"/>
    <s v="COLOMBIAN PARADISE FLOWER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836"/>
    <n v="0"/>
    <n v="1836"/>
    <x v="0"/>
    <x v="0"/>
    <x v="0"/>
    <n v="1836"/>
    <n v="0"/>
    <n v="1836"/>
    <x v="0"/>
    <x v="0"/>
    <x v="0"/>
    <n v="1836"/>
    <n v="0"/>
    <n v="1836"/>
    <x v="0"/>
    <x v="0"/>
    <x v="0"/>
    <x v="0"/>
    <x v="0"/>
  </r>
  <r>
    <x v="1"/>
    <x v="0"/>
    <x v="0"/>
    <x v="5"/>
    <x v="5"/>
    <x v="1"/>
    <x v="1"/>
    <n v="45911"/>
    <s v="14606678"/>
    <s v="COLLAZOS ARROYO HAROLD ANDRE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4606678"/>
    <s v="COLLAZOS ARROYO HAROLD AND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0"/>
    <n v="0"/>
    <n v="100"/>
    <x v="0"/>
    <x v="0"/>
    <x v="0"/>
    <n v="100"/>
    <n v="0"/>
    <n v="100"/>
    <x v="0"/>
    <x v="0"/>
    <x v="0"/>
    <n v="100"/>
    <n v="0"/>
    <n v="100"/>
    <x v="0"/>
    <x v="0"/>
    <x v="0"/>
    <x v="0"/>
    <x v="0"/>
  </r>
  <r>
    <x v="1"/>
    <x v="0"/>
    <x v="0"/>
    <x v="5"/>
    <x v="5"/>
    <x v="1"/>
    <x v="1"/>
    <n v="45914"/>
    <s v="800069469"/>
    <s v="ARTEMISA S.A.S"/>
    <s v="201902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69469"/>
    <s v="ARTEMIS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0"/>
    <x v="0"/>
    <x v="0"/>
    <x v="0"/>
    <n v="4281"/>
    <s v="900338137"/>
    <s v="INSTITUTO DE BELLEZA STELLA DURAN RESTREPO"/>
    <s v="201902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5"/>
    <s v="INSTITUTO DE BELLEZA STELLA DURAN VENE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7697"/>
    <n v="0"/>
    <n v="7697"/>
    <x v="0"/>
    <x v="0"/>
    <x v="0"/>
    <n v="7697"/>
    <n v="0"/>
    <n v="7697"/>
    <x v="0"/>
    <x v="0"/>
    <x v="0"/>
    <n v="7697"/>
    <n v="0"/>
    <n v="7697"/>
    <x v="0"/>
    <x v="0"/>
    <x v="0"/>
    <x v="0"/>
    <x v="0"/>
  </r>
  <r>
    <x v="5"/>
    <x v="0"/>
    <x v="0"/>
    <x v="0"/>
    <x v="0"/>
    <x v="0"/>
    <x v="0"/>
    <n v="4283"/>
    <s v="805029384"/>
    <s v="BUENAVISTA CONSTRUCTORA Y PROMOTORA S.A.S"/>
    <s v="20190307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RETENCION APLICADA DE MAS EN PAGO AL CLIENTE COMO PROVEEDOR"/>
    <n v="38402"/>
    <n v="0"/>
    <n v="38402"/>
    <x v="0"/>
    <x v="0"/>
    <x v="0"/>
    <n v="38402"/>
    <n v="0"/>
    <n v="38402"/>
    <x v="0"/>
    <x v="0"/>
    <x v="0"/>
    <n v="38402"/>
    <n v="0"/>
    <n v="38402"/>
    <x v="0"/>
    <x v="0"/>
    <x v="0"/>
    <x v="0"/>
    <x v="0"/>
  </r>
  <r>
    <x v="3"/>
    <x v="0"/>
    <x v="0"/>
    <x v="0"/>
    <x v="0"/>
    <x v="0"/>
    <x v="0"/>
    <n v="4338"/>
    <s v="830017656"/>
    <s v="LAGOS DE MALIBU LTDA"/>
    <s v="20190731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4"/>
    <x v="4"/>
    <x v="0"/>
    <x v="0"/>
    <x v="0"/>
    <x v="0"/>
    <s v="1130654183"/>
    <s v="CUENCA ALVAEREZ ALVA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SALDOS GASTOS FINANCIEROS"/>
    <n v="72414"/>
    <n v="0"/>
    <n v="72414"/>
    <x v="0"/>
    <x v="0"/>
    <x v="0"/>
    <n v="72414"/>
    <n v="0"/>
    <n v="72414"/>
    <x v="0"/>
    <x v="0"/>
    <x v="0"/>
    <n v="72414"/>
    <n v="0"/>
    <n v="72414"/>
    <x v="0"/>
    <x v="0"/>
    <x v="0"/>
    <x v="0"/>
    <x v="0"/>
  </r>
  <r>
    <x v="7"/>
    <x v="0"/>
    <x v="0"/>
    <x v="0"/>
    <x v="0"/>
    <x v="2"/>
    <x v="2"/>
    <n v="19997"/>
    <s v="890106291"/>
    <s v="ALCALDIA DE SOLEDAD"/>
    <s v="20190422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2"/>
    <x v="2"/>
    <x v="0"/>
    <x v="0"/>
    <x v="0"/>
    <x v="0"/>
    <s v="890106291"/>
    <s v="ALCALDIA DE SOLE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UESTO DE INDUSTRIA Y COMERCIO SOLEDAD ATLANTICO"/>
    <n v="524000"/>
    <n v="0"/>
    <n v="524000"/>
    <x v="0"/>
    <x v="0"/>
    <x v="0"/>
    <n v="524000"/>
    <n v="0"/>
    <n v="524000"/>
    <x v="0"/>
    <x v="0"/>
    <x v="0"/>
    <n v="524000"/>
    <n v="0"/>
    <n v="524000"/>
    <x v="0"/>
    <x v="0"/>
    <x v="0"/>
    <x v="0"/>
    <x v="0"/>
  </r>
  <r>
    <x v="0"/>
    <x v="0"/>
    <x v="0"/>
    <x v="3"/>
    <x v="3"/>
    <x v="1"/>
    <x v="1"/>
    <n v="36985"/>
    <s v="811040443"/>
    <s v="B Y B CONSTRUCTORES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49472"/>
    <n v="1209"/>
    <n v="0"/>
    <n v="1209"/>
    <x v="0"/>
    <x v="0"/>
    <x v="0"/>
    <n v="1209"/>
    <n v="0"/>
    <n v="1209"/>
    <x v="0"/>
    <x v="0"/>
    <x v="0"/>
    <n v="1209"/>
    <n v="0"/>
    <n v="1209"/>
    <x v="0"/>
    <x v="0"/>
    <x v="0"/>
    <x v="0"/>
    <x v="0"/>
  </r>
  <r>
    <x v="0"/>
    <x v="0"/>
    <x v="0"/>
    <x v="3"/>
    <x v="3"/>
    <x v="1"/>
    <x v="1"/>
    <n v="36988"/>
    <s v="811027681"/>
    <s v="URBANIZA S.A.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7681"/>
    <s v="URBANIZ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0658"/>
    <n v="7624"/>
    <n v="0"/>
    <n v="7624"/>
    <x v="0"/>
    <x v="0"/>
    <x v="0"/>
    <n v="7624"/>
    <n v="0"/>
    <n v="7624"/>
    <x v="0"/>
    <x v="0"/>
    <x v="0"/>
    <n v="7624"/>
    <n v="0"/>
    <n v="7624"/>
    <x v="0"/>
    <x v="0"/>
    <x v="0"/>
    <x v="0"/>
    <x v="0"/>
  </r>
  <r>
    <x v="0"/>
    <x v="0"/>
    <x v="0"/>
    <x v="0"/>
    <x v="0"/>
    <x v="0"/>
    <x v="0"/>
    <n v="4267"/>
    <s v="900017447"/>
    <s v="FALABELLA DE COLOMBIA S A"/>
    <s v="201901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93117"/>
    <s v="ARQUITECTURA Y CONCRET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A FAVOR"/>
    <n v="11098"/>
    <n v="0"/>
    <n v="11098"/>
    <x v="0"/>
    <x v="0"/>
    <x v="0"/>
    <n v="11098"/>
    <n v="0"/>
    <n v="11098"/>
    <x v="0"/>
    <x v="0"/>
    <x v="0"/>
    <n v="11098"/>
    <n v="0"/>
    <n v="11098"/>
    <x v="0"/>
    <x v="0"/>
    <x v="0"/>
    <x v="0"/>
    <x v="0"/>
  </r>
  <r>
    <x v="0"/>
    <x v="0"/>
    <x v="0"/>
    <x v="5"/>
    <x v="5"/>
    <x v="1"/>
    <x v="1"/>
    <n v="45652"/>
    <s v="830037843"/>
    <s v="WINNER GROUP S.A.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30037843"/>
    <s v="WINNER GROUP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"/>
    <n v="280"/>
    <n v="0"/>
    <n v="280"/>
    <x v="0"/>
    <x v="0"/>
    <x v="0"/>
    <n v="280"/>
    <n v="0"/>
    <n v="280"/>
    <x v="0"/>
    <x v="0"/>
    <x v="0"/>
    <n v="280"/>
    <n v="0"/>
    <n v="280"/>
    <x v="0"/>
    <x v="0"/>
    <x v="0"/>
    <x v="0"/>
    <x v="0"/>
  </r>
  <r>
    <x v="1"/>
    <x v="0"/>
    <x v="0"/>
    <x v="5"/>
    <x v="5"/>
    <x v="9"/>
    <x v="9"/>
    <n v="1230"/>
    <s v="800074047"/>
    <s v="REPUESTOS CALI S.A.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9% AÑO ANTICIPADO, DESC EN FACTURA $174.280,OK"/>
    <n v="174280"/>
    <n v="0"/>
    <n v="174280"/>
    <x v="0"/>
    <x v="0"/>
    <x v="0"/>
    <n v="174280"/>
    <n v="0"/>
    <n v="174280"/>
    <x v="0"/>
    <x v="0"/>
    <x v="0"/>
    <n v="174280"/>
    <n v="0"/>
    <n v="174280"/>
    <x v="0"/>
    <x v="0"/>
    <x v="0"/>
    <x v="0"/>
    <x v="0"/>
  </r>
  <r>
    <x v="1"/>
    <x v="0"/>
    <x v="0"/>
    <x v="5"/>
    <x v="5"/>
    <x v="9"/>
    <x v="9"/>
    <n v="1232"/>
    <s v="890308111"/>
    <s v="EL MOLINO-EDUARDO MOLINARI PALACIN &amp; CIA S.EN.C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 9% EN FACTURA OK, $130.634"/>
    <n v="130634"/>
    <n v="0"/>
    <n v="130634"/>
    <x v="0"/>
    <x v="0"/>
    <x v="0"/>
    <n v="130634"/>
    <n v="0"/>
    <n v="130634"/>
    <x v="0"/>
    <x v="0"/>
    <x v="0"/>
    <n v="130634"/>
    <n v="0"/>
    <n v="130634"/>
    <x v="0"/>
    <x v="0"/>
    <x v="0"/>
    <x v="0"/>
    <x v="0"/>
  </r>
  <r>
    <x v="3"/>
    <x v="0"/>
    <x v="0"/>
    <x v="6"/>
    <x v="6"/>
    <x v="9"/>
    <x v="9"/>
    <n v="1157"/>
    <s v="900947448"/>
    <s v="CFCA INGENIERIA S.A.S"/>
    <s v="20190723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6"/>
    <x v="6"/>
    <x v="0"/>
    <x v="0"/>
    <x v="0"/>
    <x v="0"/>
    <s v="900947448"/>
    <s v="CFCA INGENIER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42 CLIENTE PAGO $116.109 DEMAS POR IVA QUE NO SE DESCONTO"/>
    <n v="0"/>
    <n v="116109"/>
    <n v="-116109"/>
    <x v="0"/>
    <x v="0"/>
    <x v="0"/>
    <n v="0"/>
    <n v="116109"/>
    <n v="-116109"/>
    <x v="0"/>
    <x v="0"/>
    <x v="0"/>
    <n v="0"/>
    <n v="116109"/>
    <n v="-1161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8038.07"/>
    <n v="0"/>
    <n v="8038.0700000000006"/>
    <x v="0"/>
    <x v="0"/>
    <x v="0"/>
    <n v="8038.07"/>
    <n v="0"/>
    <n v="8038.0700000000006"/>
    <x v="0"/>
    <x v="0"/>
    <x v="0"/>
    <n v="8038.07"/>
    <n v="0"/>
    <n v="8038.07000000000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21323.19"/>
    <n v="0"/>
    <n v="21323.19"/>
    <x v="0"/>
    <x v="0"/>
    <x v="0"/>
    <n v="21323.19"/>
    <n v="0"/>
    <n v="21323.19"/>
    <x v="0"/>
    <x v="0"/>
    <x v="0"/>
    <n v="21323.19"/>
    <n v="0"/>
    <n v="21323.1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254.46"/>
    <n v="0"/>
    <n v="19254.46"/>
    <x v="0"/>
    <x v="0"/>
    <x v="0"/>
    <n v="19254.46"/>
    <n v="0"/>
    <n v="19254.46"/>
    <x v="0"/>
    <x v="0"/>
    <x v="0"/>
    <n v="19254.46"/>
    <n v="0"/>
    <n v="19254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9128.12"/>
    <n v="0"/>
    <n v="19128.12"/>
    <x v="0"/>
    <x v="0"/>
    <x v="0"/>
    <n v="19128.12"/>
    <n v="0"/>
    <n v="19128.12"/>
    <x v="0"/>
    <x v="0"/>
    <x v="0"/>
    <n v="19128.12"/>
    <n v="0"/>
    <n v="19128.1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5633.97"/>
    <n v="0"/>
    <n v="15633.970000000001"/>
    <x v="0"/>
    <x v="0"/>
    <x v="0"/>
    <n v="15633.97"/>
    <n v="0"/>
    <n v="15633.970000000001"/>
    <x v="0"/>
    <x v="0"/>
    <x v="0"/>
    <n v="15633.97"/>
    <n v="0"/>
    <n v="15633.97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0064.459999999999"/>
    <n v="0"/>
    <n v="10064.460000000001"/>
    <x v="0"/>
    <x v="0"/>
    <x v="0"/>
    <n v="10064.459999999999"/>
    <n v="0"/>
    <n v="10064.460000000001"/>
    <x v="0"/>
    <x v="0"/>
    <x v="0"/>
    <n v="10064.459999999999"/>
    <n v="0"/>
    <n v="10064.460000000001"/>
    <x v="0"/>
    <x v="0"/>
    <x v="0"/>
    <x v="0"/>
    <x v="0"/>
  </r>
  <r>
    <x v="6"/>
    <x v="0"/>
    <x v="0"/>
    <x v="3"/>
    <x v="3"/>
    <x v="3"/>
    <x v="3"/>
    <n v="162"/>
    <s v="1128280824"/>
    <s v="OSORIO SANCHEZ WILSON DARIO"/>
    <s v="20190531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8578076"/>
    <s v="VELEZ VARGAS ELBER EL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TRANSPORTE DESINSTALACIÓN CLIENTE MAXIMO"/>
    <n v="3500"/>
    <n v="0"/>
    <n v="3500"/>
    <x v="0"/>
    <x v="0"/>
    <x v="0"/>
    <n v="3500"/>
    <n v="0"/>
    <n v="3500"/>
    <x v="0"/>
    <x v="0"/>
    <x v="0"/>
    <n v="3500"/>
    <n v="0"/>
    <n v="3500"/>
    <x v="0"/>
    <x v="0"/>
    <x v="0"/>
    <x v="0"/>
    <x v="0"/>
  </r>
  <r>
    <x v="2"/>
    <x v="0"/>
    <x v="0"/>
    <x v="0"/>
    <x v="0"/>
    <x v="3"/>
    <x v="3"/>
    <n v="347"/>
    <s v="16632990"/>
    <s v="MUNERA ANGUS JUAN GUILLERMO"/>
    <s v="20190605"/>
    <x v="8"/>
    <x v="0"/>
    <x v="8"/>
    <x v="0"/>
    <x v="0"/>
    <x v="0"/>
    <x v="0"/>
    <x v="0"/>
    <x v="0"/>
    <x v="0"/>
    <x v="5"/>
    <x v="5"/>
    <x v="8"/>
    <x v="8"/>
    <x v="8"/>
    <x v="8"/>
    <x v="8"/>
    <x v="8"/>
    <x v="8"/>
    <x v="8"/>
    <x v="1"/>
    <x v="1"/>
    <x v="1"/>
    <x v="1"/>
    <x v="1"/>
    <x v="1"/>
    <s v="900376423"/>
    <s v="RESTAURANTE TORTEL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LMUERZO DE TRABAJO ABOGADO LABORAL -MARCO CARRASQUILLA, ANA MARIA VALLEJO Y JUAN GUILLERMO MUNERA"/>
    <n v="6524"/>
    <n v="0"/>
    <n v="6524"/>
    <x v="0"/>
    <x v="0"/>
    <x v="0"/>
    <n v="6524"/>
    <n v="0"/>
    <n v="6524"/>
    <x v="0"/>
    <x v="0"/>
    <x v="0"/>
    <n v="6524"/>
    <n v="0"/>
    <n v="6524"/>
    <x v="0"/>
    <x v="0"/>
    <x v="0"/>
    <x v="0"/>
    <x v="0"/>
  </r>
  <r>
    <x v="0"/>
    <x v="0"/>
    <x v="0"/>
    <x v="4"/>
    <x v="4"/>
    <x v="1"/>
    <x v="1"/>
    <n v="20154"/>
    <s v="890211796"/>
    <s v="CENTRO COMERCIAL CANAVERAL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11796"/>
    <s v="CENTRO COMERCIAL CANAVER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6388"/>
    <n v="1736"/>
    <n v="0"/>
    <n v="1736"/>
    <x v="0"/>
    <x v="0"/>
    <x v="0"/>
    <n v="1736"/>
    <n v="0"/>
    <n v="1736"/>
    <x v="0"/>
    <x v="0"/>
    <x v="0"/>
    <n v="1736"/>
    <n v="0"/>
    <n v="1736"/>
    <x v="0"/>
    <x v="0"/>
    <x v="0"/>
    <x v="0"/>
    <x v="0"/>
  </r>
  <r>
    <x v="1"/>
    <x v="0"/>
    <x v="0"/>
    <x v="5"/>
    <x v="5"/>
    <x v="1"/>
    <x v="1"/>
    <n v="45733"/>
    <s v="890300012"/>
    <s v="COLPOZOS 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1"/>
    <x v="0"/>
    <x v="0"/>
    <x v="5"/>
    <x v="5"/>
    <x v="1"/>
    <x v="1"/>
    <n v="45735"/>
    <s v="817001528"/>
    <s v="PAVCO DE OCCIDENTE SAS"/>
    <s v="201902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1"/>
    <x v="0"/>
    <x v="0"/>
    <x v="1"/>
    <x v="1"/>
    <x v="1"/>
    <x v="1"/>
    <n v="24091"/>
    <s v="892115006"/>
    <s v="CAJA DE COMP. FAMILIAR DE LA GUAJIRA"/>
    <s v="201902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30"/>
    <n v="3644"/>
    <n v="0"/>
    <n v="3644"/>
    <x v="0"/>
    <x v="0"/>
    <x v="0"/>
    <n v="3644"/>
    <n v="0"/>
    <n v="3644"/>
    <x v="0"/>
    <x v="0"/>
    <x v="0"/>
    <n v="3644"/>
    <n v="0"/>
    <n v="3644"/>
    <x v="0"/>
    <x v="0"/>
    <x v="0"/>
    <x v="0"/>
    <x v="0"/>
  </r>
  <r>
    <x v="0"/>
    <x v="0"/>
    <x v="0"/>
    <x v="3"/>
    <x v="3"/>
    <x v="1"/>
    <x v="1"/>
    <n v="36993"/>
    <s v="811007125"/>
    <s v="RIO ASEO TOTAL"/>
    <s v="20190110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11007125"/>
    <s v="RIO ASEO TO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0580_x000d__x000a_RETIENE ESTAMPILLAS $8.862"/>
    <n v="8862"/>
    <n v="0"/>
    <n v="8862"/>
    <x v="0"/>
    <x v="0"/>
    <x v="0"/>
    <n v="8862"/>
    <n v="0"/>
    <n v="8862"/>
    <x v="0"/>
    <x v="0"/>
    <x v="0"/>
    <n v="8862"/>
    <n v="0"/>
    <n v="8862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7"/>
    <x v="0"/>
    <x v="0"/>
    <x v="0"/>
    <x v="0"/>
    <x v="2"/>
    <x v="2"/>
    <n v="20039"/>
    <s v="900092385"/>
    <s v="EPM TELECOMUNICACIONES S.A.  E.S.P."/>
    <s v="20190429"/>
    <x v="1"/>
    <x v="0"/>
    <x v="1"/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s v="900092385"/>
    <s v="EPM TELECOMUNICACIONES S.A.  E.S.P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RVICOS PUBLICOS VARIOS C.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0"/>
    <x v="0"/>
    <x v="2"/>
    <x v="2"/>
    <n v="20213"/>
    <s v="890201222"/>
    <s v="MUNICIPIO DE BUCARAMANGA"/>
    <s v="20190529"/>
    <x v="10"/>
    <x v="0"/>
    <x v="10"/>
    <x v="0"/>
    <x v="0"/>
    <x v="0"/>
    <x v="0"/>
    <x v="0"/>
    <x v="1"/>
    <x v="1"/>
    <x v="8"/>
    <x v="8"/>
    <x v="10"/>
    <x v="10"/>
    <x v="10"/>
    <x v="10"/>
    <x v="10"/>
    <x v="10"/>
    <x v="10"/>
    <x v="10"/>
    <x v="7"/>
    <x v="7"/>
    <x v="0"/>
    <x v="0"/>
    <x v="0"/>
    <x v="0"/>
    <s v="890201222"/>
    <s v="MUNICIPIO DE BUCARAMANG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EXTEMPORANEIDAD IMPUESTO INDUSTRIA Y COMERCIO BUCARAMANGA"/>
    <n v="342000"/>
    <n v="0"/>
    <n v="342000"/>
    <x v="0"/>
    <x v="0"/>
    <x v="0"/>
    <n v="342000"/>
    <n v="0"/>
    <n v="342000"/>
    <x v="0"/>
    <x v="0"/>
    <x v="0"/>
    <n v="342000"/>
    <n v="0"/>
    <n v="342000"/>
    <x v="0"/>
    <x v="0"/>
    <x v="0"/>
    <x v="0"/>
    <x v="0"/>
  </r>
  <r>
    <x v="0"/>
    <x v="0"/>
    <x v="0"/>
    <x v="5"/>
    <x v="5"/>
    <x v="1"/>
    <x v="1"/>
    <n v="45393"/>
    <s v="800048954"/>
    <s v="CLINICA VERSALLES S.A."/>
    <s v="201901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748"/>
    <n v="0"/>
    <n v="12748"/>
    <x v="0"/>
    <x v="0"/>
    <x v="0"/>
    <n v="12748"/>
    <n v="0"/>
    <n v="12748"/>
    <x v="0"/>
    <x v="0"/>
    <x v="0"/>
    <n v="12748"/>
    <n v="0"/>
    <n v="12748"/>
    <x v="0"/>
    <x v="0"/>
    <x v="0"/>
    <x v="0"/>
    <x v="0"/>
  </r>
  <r>
    <x v="0"/>
    <x v="0"/>
    <x v="0"/>
    <x v="1"/>
    <x v="1"/>
    <x v="1"/>
    <x v="1"/>
    <n v="23888"/>
    <s v="890107487"/>
    <s v="SUPERTIENDAS Y DROGUERIAS OLIMPICA S.A."/>
    <s v="201901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5"/>
    <n v="0"/>
    <n v="5"/>
    <x v="0"/>
    <x v="0"/>
    <x v="0"/>
    <n v="5"/>
    <n v="0"/>
    <n v="5"/>
    <x v="0"/>
    <x v="0"/>
    <x v="0"/>
    <n v="5"/>
    <n v="0"/>
    <n v="5"/>
    <x v="0"/>
    <x v="0"/>
    <x v="0"/>
    <x v="0"/>
    <x v="0"/>
  </r>
  <r>
    <x v="0"/>
    <x v="0"/>
    <x v="0"/>
    <x v="2"/>
    <x v="2"/>
    <x v="9"/>
    <x v="9"/>
    <n v="1454"/>
    <s v="800212060"/>
    <s v="PARQUE COMERCIAL LA COLINA 138"/>
    <s v="201901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9% PAGO ANUAL $135.751"/>
    <n v="135751"/>
    <n v="0"/>
    <n v="135751"/>
    <x v="0"/>
    <x v="0"/>
    <x v="0"/>
    <n v="135751"/>
    <n v="0"/>
    <n v="135751"/>
    <x v="0"/>
    <x v="0"/>
    <x v="0"/>
    <n v="135751"/>
    <n v="0"/>
    <n v="135751"/>
    <x v="0"/>
    <x v="0"/>
    <x v="0"/>
    <x v="0"/>
    <x v="0"/>
  </r>
  <r>
    <x v="1"/>
    <x v="0"/>
    <x v="0"/>
    <x v="5"/>
    <x v="5"/>
    <x v="1"/>
    <x v="1"/>
    <n v="45792"/>
    <s v="800048954"/>
    <s v="CLINICA VERSALLES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500"/>
    <n v="0"/>
    <n v="6500"/>
    <x v="0"/>
    <x v="0"/>
    <x v="0"/>
    <n v="6500"/>
    <n v="0"/>
    <n v="6500"/>
    <x v="0"/>
    <x v="0"/>
    <x v="0"/>
    <n v="6500"/>
    <n v="0"/>
    <n v="6500"/>
    <x v="0"/>
    <x v="0"/>
    <x v="0"/>
    <x v="0"/>
    <x v="0"/>
  </r>
  <r>
    <x v="1"/>
    <x v="0"/>
    <x v="0"/>
    <x v="1"/>
    <x v="1"/>
    <x v="1"/>
    <x v="1"/>
    <n v="24058"/>
    <s v="890102508"/>
    <s v="SALES INMOBILIARIA S.A.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8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1"/>
    <x v="0"/>
    <x v="0"/>
    <x v="1"/>
    <x v="1"/>
    <x v="9"/>
    <x v="9"/>
    <n v="363"/>
    <s v="860007627"/>
    <s v="COMPAÑIA DE JESUS"/>
    <s v="201902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60007627"/>
    <s v="COMPAÑIA DE JESU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6, SE APLICA EL DESCUENTO FINANCIERO DEL 9% POR PAGO DE AÑO ANTICIPADO. APLICA RETENCION DE ICA POR VALOR DE $13.816"/>
    <n v="155432"/>
    <n v="0"/>
    <n v="155432"/>
    <x v="0"/>
    <x v="0"/>
    <x v="0"/>
    <n v="155432"/>
    <n v="0"/>
    <n v="155432"/>
    <x v="0"/>
    <x v="0"/>
    <x v="0"/>
    <n v="155432"/>
    <n v="0"/>
    <n v="155432"/>
    <x v="0"/>
    <x v="0"/>
    <x v="0"/>
    <x v="0"/>
    <x v="0"/>
  </r>
  <r>
    <x v="1"/>
    <x v="0"/>
    <x v="0"/>
    <x v="3"/>
    <x v="3"/>
    <x v="9"/>
    <x v="9"/>
    <n v="1088"/>
    <s v="890929647"/>
    <s v="QUIMICOS Y PLASTICOS INDUSTRIALES S.A.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9647"/>
    <s v="QUIMICOS Y PLASTICOS INDUSTRIA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79 CANCELA CON DCTO DEL 9% POR PRONTO PAGO $112.938"/>
    <n v="112938"/>
    <n v="0"/>
    <n v="112938"/>
    <x v="0"/>
    <x v="0"/>
    <x v="0"/>
    <n v="112938"/>
    <n v="0"/>
    <n v="112938"/>
    <x v="0"/>
    <x v="0"/>
    <x v="0"/>
    <n v="112938"/>
    <n v="0"/>
    <n v="112938"/>
    <x v="0"/>
    <x v="0"/>
    <x v="0"/>
    <x v="0"/>
    <x v="0"/>
  </r>
  <r>
    <x v="1"/>
    <x v="0"/>
    <x v="0"/>
    <x v="3"/>
    <x v="3"/>
    <x v="1"/>
    <x v="1"/>
    <n v="37154"/>
    <s v="811046900"/>
    <s v="CENTRO CARDIOVASCULAR COLOMBIANO - CLINICA SANTA M"/>
    <s v="201902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6900"/>
    <s v="CENTRO CARDIOVASCULAR COLOMBIANO - CLINICA SANTA 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"/>
    <n v="2629"/>
    <n v="0"/>
    <n v="2629"/>
    <x v="0"/>
    <x v="0"/>
    <x v="0"/>
    <n v="2629"/>
    <n v="0"/>
    <n v="2629"/>
    <x v="0"/>
    <x v="0"/>
    <x v="0"/>
    <n v="2629"/>
    <n v="0"/>
    <n v="262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175574.59"/>
    <n v="0"/>
    <n v="175574.59"/>
    <x v="0"/>
    <x v="0"/>
    <x v="0"/>
    <n v="175574.59"/>
    <n v="0"/>
    <n v="175574.59"/>
    <x v="0"/>
    <x v="0"/>
    <x v="0"/>
    <n v="175574.59"/>
    <n v="0"/>
    <n v="175574.5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7"/>
    <x v="0"/>
    <x v="7"/>
    <x v="0"/>
    <x v="0"/>
    <x v="0"/>
    <x v="0"/>
    <x v="0"/>
    <x v="2"/>
    <x v="2"/>
    <x v="7"/>
    <x v="7"/>
    <x v="7"/>
    <x v="7"/>
    <x v="7"/>
    <x v="7"/>
    <x v="7"/>
    <x v="7"/>
    <x v="7"/>
    <x v="7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NTERESES DE SOBREGIRO"/>
    <n v="381.98"/>
    <n v="0"/>
    <n v="381.98"/>
    <x v="0"/>
    <x v="0"/>
    <x v="0"/>
    <n v="381.98"/>
    <n v="0"/>
    <n v="381.98"/>
    <x v="0"/>
    <x v="0"/>
    <x v="0"/>
    <n v="381.98"/>
    <n v="0"/>
    <n v="381.98"/>
    <x v="0"/>
    <x v="0"/>
    <x v="0"/>
    <x v="0"/>
    <x v="0"/>
  </r>
  <r>
    <x v="0"/>
    <x v="0"/>
    <x v="0"/>
    <x v="6"/>
    <x v="6"/>
    <x v="9"/>
    <x v="9"/>
    <n v="1102"/>
    <s v="810003155"/>
    <s v="CENTRO DE NEGOCIOS SIGLO XXI"/>
    <s v="201901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10003155"/>
    <s v="CENTRO DE NEGOCIOS SIGLO XX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55688 DESCUENTO DEL 9% POR PAGO ANUAL ANTICIPADO DE $82.808"/>
    <n v="82808"/>
    <n v="0"/>
    <n v="82808"/>
    <x v="0"/>
    <x v="0"/>
    <x v="0"/>
    <n v="82808"/>
    <n v="0"/>
    <n v="82808"/>
    <x v="0"/>
    <x v="0"/>
    <x v="0"/>
    <n v="82808"/>
    <n v="0"/>
    <n v="82808"/>
    <x v="0"/>
    <x v="0"/>
    <x v="0"/>
    <x v="0"/>
    <x v="0"/>
  </r>
  <r>
    <x v="0"/>
    <x v="0"/>
    <x v="0"/>
    <x v="5"/>
    <x v="5"/>
    <x v="1"/>
    <x v="1"/>
    <n v="45504"/>
    <s v="1509246"/>
    <s v="MORALES SANTACRUZ JESUS ANTONIO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0"/>
    <x v="0"/>
    <x v="0"/>
    <x v="5"/>
    <x v="5"/>
    <x v="1"/>
    <x v="1"/>
    <n v="45505"/>
    <s v="650187917"/>
    <s v="FREI  HEINRICH ERNEST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0"/>
    <x v="0"/>
    <x v="0"/>
    <x v="1"/>
    <x v="1"/>
    <x v="1"/>
    <x v="1"/>
    <n v="23937"/>
    <s v="892115006"/>
    <s v="CAJA DE COMP. FAMILIAR DE LA GUAJIR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2115006"/>
    <s v="CAJA DE COMP. FAMILIAR DE LA GUAJ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0880  - FV5-651"/>
    <n v="3653"/>
    <n v="0"/>
    <n v="3653"/>
    <x v="0"/>
    <x v="0"/>
    <x v="0"/>
    <n v="3653"/>
    <n v="0"/>
    <n v="3653"/>
    <x v="0"/>
    <x v="0"/>
    <x v="0"/>
    <n v="3653"/>
    <n v="0"/>
    <n v="3653"/>
    <x v="0"/>
    <x v="0"/>
    <x v="0"/>
    <x v="0"/>
    <x v="0"/>
  </r>
  <r>
    <x v="0"/>
    <x v="0"/>
    <x v="0"/>
    <x v="1"/>
    <x v="1"/>
    <x v="1"/>
    <x v="1"/>
    <n v="23941"/>
    <s v="900061516"/>
    <s v="MUEBLES JAMAR S.A"/>
    <s v="201901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697 - FV5-716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0"/>
    <x v="0"/>
    <x v="0"/>
    <x v="3"/>
    <x v="3"/>
    <x v="9"/>
    <x v="9"/>
    <n v="1078"/>
    <s v="811015694"/>
    <s v="INVERSIONES QUINTERO GARCIA LIMITADA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355002 DESCUENTO COMERCIAL AÑO ANTICIPADO"/>
    <n v="139329"/>
    <n v="0"/>
    <n v="139329"/>
    <x v="0"/>
    <x v="0"/>
    <x v="0"/>
    <n v="139329"/>
    <n v="0"/>
    <n v="139329"/>
    <x v="0"/>
    <x v="0"/>
    <x v="0"/>
    <n v="139329"/>
    <n v="0"/>
    <n v="139329"/>
    <x v="0"/>
    <x v="0"/>
    <x v="0"/>
    <x v="0"/>
    <x v="0"/>
  </r>
  <r>
    <x v="0"/>
    <x v="0"/>
    <x v="0"/>
    <x v="3"/>
    <x v="3"/>
    <x v="1"/>
    <x v="1"/>
    <n v="37060"/>
    <s v="900059238"/>
    <s v="MAKRO SUPERMAYORISTA S.A.S"/>
    <s v="201901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9238"/>
    <s v="MAKRO SUPERMAYORIST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FV4- 980 - SOPORTE ENVIADO POR DAYRO ECHEVERRIA"/>
    <n v="59"/>
    <n v="0"/>
    <n v="59"/>
    <x v="0"/>
    <x v="0"/>
    <x v="0"/>
    <n v="59"/>
    <n v="0"/>
    <n v="59"/>
    <x v="0"/>
    <x v="0"/>
    <x v="0"/>
    <n v="59"/>
    <n v="0"/>
    <n v="59"/>
    <x v="0"/>
    <x v="0"/>
    <x v="0"/>
    <x v="0"/>
    <x v="0"/>
  </r>
  <r>
    <x v="0"/>
    <x v="0"/>
    <x v="0"/>
    <x v="5"/>
    <x v="5"/>
    <x v="1"/>
    <x v="1"/>
    <n v="45555"/>
    <s v="900081559"/>
    <s v="REDITOS EMPRESARIALES S.A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081559"/>
    <s v="REDITOS EMPRESA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87"/>
    <n v="0"/>
    <n v="2187"/>
    <x v="0"/>
    <x v="0"/>
    <x v="0"/>
    <n v="2187"/>
    <n v="0"/>
    <n v="2187"/>
    <x v="0"/>
    <x v="0"/>
    <x v="0"/>
    <n v="2187"/>
    <n v="0"/>
    <n v="2187"/>
    <x v="0"/>
    <x v="0"/>
    <x v="0"/>
    <x v="0"/>
    <x v="0"/>
  </r>
  <r>
    <x v="0"/>
    <x v="0"/>
    <x v="0"/>
    <x v="5"/>
    <x v="5"/>
    <x v="1"/>
    <x v="1"/>
    <n v="45558"/>
    <s v="811003486"/>
    <s v="QUIPUX SAS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 355031, CO MEDELLIN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0"/>
    <x v="0"/>
    <x v="0"/>
    <x v="5"/>
    <x v="5"/>
    <x v="9"/>
    <x v="9"/>
    <n v="1202"/>
    <s v="805024070"/>
    <s v="MGI VIA CONSULTORIA S.A.S."/>
    <s v="201901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4070"/>
    <s v="MGI VIA CONSULTORI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AÑO ANTICIPADO, 9% EN FACTURA $104.993"/>
    <n v="104993"/>
    <n v="0"/>
    <n v="104993"/>
    <x v="0"/>
    <x v="0"/>
    <x v="0"/>
    <n v="104993"/>
    <n v="0"/>
    <n v="104993"/>
    <x v="0"/>
    <x v="0"/>
    <x v="0"/>
    <n v="104993"/>
    <n v="0"/>
    <n v="104993"/>
    <x v="0"/>
    <x v="0"/>
    <x v="0"/>
    <x v="0"/>
    <x v="0"/>
  </r>
  <r>
    <x v="0"/>
    <x v="0"/>
    <x v="0"/>
    <x v="5"/>
    <x v="5"/>
    <x v="1"/>
    <x v="1"/>
    <n v="45591"/>
    <s v="811021363"/>
    <s v="UNIPLES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1363"/>
    <s v="UNIP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0"/>
    <x v="0"/>
    <x v="0"/>
    <x v="5"/>
    <x v="5"/>
    <x v="9"/>
    <x v="9"/>
    <n v="1205"/>
    <s v="811028725"/>
    <s v="DISTRIMEDICAL S.A.S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O MEDELLIN,DESCUENTO DEL 4.5% EN FACTURA SEMESTRE ANTICIPADO$58.514"/>
    <n v="58514"/>
    <n v="0"/>
    <n v="58514"/>
    <x v="0"/>
    <x v="0"/>
    <x v="0"/>
    <n v="58514"/>
    <n v="0"/>
    <n v="58514"/>
    <x v="0"/>
    <x v="0"/>
    <x v="0"/>
    <n v="58514"/>
    <n v="0"/>
    <n v="58514"/>
    <x v="0"/>
    <x v="0"/>
    <x v="0"/>
    <x v="0"/>
    <x v="0"/>
  </r>
  <r>
    <x v="0"/>
    <x v="0"/>
    <x v="0"/>
    <x v="5"/>
    <x v="5"/>
    <x v="1"/>
    <x v="1"/>
    <n v="45599"/>
    <s v="900535544"/>
    <s v="PREMIER INVESMENT S.A."/>
    <s v="201901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35544"/>
    <s v="PREMIER INVESMENT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ULTIMA CUOTA ACUERDO ANTERIOR."/>
    <n v="2824"/>
    <n v="0"/>
    <n v="2824"/>
    <x v="0"/>
    <x v="0"/>
    <x v="0"/>
    <n v="2824"/>
    <n v="0"/>
    <n v="2824"/>
    <x v="0"/>
    <x v="0"/>
    <x v="0"/>
    <n v="2824"/>
    <n v="0"/>
    <n v="2824"/>
    <x v="0"/>
    <x v="0"/>
    <x v="0"/>
    <x v="0"/>
    <x v="0"/>
  </r>
  <r>
    <x v="1"/>
    <x v="0"/>
    <x v="0"/>
    <x v="3"/>
    <x v="3"/>
    <x v="9"/>
    <x v="9"/>
    <n v="1082"/>
    <s v="890923354"/>
    <s v="CENTRO CCIAL CAMINO REAL"/>
    <s v="201902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23354"/>
    <s v="CENTRO CCIAL CAMINO RE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938, SE APLICA PRONTO PAGO DE $ 1.575.005 EL CLIENTE PAGA ANUAL CON UN DCTO DEL 9%"/>
    <n v="1575005"/>
    <n v="0"/>
    <n v="1575005"/>
    <x v="0"/>
    <x v="0"/>
    <x v="0"/>
    <n v="1575005"/>
    <n v="0"/>
    <n v="1575005"/>
    <x v="0"/>
    <x v="0"/>
    <x v="0"/>
    <n v="1575005"/>
    <n v="0"/>
    <n v="1575005"/>
    <x v="0"/>
    <x v="0"/>
    <x v="0"/>
    <x v="0"/>
    <x v="0"/>
  </r>
  <r>
    <x v="1"/>
    <x v="0"/>
    <x v="0"/>
    <x v="3"/>
    <x v="3"/>
    <x v="1"/>
    <x v="1"/>
    <n v="37116"/>
    <s v="811013715"/>
    <s v="LINEA ADHESIVA S.A"/>
    <s v="201902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5005 SE REALIZA DCTO POR PRONTO PAGO DE $ 51.008"/>
    <n v="51008"/>
    <n v="0"/>
    <n v="51008"/>
    <x v="0"/>
    <x v="0"/>
    <x v="0"/>
    <n v="51008"/>
    <n v="0"/>
    <n v="51008"/>
    <x v="0"/>
    <x v="0"/>
    <x v="0"/>
    <n v="51008"/>
    <n v="0"/>
    <n v="51008"/>
    <x v="0"/>
    <x v="0"/>
    <x v="0"/>
    <x v="0"/>
    <x v="0"/>
  </r>
  <r>
    <x v="7"/>
    <x v="0"/>
    <x v="0"/>
    <x v="3"/>
    <x v="3"/>
    <x v="9"/>
    <x v="9"/>
    <n v="1117"/>
    <s v="890906347"/>
    <s v="E.S.E HOSP MANUEL URIBE ANGEL"/>
    <s v="20190412"/>
    <x v="12"/>
    <x v="0"/>
    <x v="12"/>
    <x v="0"/>
    <x v="0"/>
    <x v="0"/>
    <x v="0"/>
    <x v="0"/>
    <x v="2"/>
    <x v="2"/>
    <x v="10"/>
    <x v="6"/>
    <x v="12"/>
    <x v="12"/>
    <x v="12"/>
    <x v="12"/>
    <x v="12"/>
    <x v="12"/>
    <x v="12"/>
    <x v="12"/>
    <x v="3"/>
    <x v="3"/>
    <x v="0"/>
    <x v="0"/>
    <x v="0"/>
    <x v="0"/>
    <s v="890906347"/>
    <s v="E.S.E HOSP MANUEL URIBE ANG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970-354587-354586_x000d__x000a_RETEIVA $ 49.561_x000d__x000a_"/>
    <n v="4999"/>
    <n v="0"/>
    <n v="4999"/>
    <x v="0"/>
    <x v="0"/>
    <x v="0"/>
    <n v="4999"/>
    <n v="0"/>
    <n v="4999"/>
    <x v="0"/>
    <x v="0"/>
    <x v="0"/>
    <n v="4999"/>
    <n v="0"/>
    <n v="4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4.699999999997"/>
    <n v="0"/>
    <n v="39864.700000000004"/>
    <x v="0"/>
    <x v="0"/>
    <x v="0"/>
    <n v="0"/>
    <n v="0"/>
    <n v="0"/>
    <x v="0"/>
    <x v="0"/>
    <x v="0"/>
    <n v="39864.699999999997"/>
    <n v="0"/>
    <n v="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4.699999999997"/>
    <n v="-39864.700000000004"/>
    <x v="0"/>
    <x v="0"/>
    <x v="0"/>
    <n v="0"/>
    <n v="0"/>
    <n v="0"/>
    <x v="0"/>
    <x v="0"/>
    <x v="0"/>
    <n v="0"/>
    <n v="39864.699999999997"/>
    <n v="-39864.7000000000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1"/>
    <x v="0"/>
    <x v="0"/>
    <x v="2"/>
    <x v="2"/>
    <x v="9"/>
    <x v="9"/>
    <n v="1482"/>
    <s v="860002964"/>
    <s v="BANCO DE BOGOTA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RET/ICA $ 8.218 Y $ 92.872 POR PAGO ANTICIPADO"/>
    <n v="92872"/>
    <n v="0"/>
    <n v="92872"/>
    <x v="0"/>
    <x v="0"/>
    <x v="0"/>
    <n v="92872"/>
    <n v="0"/>
    <n v="92872"/>
    <x v="0"/>
    <x v="0"/>
    <x v="0"/>
    <n v="92872"/>
    <n v="0"/>
    <n v="92872"/>
    <x v="0"/>
    <x v="0"/>
    <x v="0"/>
    <x v="0"/>
    <x v="0"/>
  </r>
  <r>
    <x v="1"/>
    <x v="0"/>
    <x v="0"/>
    <x v="5"/>
    <x v="5"/>
    <x v="1"/>
    <x v="1"/>
    <n v="45999"/>
    <s v="650187917"/>
    <s v="FREI  HEINRICH ERNEST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5"/>
    <x v="0"/>
    <x v="0"/>
    <x v="3"/>
    <x v="3"/>
    <x v="1"/>
    <x v="1"/>
    <n v="37269"/>
    <s v="860048371"/>
    <s v="PROTEICOL S.A.S"/>
    <s v="201903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8371"/>
    <s v="PROTEICO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S # 355946-355947"/>
    <n v="13417"/>
    <n v="0"/>
    <n v="13417"/>
    <x v="0"/>
    <x v="0"/>
    <x v="0"/>
    <n v="13417"/>
    <n v="0"/>
    <n v="13417"/>
    <x v="0"/>
    <x v="0"/>
    <x v="0"/>
    <n v="13417"/>
    <n v="0"/>
    <n v="13417"/>
    <x v="0"/>
    <x v="0"/>
    <x v="0"/>
    <x v="0"/>
    <x v="0"/>
  </r>
  <r>
    <x v="5"/>
    <x v="0"/>
    <x v="0"/>
    <x v="0"/>
    <x v="0"/>
    <x v="0"/>
    <x v="0"/>
    <n v="4285"/>
    <s v="891410922"/>
    <s v="CENTRO COMERCIAL ALCIDES AREVALO (PEREIR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0922"/>
    <s v="CENTRO COMERCIAL ALCIDES AREVALO (PEREI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5"/>
    <x v="5"/>
    <x v="1"/>
    <x v="1"/>
    <n v="46117"/>
    <s v="805009741"/>
    <s v="COOMEVA MEDICINA PREPAGAD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357167,357131,356898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1"/>
    <x v="1"/>
    <x v="1"/>
    <x v="1"/>
    <n v="24230"/>
    <s v="802016130"/>
    <s v="CENTRO COMERCIAL BUENAVIST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578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5"/>
    <x v="0"/>
    <x v="0"/>
    <x v="1"/>
    <x v="1"/>
    <x v="1"/>
    <x v="1"/>
    <n v="24231"/>
    <s v="806012958"/>
    <s v="IPS SALUD DEL CARIBE S.A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527 - FVA-357540 - FVA-357545 - FVA-357550 - FV6-1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5"/>
    <x v="0"/>
    <x v="0"/>
    <x v="5"/>
    <x v="5"/>
    <x v="1"/>
    <x v="1"/>
    <n v="46236"/>
    <s v="900569801"/>
    <s v="MARGARITA PEÑA S.A.S.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5"/>
    <x v="0"/>
    <x v="0"/>
    <x v="5"/>
    <x v="5"/>
    <x v="1"/>
    <x v="1"/>
    <n v="46237"/>
    <s v="1509246"/>
    <s v="MORALES SANTACRUZ JESUS ANTONIO"/>
    <s v="201903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5"/>
    <x v="0"/>
    <x v="0"/>
    <x v="5"/>
    <x v="5"/>
    <x v="1"/>
    <x v="1"/>
    <n v="46260"/>
    <s v="34318168"/>
    <s v="ERAZO TORRES ZULMA VIVIAN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4318168"/>
    <s v="ERAZO TORRES ZULMA VIVIA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00"/>
    <n v="0"/>
    <n v="500"/>
    <x v="0"/>
    <x v="0"/>
    <x v="0"/>
    <n v="500"/>
    <n v="0"/>
    <n v="500"/>
    <x v="0"/>
    <x v="0"/>
    <x v="0"/>
    <n v="500"/>
    <n v="0"/>
    <n v="500"/>
    <x v="0"/>
    <x v="0"/>
    <x v="0"/>
    <x v="0"/>
    <x v="0"/>
  </r>
  <r>
    <x v="5"/>
    <x v="0"/>
    <x v="0"/>
    <x v="5"/>
    <x v="5"/>
    <x v="9"/>
    <x v="9"/>
    <n v="1258"/>
    <s v="830011670"/>
    <s v="COPSERVIR LTDA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011670"/>
    <s v="COPSERVIR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463.970"/>
    <n v="463970"/>
    <n v="0"/>
    <n v="463970"/>
    <x v="0"/>
    <x v="0"/>
    <x v="0"/>
    <n v="463970"/>
    <n v="0"/>
    <n v="463970"/>
    <x v="0"/>
    <x v="0"/>
    <x v="0"/>
    <n v="463970"/>
    <n v="0"/>
    <n v="463970"/>
    <x v="0"/>
    <x v="0"/>
    <x v="0"/>
    <x v="0"/>
    <x v="0"/>
  </r>
  <r>
    <x v="5"/>
    <x v="0"/>
    <x v="0"/>
    <x v="1"/>
    <x v="1"/>
    <x v="1"/>
    <x v="1"/>
    <n v="24278"/>
    <s v="901062361"/>
    <s v="INVERSIONES MARCRI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283"/>
    <s v="900699086"/>
    <s v="CLINICA PALMA REAL S.A.S"/>
    <s v="2019040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99086"/>
    <s v="CLINICA PALMA RE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086"/>
    <n v="0"/>
    <n v="2086"/>
    <x v="0"/>
    <x v="0"/>
    <x v="0"/>
    <n v="2086"/>
    <n v="0"/>
    <n v="2086"/>
    <x v="0"/>
    <x v="0"/>
    <x v="0"/>
    <n v="2086"/>
    <n v="0"/>
    <n v="2086"/>
    <x v="0"/>
    <x v="0"/>
    <x v="0"/>
    <x v="0"/>
    <x v="0"/>
  </r>
  <r>
    <x v="7"/>
    <x v="0"/>
    <x v="0"/>
    <x v="5"/>
    <x v="5"/>
    <x v="1"/>
    <x v="1"/>
    <n v="46311"/>
    <s v="860037900"/>
    <s v="CONSTRUCTORA  BOLIVAR  CALI S.A"/>
    <s v="201904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471,472,473,475,476,865."/>
    <n v="2717"/>
    <n v="0"/>
    <n v="2717"/>
    <x v="0"/>
    <x v="0"/>
    <x v="0"/>
    <n v="2717"/>
    <n v="0"/>
    <n v="2717"/>
    <x v="0"/>
    <x v="0"/>
    <x v="0"/>
    <n v="2717"/>
    <n v="0"/>
    <n v="2717"/>
    <x v="0"/>
    <x v="0"/>
    <x v="0"/>
    <x v="0"/>
    <x v="0"/>
  </r>
  <r>
    <x v="7"/>
    <x v="0"/>
    <x v="0"/>
    <x v="2"/>
    <x v="2"/>
    <x v="9"/>
    <x v="9"/>
    <n v="1525"/>
    <s v="860025639"/>
    <s v="MITSUBISHI ELECTRIC DE COLOMBIA LIMITA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5639"/>
    <s v="MITSUBISHI ELECTRIC DE COLOMB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DE AÑO ANTICIPADO APLICA EL %9."/>
    <n v="300705"/>
    <n v="0"/>
    <n v="300705"/>
    <x v="0"/>
    <x v="0"/>
    <x v="0"/>
    <n v="300705"/>
    <n v="0"/>
    <n v="300705"/>
    <x v="0"/>
    <x v="0"/>
    <x v="0"/>
    <n v="300705"/>
    <n v="0"/>
    <n v="300705"/>
    <x v="0"/>
    <x v="0"/>
    <x v="0"/>
    <x v="0"/>
    <x v="0"/>
  </r>
  <r>
    <x v="7"/>
    <x v="0"/>
    <x v="0"/>
    <x v="1"/>
    <x v="1"/>
    <x v="1"/>
    <x v="1"/>
    <n v="24404"/>
    <s v="901062361"/>
    <s v="INVERSIONES MARCRI S.A.S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88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7"/>
    <x v="0"/>
    <x v="0"/>
    <x v="5"/>
    <x v="5"/>
    <x v="1"/>
    <x v="1"/>
    <n v="46528"/>
    <s v="900569801"/>
    <s v="MARGARITA PEÑA S.A.S.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6"/>
    <x v="0"/>
    <x v="0"/>
    <x v="1"/>
    <x v="1"/>
    <x v="1"/>
    <x v="1"/>
    <n v="24466"/>
    <s v="890102508"/>
    <s v="SALES INMOBILIARI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2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667"/>
    <s v="800048954"/>
    <s v="CLINICA VERSALLES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6"/>
    <x v="0"/>
    <x v="0"/>
    <x v="5"/>
    <x v="5"/>
    <x v="9"/>
    <x v="9"/>
    <n v="1293"/>
    <s v="805011901"/>
    <s v="LASKIN S.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PAGO AÑO ANTICIPADO %9, $244.218"/>
    <n v="244218"/>
    <n v="0"/>
    <n v="244218"/>
    <x v="0"/>
    <x v="0"/>
    <x v="0"/>
    <n v="244218"/>
    <n v="0"/>
    <n v="244218"/>
    <x v="0"/>
    <x v="0"/>
    <x v="0"/>
    <n v="244218"/>
    <n v="0"/>
    <n v="244218"/>
    <x v="0"/>
    <x v="0"/>
    <x v="0"/>
    <x v="0"/>
    <x v="0"/>
  </r>
  <r>
    <x v="6"/>
    <x v="0"/>
    <x v="0"/>
    <x v="5"/>
    <x v="5"/>
    <x v="1"/>
    <x v="1"/>
    <n v="46712"/>
    <s v="890304375"/>
    <s v="INDUGRAFICAS SA.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6"/>
    <x v="0"/>
    <x v="0"/>
    <x v="1"/>
    <x v="1"/>
    <x v="1"/>
    <x v="1"/>
    <n v="24488"/>
    <s v="1140900157"/>
    <s v="BOZON ALBA VALENTINA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9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6"/>
    <x v="0"/>
    <x v="0"/>
    <x v="3"/>
    <x v="3"/>
    <x v="1"/>
    <x v="1"/>
    <n v="37749"/>
    <s v="900163527"/>
    <s v="CENTRO COMERCIAL SAN NICOLAS PROPIEDAD HORIZONTAL"/>
    <s v="201905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572_x000d__x000a_SE LE OTORGA DCTO COMERCIAL POR PRONTO PAGO  DE $ 71.111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6"/>
    <x v="0"/>
    <x v="0"/>
    <x v="5"/>
    <x v="5"/>
    <x v="1"/>
    <x v="1"/>
    <n v="46741"/>
    <s v="900424306"/>
    <s v="SEGO ENTERPRISE SOLUTIONS SAS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424306"/>
    <s v="SEGO ENTERPRISE SOLUTION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4"/>
    <n v="0"/>
    <n v="64"/>
    <x v="0"/>
    <x v="0"/>
    <x v="0"/>
    <n v="64"/>
    <n v="0"/>
    <n v="64"/>
    <x v="0"/>
    <x v="0"/>
    <x v="0"/>
    <n v="64"/>
    <n v="0"/>
    <n v="64"/>
    <x v="0"/>
    <x v="0"/>
    <x v="0"/>
    <x v="0"/>
    <x v="0"/>
  </r>
  <r>
    <x v="6"/>
    <x v="0"/>
    <x v="0"/>
    <x v="5"/>
    <x v="5"/>
    <x v="1"/>
    <x v="1"/>
    <n v="46742"/>
    <s v="890311006"/>
    <s v="FONDO DE EMPLEADOS DE LAS EMP.MPALES DE CALI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6"/>
    <x v="0"/>
    <x v="0"/>
    <x v="5"/>
    <x v="5"/>
    <x v="9"/>
    <x v="9"/>
    <n v="1296"/>
    <s v="31945039"/>
    <s v="VILLAREAL MORALES ONEIDA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45039"/>
    <s v="VILLAREAL MORALES ONEI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6"/>
    <x v="0"/>
    <x v="0"/>
    <x v="1"/>
    <x v="1"/>
    <x v="1"/>
    <x v="1"/>
    <n v="24502"/>
    <s v="802016306"/>
    <s v="EXPOCONSTRUCCION 43 Y CIA LTDA"/>
    <s v="201905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2"/>
    <n v="35"/>
    <n v="0"/>
    <n v="35"/>
    <x v="0"/>
    <x v="0"/>
    <x v="0"/>
    <n v="35"/>
    <n v="0"/>
    <n v="35"/>
    <x v="0"/>
    <x v="0"/>
    <x v="0"/>
    <n v="35"/>
    <n v="0"/>
    <n v="35"/>
    <x v="0"/>
    <x v="0"/>
    <x v="0"/>
    <x v="0"/>
    <x v="0"/>
  </r>
  <r>
    <x v="6"/>
    <x v="0"/>
    <x v="0"/>
    <x v="5"/>
    <x v="5"/>
    <x v="1"/>
    <x v="1"/>
    <n v="46800"/>
    <s v="860046201"/>
    <s v="FORTOX S.A"/>
    <s v="201905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6"/>
    <x v="0"/>
    <x v="0"/>
    <x v="5"/>
    <x v="5"/>
    <x v="1"/>
    <x v="1"/>
    <n v="46803"/>
    <s v="900825179"/>
    <s v="ELIZABETH TRULLAS  CIA S.A.S"/>
    <s v="201905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6"/>
    <x v="0"/>
    <x v="0"/>
    <x v="5"/>
    <x v="5"/>
    <x v="1"/>
    <x v="1"/>
    <n v="46826"/>
    <s v="900569801"/>
    <s v="MARGARITA PEÑA S.A.S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6849"/>
    <s v="900077291"/>
    <s v="INVERSIONES BENAVIDES SOLARTE SCS"/>
    <s v="201906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6876"/>
    <s v="890304375"/>
    <s v="INDUGRAFICAS SA.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2"/>
    <x v="0"/>
    <x v="0"/>
    <x v="5"/>
    <x v="5"/>
    <x v="1"/>
    <x v="1"/>
    <n v="46904"/>
    <s v="890318490"/>
    <s v="FERRETERIA TUBERIAS S.A.S.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2"/>
    <x v="0"/>
    <x v="0"/>
    <x v="5"/>
    <x v="5"/>
    <x v="1"/>
    <x v="1"/>
    <n v="46905"/>
    <s v="42087065"/>
    <s v="RUEDA OCAMPO CLAUDIA PATRICIA"/>
    <s v="201906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2"/>
    <x v="0"/>
    <x v="0"/>
    <x v="2"/>
    <x v="2"/>
    <x v="9"/>
    <x v="9"/>
    <n v="1574"/>
    <s v="860020058"/>
    <s v="DISTRIBUIDORA TOYOTA S.A.S.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20058"/>
    <s v="DISTRIBUIDORA TOYOT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MESTRE 4.5% $61.668"/>
    <n v="61668"/>
    <n v="0"/>
    <n v="61668"/>
    <x v="0"/>
    <x v="0"/>
    <x v="0"/>
    <n v="61668"/>
    <n v="0"/>
    <n v="61668"/>
    <x v="0"/>
    <x v="0"/>
    <x v="0"/>
    <n v="61668"/>
    <n v="0"/>
    <n v="61668"/>
    <x v="0"/>
    <x v="0"/>
    <x v="0"/>
    <x v="0"/>
    <x v="0"/>
  </r>
  <r>
    <x v="2"/>
    <x v="0"/>
    <x v="0"/>
    <x v="5"/>
    <x v="5"/>
    <x v="9"/>
    <x v="9"/>
    <n v="1306"/>
    <s v="800096895"/>
    <s v="GRUPO CARDIOLOGICO DE OCCIDENTE"/>
    <s v="201906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96895"/>
    <s v="GRUPO CARDIOLOGICO DE OCCIDEN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en factura ok., $146.243"/>
    <n v="146243"/>
    <n v="0"/>
    <n v="146243"/>
    <x v="0"/>
    <x v="0"/>
    <x v="0"/>
    <n v="146243"/>
    <n v="0"/>
    <n v="146243"/>
    <x v="0"/>
    <x v="0"/>
    <x v="0"/>
    <n v="146243"/>
    <n v="0"/>
    <n v="146243"/>
    <x v="0"/>
    <x v="0"/>
    <x v="0"/>
    <x v="0"/>
    <x v="0"/>
  </r>
  <r>
    <x v="2"/>
    <x v="0"/>
    <x v="0"/>
    <x v="5"/>
    <x v="5"/>
    <x v="9"/>
    <x v="9"/>
    <n v="1310"/>
    <s v="830510909"/>
    <s v="RIVERCOL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30510909"/>
    <s v="RIVERCOL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 ANTICIPADO 4.5 % $61.244"/>
    <n v="61244"/>
    <n v="0"/>
    <n v="61244"/>
    <x v="0"/>
    <x v="0"/>
    <x v="0"/>
    <n v="61244"/>
    <n v="0"/>
    <n v="61244"/>
    <x v="0"/>
    <x v="0"/>
    <x v="0"/>
    <n v="61244"/>
    <n v="0"/>
    <n v="61244"/>
    <x v="0"/>
    <x v="0"/>
    <x v="0"/>
    <x v="0"/>
    <x v="0"/>
  </r>
  <r>
    <x v="2"/>
    <x v="0"/>
    <x v="0"/>
    <x v="5"/>
    <x v="5"/>
    <x v="9"/>
    <x v="9"/>
    <n v="1311"/>
    <s v="890303797"/>
    <s v="UNIVERSIDAD SANTIAGO DE CALI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3797"/>
    <s v="UNIVERSIDAD SANTIAGO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AÑO ANTICIPADO, 9% OK, $291.585"/>
    <n v="291585"/>
    <n v="0"/>
    <n v="291585"/>
    <x v="0"/>
    <x v="0"/>
    <x v="0"/>
    <n v="291585"/>
    <n v="0"/>
    <n v="291585"/>
    <x v="0"/>
    <x v="0"/>
    <x v="0"/>
    <n v="291585"/>
    <n v="0"/>
    <n v="291585"/>
    <x v="0"/>
    <x v="0"/>
    <x v="0"/>
    <x v="0"/>
    <x v="0"/>
  </r>
  <r>
    <x v="2"/>
    <x v="0"/>
    <x v="0"/>
    <x v="5"/>
    <x v="5"/>
    <x v="9"/>
    <x v="9"/>
    <n v="1312"/>
    <s v="805007342"/>
    <s v="FONDO DE GARANTIAS S.A. CONFE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7342"/>
    <s v="FONDO DE GARANTIAS S.A. CONF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$395.216"/>
    <n v="395216"/>
    <n v="0"/>
    <n v="395216"/>
    <x v="0"/>
    <x v="0"/>
    <x v="0"/>
    <n v="395216"/>
    <n v="0"/>
    <n v="395216"/>
    <x v="0"/>
    <x v="0"/>
    <x v="0"/>
    <n v="395216"/>
    <n v="0"/>
    <n v="395216"/>
    <x v="0"/>
    <x v="0"/>
    <x v="0"/>
    <x v="0"/>
    <x v="0"/>
  </r>
  <r>
    <x v="2"/>
    <x v="0"/>
    <x v="0"/>
    <x v="5"/>
    <x v="5"/>
    <x v="1"/>
    <x v="1"/>
    <n v="46930"/>
    <s v="817001528"/>
    <s v="PAVCO DE OCCIDENTE SA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2"/>
    <x v="0"/>
    <x v="0"/>
    <x v="5"/>
    <x v="5"/>
    <x v="9"/>
    <x v="9"/>
    <n v="1309"/>
    <s v="805012610"/>
    <s v="FINESA S.A.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2610"/>
    <s v="FINE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ESCUENTO %9  OK, $92.794"/>
    <n v="92794"/>
    <n v="0"/>
    <n v="92794"/>
    <x v="0"/>
    <x v="0"/>
    <x v="0"/>
    <n v="92794"/>
    <n v="0"/>
    <n v="92794"/>
    <x v="0"/>
    <x v="0"/>
    <x v="0"/>
    <n v="92794"/>
    <n v="0"/>
    <n v="92794"/>
    <x v="0"/>
    <x v="0"/>
    <x v="0"/>
    <x v="0"/>
    <x v="0"/>
  </r>
  <r>
    <x v="0"/>
    <x v="0"/>
    <x v="0"/>
    <x v="0"/>
    <x v="0"/>
    <x v="2"/>
    <x v="2"/>
    <n v="19431"/>
    <s v="860007660"/>
    <s v="HELM BANK S.A."/>
    <s v="201901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K 4225 -"/>
    <n v="274281.71999999997"/>
    <n v="0"/>
    <n v="274281.72000000003"/>
    <x v="0"/>
    <x v="0"/>
    <x v="0"/>
    <n v="274281.71999999997"/>
    <n v="0"/>
    <n v="274281.72000000003"/>
    <x v="0"/>
    <x v="0"/>
    <x v="0"/>
    <n v="274281.71999999997"/>
    <n v="0"/>
    <n v="274281.72000000003"/>
    <x v="0"/>
    <x v="0"/>
    <x v="0"/>
    <x v="0"/>
    <x v="0"/>
  </r>
  <r>
    <x v="0"/>
    <x v="0"/>
    <x v="0"/>
    <x v="0"/>
    <x v="0"/>
    <x v="2"/>
    <x v="2"/>
    <n v="19611"/>
    <s v="860002964"/>
    <s v="BANCO DE BOGOT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246057"/>
    <n v="0"/>
    <n v="246057"/>
    <x v="0"/>
    <x v="0"/>
    <x v="0"/>
    <n v="246057"/>
    <n v="0"/>
    <n v="246057"/>
    <x v="0"/>
    <x v="0"/>
    <x v="0"/>
    <n v="246057"/>
    <n v="0"/>
    <n v="246057"/>
    <x v="0"/>
    <x v="0"/>
    <x v="0"/>
    <x v="0"/>
    <x v="0"/>
  </r>
  <r>
    <x v="0"/>
    <x v="0"/>
    <x v="0"/>
    <x v="0"/>
    <x v="0"/>
    <x v="2"/>
    <x v="2"/>
    <n v="19612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- ENERO 2019"/>
    <n v="26796.03"/>
    <n v="0"/>
    <n v="26796.03"/>
    <x v="0"/>
    <x v="0"/>
    <x v="0"/>
    <n v="26796.03"/>
    <n v="0"/>
    <n v="26796.03"/>
    <x v="0"/>
    <x v="0"/>
    <x v="0"/>
    <n v="26796.03"/>
    <n v="0"/>
    <n v="26796.03"/>
    <x v="0"/>
    <x v="0"/>
    <x v="0"/>
    <x v="0"/>
    <x v="0"/>
  </r>
  <r>
    <x v="0"/>
    <x v="0"/>
    <x v="0"/>
    <x v="0"/>
    <x v="0"/>
    <x v="2"/>
    <x v="2"/>
    <n v="19633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8"/>
    <n v="18426"/>
    <n v="0"/>
    <n v="18426"/>
    <x v="0"/>
    <x v="0"/>
    <x v="0"/>
    <n v="18426"/>
    <n v="0"/>
    <n v="18426"/>
    <x v="0"/>
    <x v="0"/>
    <x v="0"/>
    <n v="18426"/>
    <n v="0"/>
    <n v="18426"/>
    <x v="0"/>
    <x v="0"/>
    <x v="0"/>
    <x v="0"/>
    <x v="0"/>
  </r>
  <r>
    <x v="0"/>
    <x v="0"/>
    <x v="0"/>
    <x v="0"/>
    <x v="0"/>
    <x v="2"/>
    <x v="2"/>
    <n v="19635"/>
    <s v="900406150"/>
    <s v="BANCO COOMEV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ENERO DEL 2019"/>
    <n v="116232.29"/>
    <n v="0"/>
    <n v="116232.29000000001"/>
    <x v="0"/>
    <x v="0"/>
    <x v="0"/>
    <n v="116232.29"/>
    <n v="0"/>
    <n v="116232.29000000001"/>
    <x v="0"/>
    <x v="0"/>
    <x v="0"/>
    <n v="116232.29"/>
    <n v="0"/>
    <n v="116232.29000000001"/>
    <x v="0"/>
    <x v="0"/>
    <x v="0"/>
    <x v="0"/>
    <x v="0"/>
  </r>
  <r>
    <x v="0"/>
    <x v="0"/>
    <x v="0"/>
    <x v="0"/>
    <x v="0"/>
    <x v="2"/>
    <x v="2"/>
    <n v="19620"/>
    <s v="890300279"/>
    <s v="BANCO DE OCCIDENTE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OCCIDENTE"/>
    <n v="261000"/>
    <n v="0"/>
    <n v="261000"/>
    <x v="0"/>
    <x v="0"/>
    <x v="0"/>
    <n v="261000"/>
    <n v="0"/>
    <n v="261000"/>
    <x v="0"/>
    <x v="0"/>
    <x v="0"/>
    <n v="261000"/>
    <n v="0"/>
    <n v="261000"/>
    <x v="0"/>
    <x v="0"/>
    <x v="0"/>
    <x v="0"/>
    <x v="0"/>
  </r>
  <r>
    <x v="0"/>
    <x v="0"/>
    <x v="0"/>
    <x v="0"/>
    <x v="0"/>
    <x v="2"/>
    <x v="2"/>
    <n v="19572"/>
    <s v="890311940"/>
    <s v="TURISMO MARVAN SA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NCOLOMBIA"/>
    <n v="3993.14"/>
    <n v="0"/>
    <n v="3993.14"/>
    <x v="0"/>
    <x v="0"/>
    <x v="0"/>
    <n v="3993.14"/>
    <n v="0"/>
    <n v="3993.14"/>
    <x v="0"/>
    <x v="0"/>
    <x v="0"/>
    <n v="3993.14"/>
    <n v="0"/>
    <n v="3993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5"/>
    <x v="5"/>
    <x v="1"/>
    <x v="1"/>
    <n v="45947"/>
    <s v="800004599"/>
    <s v="COMERCIALIZADORA MARDEN LTD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04599"/>
    <s v="COMERCIALIZADORA MARDEN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1"/>
    <x v="0"/>
    <x v="0"/>
    <x v="5"/>
    <x v="5"/>
    <x v="9"/>
    <x v="9"/>
    <n v="1236"/>
    <s v="800024390"/>
    <s v="DIME CLINICA NEUROCARDIOVASCULAR S.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24390"/>
    <s v="DIME CLINICA NEUROCARDIOVASCUL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243.540"/>
    <n v="243540"/>
    <n v="0"/>
    <n v="243540"/>
    <x v="0"/>
    <x v="0"/>
    <x v="0"/>
    <n v="243540"/>
    <n v="0"/>
    <n v="243540"/>
    <x v="0"/>
    <x v="0"/>
    <x v="0"/>
    <n v="243540"/>
    <n v="0"/>
    <n v="243540"/>
    <x v="0"/>
    <x v="0"/>
    <x v="0"/>
    <x v="0"/>
    <x v="0"/>
  </r>
  <r>
    <x v="1"/>
    <x v="0"/>
    <x v="0"/>
    <x v="1"/>
    <x v="1"/>
    <x v="1"/>
    <x v="1"/>
    <n v="24128"/>
    <s v="32757237"/>
    <s v="MEDINA OLIVEROS FARATH DIVA"/>
    <s v="201902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725"/>
    <n v="707"/>
    <n v="0"/>
    <n v="707"/>
    <x v="0"/>
    <x v="0"/>
    <x v="0"/>
    <n v="707"/>
    <n v="0"/>
    <n v="707"/>
    <x v="0"/>
    <x v="0"/>
    <x v="0"/>
    <n v="707"/>
    <n v="0"/>
    <n v="707"/>
    <x v="0"/>
    <x v="0"/>
    <x v="0"/>
    <x v="0"/>
    <x v="0"/>
  </r>
  <r>
    <x v="1"/>
    <x v="0"/>
    <x v="0"/>
    <x v="1"/>
    <x v="1"/>
    <x v="1"/>
    <x v="1"/>
    <n v="24134"/>
    <s v="802010909"/>
    <s v="INVERSIONES WONGFOEN S.A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2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1"/>
    <x v="1"/>
    <x v="1"/>
    <x v="1"/>
    <n v="24137"/>
    <s v="802016130"/>
    <s v="CENTRO COMERCIAL BUENAVISTA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481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1"/>
    <x v="0"/>
    <x v="0"/>
    <x v="5"/>
    <x v="5"/>
    <x v="1"/>
    <x v="1"/>
    <n v="45963"/>
    <s v="900569801"/>
    <s v="MARGARITA PEÑA S.A.S.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341"/>
    <n v="0"/>
    <n v="4341"/>
    <x v="0"/>
    <x v="0"/>
    <x v="0"/>
    <n v="4341"/>
    <n v="0"/>
    <n v="4341"/>
    <x v="0"/>
    <x v="0"/>
    <x v="0"/>
    <n v="4341"/>
    <n v="0"/>
    <n v="4341"/>
    <x v="0"/>
    <x v="0"/>
    <x v="0"/>
    <x v="0"/>
    <x v="0"/>
  </r>
  <r>
    <x v="1"/>
    <x v="0"/>
    <x v="0"/>
    <x v="5"/>
    <x v="5"/>
    <x v="1"/>
    <x v="1"/>
    <n v="45964"/>
    <s v="900825179"/>
    <s v="ELIZABETH TRULLAS  CIA S.A.S"/>
    <s v="201902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0"/>
    <n v="0"/>
    <n v="150"/>
    <x v="0"/>
    <x v="0"/>
    <x v="0"/>
    <n v="150"/>
    <n v="0"/>
    <n v="150"/>
    <x v="0"/>
    <x v="0"/>
    <x v="0"/>
    <n v="150"/>
    <n v="0"/>
    <n v="150"/>
    <x v="0"/>
    <x v="0"/>
    <x v="0"/>
    <x v="0"/>
    <x v="0"/>
  </r>
  <r>
    <x v="1"/>
    <x v="0"/>
    <x v="0"/>
    <x v="5"/>
    <x v="5"/>
    <x v="1"/>
    <x v="1"/>
    <n v="45974"/>
    <s v="1509246"/>
    <s v="MORALES SANTACRUZ JESUS ANTONIO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791"/>
    <n v="0"/>
    <n v="2791"/>
    <x v="0"/>
    <x v="0"/>
    <x v="0"/>
    <n v="2791"/>
    <n v="0"/>
    <n v="2791"/>
    <x v="0"/>
    <x v="0"/>
    <x v="0"/>
    <n v="2791"/>
    <n v="0"/>
    <n v="2791"/>
    <x v="0"/>
    <x v="0"/>
    <x v="0"/>
    <x v="0"/>
    <x v="0"/>
  </r>
  <r>
    <x v="1"/>
    <x v="0"/>
    <x v="0"/>
    <x v="5"/>
    <x v="5"/>
    <x v="1"/>
    <x v="1"/>
    <n v="45975"/>
    <s v="890318490"/>
    <s v="FERRETERIA TUBERIAS S.A.S.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1"/>
    <x v="1"/>
    <n v="46046"/>
    <s v="890304375"/>
    <s v="INDUGRAFICAS SA."/>
    <s v="201903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375"/>
    <s v="INDUGRAFICAS S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O."/>
    <n v="10591.65"/>
    <n v="0"/>
    <n v="10591.65"/>
    <x v="0"/>
    <x v="0"/>
    <x v="0"/>
    <n v="10591.65"/>
    <n v="0"/>
    <n v="10591.65"/>
    <x v="0"/>
    <x v="0"/>
    <x v="0"/>
    <n v="10591.65"/>
    <n v="0"/>
    <n v="10591.65"/>
    <x v="0"/>
    <x v="0"/>
    <x v="0"/>
    <x v="0"/>
    <x v="0"/>
  </r>
  <r>
    <x v="5"/>
    <x v="0"/>
    <x v="0"/>
    <x v="0"/>
    <x v="0"/>
    <x v="0"/>
    <x v="0"/>
    <n v="4286"/>
    <s v="890915992"/>
    <s v="INUBERCO"/>
    <s v="201903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5992"/>
    <s v="INUBERC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SALDO DEJADO DE APLICAR SOBRE FACTURA DEL AÑO 2018"/>
    <n v="21398"/>
    <n v="0"/>
    <n v="21398"/>
    <x v="0"/>
    <x v="0"/>
    <x v="0"/>
    <n v="21398"/>
    <n v="0"/>
    <n v="21398"/>
    <x v="0"/>
    <x v="0"/>
    <x v="0"/>
    <n v="21398"/>
    <n v="0"/>
    <n v="21398"/>
    <x v="0"/>
    <x v="0"/>
    <x v="0"/>
    <x v="0"/>
    <x v="0"/>
  </r>
  <r>
    <x v="5"/>
    <x v="0"/>
    <x v="0"/>
    <x v="1"/>
    <x v="1"/>
    <x v="1"/>
    <x v="1"/>
    <n v="24173"/>
    <s v="901062361"/>
    <s v="INVERSIONES MARCRI S.A.S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49"/>
    <n v="10"/>
    <n v="0"/>
    <n v="10"/>
    <x v="0"/>
    <x v="0"/>
    <x v="0"/>
    <n v="10"/>
    <n v="0"/>
    <n v="10"/>
    <x v="0"/>
    <x v="0"/>
    <x v="0"/>
    <n v="10"/>
    <n v="0"/>
    <n v="10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1167"/>
    <s v="CENTRO DE DISEÑO PORTOB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10956"/>
    <n v="0"/>
    <n v="10956"/>
    <x v="0"/>
    <x v="0"/>
    <x v="0"/>
    <n v="10956"/>
    <n v="0"/>
    <n v="10956"/>
    <x v="0"/>
    <x v="0"/>
    <x v="0"/>
    <n v="10956"/>
    <n v="0"/>
    <n v="10956"/>
    <x v="0"/>
    <x v="0"/>
    <x v="0"/>
    <x v="0"/>
    <x v="0"/>
  </r>
  <r>
    <x v="5"/>
    <x v="0"/>
    <x v="0"/>
    <x v="0"/>
    <x v="0"/>
    <x v="0"/>
    <x v="0"/>
    <n v="4288"/>
    <s v="830011167"/>
    <s v="CENTRO DE DISEÑO PORTOBELO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10268"/>
    <s v="AJOVE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S DEJADOS DE APLICAR EN LOS RECIBOS DE CAJA"/>
    <n v="360"/>
    <n v="0"/>
    <n v="360"/>
    <x v="0"/>
    <x v="0"/>
    <x v="0"/>
    <n v="360"/>
    <n v="0"/>
    <n v="360"/>
    <x v="0"/>
    <x v="0"/>
    <x v="0"/>
    <n v="360"/>
    <n v="0"/>
    <n v="360"/>
    <x v="0"/>
    <x v="0"/>
    <x v="0"/>
    <x v="0"/>
    <x v="0"/>
  </r>
  <r>
    <x v="5"/>
    <x v="0"/>
    <x v="0"/>
    <x v="5"/>
    <x v="5"/>
    <x v="1"/>
    <x v="1"/>
    <n v="46077"/>
    <s v="800054863"/>
    <s v="HEMISFERIO TOURS Y CIA LTD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450"/>
    <n v="0"/>
    <n v="4450"/>
    <x v="0"/>
    <x v="0"/>
    <x v="0"/>
    <n v="4450"/>
    <n v="0"/>
    <n v="4450"/>
    <x v="0"/>
    <x v="0"/>
    <x v="0"/>
    <n v="4450"/>
    <n v="0"/>
    <n v="4450"/>
    <x v="0"/>
    <x v="0"/>
    <x v="0"/>
    <x v="0"/>
    <x v="0"/>
  </r>
  <r>
    <x v="5"/>
    <x v="0"/>
    <x v="0"/>
    <x v="1"/>
    <x v="1"/>
    <x v="1"/>
    <x v="1"/>
    <n v="24181"/>
    <s v="900061516"/>
    <s v="MUEBLES JAMAR S.A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3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5"/>
    <x v="5"/>
    <x v="9"/>
    <x v="9"/>
    <n v="1246"/>
    <s v="900393834"/>
    <s v="INVERSIONES OB S.A.S"/>
    <s v="201903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93834"/>
    <s v="INVERSIONES OB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EMESTRE ANTICIPADO 4.5% $ 29.700"/>
    <n v="29700"/>
    <n v="0"/>
    <n v="29700"/>
    <x v="0"/>
    <x v="0"/>
    <x v="0"/>
    <n v="29700"/>
    <n v="0"/>
    <n v="29700"/>
    <x v="0"/>
    <x v="0"/>
    <x v="0"/>
    <n v="29700"/>
    <n v="0"/>
    <n v="29700"/>
    <x v="0"/>
    <x v="0"/>
    <x v="0"/>
    <x v="0"/>
    <x v="0"/>
  </r>
  <r>
    <x v="5"/>
    <x v="0"/>
    <x v="0"/>
    <x v="1"/>
    <x v="1"/>
    <x v="1"/>
    <x v="1"/>
    <n v="24193"/>
    <s v="890102508"/>
    <s v="SALES INMOBILIARIA S.A.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37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5"/>
    <x v="0"/>
    <x v="0"/>
    <x v="0"/>
    <x v="0"/>
    <x v="1"/>
    <x v="1"/>
    <n v="2381"/>
    <s v="98533053"/>
    <s v="PUETAMAN GUERRERO JAN"/>
    <s v="201903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8533053"/>
    <s v="PUETAMAN GUERRERO J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918"/>
    <n v="0"/>
    <n v="5918"/>
    <x v="0"/>
    <x v="0"/>
    <x v="0"/>
    <n v="5918"/>
    <n v="0"/>
    <n v="5918"/>
    <x v="0"/>
    <x v="0"/>
    <x v="0"/>
    <n v="5918"/>
    <n v="0"/>
    <n v="5918"/>
    <x v="0"/>
    <x v="0"/>
    <x v="0"/>
    <x v="0"/>
    <x v="0"/>
  </r>
  <r>
    <x v="5"/>
    <x v="0"/>
    <x v="0"/>
    <x v="6"/>
    <x v="6"/>
    <x v="9"/>
    <x v="9"/>
    <n v="1123"/>
    <s v="830053812"/>
    <s v="ALIANZA FIDUCIARIA S.A. FIDEICOMISO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30053812"/>
    <s v="ALIANZA FIDUCIARIA S.A. FIDEICOMIS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353624-353625 DESCUENTO DEL 4.5 POR PAGO SEMESTRE ANTICIPADO"/>
    <n v="56858"/>
    <n v="0"/>
    <n v="56858"/>
    <x v="0"/>
    <x v="0"/>
    <x v="0"/>
    <n v="56858"/>
    <n v="0"/>
    <n v="56858"/>
    <x v="0"/>
    <x v="0"/>
    <x v="0"/>
    <n v="56858"/>
    <n v="0"/>
    <n v="56858"/>
    <x v="0"/>
    <x v="0"/>
    <x v="0"/>
    <x v="0"/>
    <x v="0"/>
  </r>
  <r>
    <x v="5"/>
    <x v="0"/>
    <x v="0"/>
    <x v="5"/>
    <x v="5"/>
    <x v="1"/>
    <x v="1"/>
    <n v="46175"/>
    <s v="900825179"/>
    <s v="ELIZABETH TRULLAS  CIA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5"/>
    <x v="0"/>
    <x v="0"/>
    <x v="5"/>
    <x v="5"/>
    <x v="1"/>
    <x v="1"/>
    <n v="46176"/>
    <s v="890318490"/>
    <s v="FERRETERIA TUBERIAS S.A.S.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5"/>
    <x v="0"/>
    <x v="0"/>
    <x v="5"/>
    <x v="5"/>
    <x v="9"/>
    <x v="9"/>
    <n v="1255"/>
    <s v="890304049"/>
    <s v="ARQUIDIOCESIS DE CALI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 9% $494.922"/>
    <n v="494922"/>
    <n v="0"/>
    <n v="494922"/>
    <x v="0"/>
    <x v="0"/>
    <x v="0"/>
    <n v="494922"/>
    <n v="0"/>
    <n v="494922"/>
    <x v="0"/>
    <x v="0"/>
    <x v="0"/>
    <n v="494922"/>
    <n v="0"/>
    <n v="494922"/>
    <x v="0"/>
    <x v="0"/>
    <x v="0"/>
    <x v="0"/>
    <x v="0"/>
  </r>
  <r>
    <x v="5"/>
    <x v="0"/>
    <x v="0"/>
    <x v="0"/>
    <x v="0"/>
    <x v="1"/>
    <x v="1"/>
    <n v="2386"/>
    <s v="900294946"/>
    <s v="BC COMERCIALIZADORA S.A.S"/>
    <s v="201903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94946"/>
    <s v="BC COMERCIALIZAD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164461"/>
    <n v="0"/>
    <n v="164461"/>
    <x v="0"/>
    <x v="0"/>
    <x v="0"/>
    <n v="164461"/>
    <n v="0"/>
    <n v="164461"/>
    <x v="0"/>
    <x v="0"/>
    <x v="0"/>
    <n v="164461"/>
    <n v="0"/>
    <n v="164461"/>
    <x v="0"/>
    <x v="0"/>
    <x v="0"/>
    <x v="0"/>
    <x v="0"/>
  </r>
  <r>
    <x v="5"/>
    <x v="0"/>
    <x v="0"/>
    <x v="2"/>
    <x v="2"/>
    <x v="9"/>
    <x v="9"/>
    <n v="1506"/>
    <s v="860003113"/>
    <s v="SANITARIAS E HIDRAULICAS S.A.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3113"/>
    <s v="SANITARIAS E HIDRAULICA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genera pago por semestre anticipado aplica el 4.5 %"/>
    <n v="42720"/>
    <n v="0"/>
    <n v="42720"/>
    <x v="0"/>
    <x v="0"/>
    <x v="0"/>
    <n v="42720"/>
    <n v="0"/>
    <n v="42720"/>
    <x v="0"/>
    <x v="0"/>
    <x v="0"/>
    <n v="42720"/>
    <n v="0"/>
    <n v="42720"/>
    <x v="0"/>
    <x v="0"/>
    <x v="0"/>
    <x v="0"/>
    <x v="0"/>
  </r>
  <r>
    <x v="5"/>
    <x v="0"/>
    <x v="0"/>
    <x v="5"/>
    <x v="5"/>
    <x v="1"/>
    <x v="1"/>
    <n v="46225"/>
    <s v="31993745"/>
    <s v="RENGIFO MONTEALEGRE MARIA DEL PILAR"/>
    <s v="201903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93745"/>
    <s v="RENGIFO MONTEALEGRE MARIA DEL PIL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5200"/>
    <n v="0"/>
    <n v="15200"/>
    <x v="0"/>
    <x v="0"/>
    <x v="0"/>
    <n v="15200"/>
    <n v="0"/>
    <n v="15200"/>
    <x v="0"/>
    <x v="0"/>
    <x v="0"/>
    <n v="15200"/>
    <n v="0"/>
    <n v="15200"/>
    <x v="0"/>
    <x v="0"/>
    <x v="0"/>
    <x v="0"/>
    <x v="0"/>
  </r>
  <r>
    <x v="7"/>
    <x v="0"/>
    <x v="0"/>
    <x v="0"/>
    <x v="0"/>
    <x v="0"/>
    <x v="0"/>
    <n v="4290"/>
    <s v="901046241"/>
    <s v="DECO SHOP S.A.S"/>
    <s v="2019040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046241"/>
    <s v="DECO SHOP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OR PAGO VOLUNTARIO CARTERA EN ABOGADO"/>
    <n v="224481"/>
    <n v="0"/>
    <n v="224481"/>
    <x v="0"/>
    <x v="0"/>
    <x v="0"/>
    <n v="224481"/>
    <n v="0"/>
    <n v="224481"/>
    <x v="0"/>
    <x v="0"/>
    <x v="0"/>
    <n v="224481"/>
    <n v="0"/>
    <n v="224481"/>
    <x v="0"/>
    <x v="0"/>
    <x v="0"/>
    <x v="0"/>
    <x v="0"/>
  </r>
  <r>
    <x v="7"/>
    <x v="0"/>
    <x v="0"/>
    <x v="1"/>
    <x v="1"/>
    <x v="1"/>
    <x v="1"/>
    <n v="24279"/>
    <s v="890107487"/>
    <s v="SUPERTIENDAS Y DROGUERIAS OLIMPICA S.A."/>
    <s v="201904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ADJUNTA"/>
    <n v="2502"/>
    <n v="0"/>
    <n v="2502"/>
    <x v="0"/>
    <x v="0"/>
    <x v="0"/>
    <n v="2502"/>
    <n v="0"/>
    <n v="2502"/>
    <x v="0"/>
    <x v="0"/>
    <x v="0"/>
    <n v="2502"/>
    <n v="0"/>
    <n v="2502"/>
    <x v="0"/>
    <x v="0"/>
    <x v="0"/>
    <x v="0"/>
    <x v="0"/>
  </r>
  <r>
    <x v="7"/>
    <x v="0"/>
    <x v="0"/>
    <x v="1"/>
    <x v="1"/>
    <x v="1"/>
    <x v="1"/>
    <n v="24303"/>
    <s v="32757237"/>
    <s v="MEDINA OLIVEROS FARATH DIV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87"/>
    <n v="7"/>
    <n v="0"/>
    <n v="7"/>
    <x v="0"/>
    <x v="0"/>
    <x v="0"/>
    <n v="7"/>
    <n v="0"/>
    <n v="7"/>
    <x v="0"/>
    <x v="0"/>
    <x v="0"/>
    <n v="7"/>
    <n v="0"/>
    <n v="7"/>
    <x v="0"/>
    <x v="0"/>
    <x v="0"/>
    <x v="0"/>
    <x v="0"/>
  </r>
  <r>
    <x v="7"/>
    <x v="0"/>
    <x v="0"/>
    <x v="1"/>
    <x v="1"/>
    <x v="1"/>
    <x v="1"/>
    <n v="24304"/>
    <s v="802016306"/>
    <s v="EXPOCONSTRUCCION 43 Y CIA LTDA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12 - FVA-360002"/>
    <n v="17"/>
    <n v="0"/>
    <n v="17"/>
    <x v="0"/>
    <x v="0"/>
    <x v="0"/>
    <n v="17"/>
    <n v="0"/>
    <n v="17"/>
    <x v="0"/>
    <x v="0"/>
    <x v="0"/>
    <n v="17"/>
    <n v="0"/>
    <n v="17"/>
    <x v="0"/>
    <x v="0"/>
    <x v="0"/>
    <x v="0"/>
    <x v="0"/>
  </r>
  <r>
    <x v="7"/>
    <x v="0"/>
    <x v="0"/>
    <x v="1"/>
    <x v="1"/>
    <x v="1"/>
    <x v="1"/>
    <n v="24307"/>
    <s v="890102508"/>
    <s v="SALES INMOBILIARIA S.A."/>
    <s v="2019040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485"/>
    <s v="811040443"/>
    <s v="B Y B CONSTRUCTORES S.A."/>
    <s v="201904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40443"/>
    <s v="B Y B CONSTRUCT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4614"/>
    <n v="1258"/>
    <n v="0"/>
    <n v="1258"/>
    <x v="0"/>
    <x v="0"/>
    <x v="0"/>
    <n v="1258"/>
    <n v="0"/>
    <n v="1258"/>
    <x v="0"/>
    <x v="0"/>
    <x v="0"/>
    <n v="1258"/>
    <n v="0"/>
    <n v="1258"/>
    <x v="0"/>
    <x v="0"/>
    <x v="0"/>
    <x v="0"/>
    <x v="0"/>
  </r>
  <r>
    <x v="6"/>
    <x v="0"/>
    <x v="0"/>
    <x v="6"/>
    <x v="6"/>
    <x v="9"/>
    <x v="9"/>
    <n v="1135"/>
    <s v="25016809"/>
    <s v="MARTINEZ HURTADO NUBIA"/>
    <s v="201905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25016809"/>
    <s v="MARTINEZ HURTADO NU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 #358839 DESCUENTO  POR PAGO SEMESTRAL  POR VALOR DE $17.250"/>
    <n v="17250"/>
    <n v="0"/>
    <n v="17250"/>
    <x v="0"/>
    <x v="0"/>
    <x v="0"/>
    <n v="17250"/>
    <n v="0"/>
    <n v="17250"/>
    <x v="0"/>
    <x v="0"/>
    <x v="0"/>
    <n v="17250"/>
    <n v="0"/>
    <n v="17250"/>
    <x v="0"/>
    <x v="0"/>
    <x v="0"/>
    <x v="0"/>
    <x v="0"/>
  </r>
  <r>
    <x v="7"/>
    <x v="0"/>
    <x v="0"/>
    <x v="1"/>
    <x v="1"/>
    <x v="1"/>
    <x v="1"/>
    <n v="24322"/>
    <s v="802016130"/>
    <s v="CENTRO COMERCIAL BUENAVIST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130"/>
    <s v="CENTRO COMERCIAL BUENAVIS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63"/>
    <n v="0.2"/>
    <n v="0"/>
    <n v="0.2"/>
    <x v="0"/>
    <x v="0"/>
    <x v="0"/>
    <n v="0.2"/>
    <n v="0"/>
    <n v="0.2"/>
    <x v="0"/>
    <x v="0"/>
    <x v="0"/>
    <n v="0.2"/>
    <n v="0"/>
    <n v="0.2"/>
    <x v="0"/>
    <x v="0"/>
    <x v="0"/>
    <x v="0"/>
    <x v="0"/>
  </r>
  <r>
    <x v="7"/>
    <x v="0"/>
    <x v="0"/>
    <x v="1"/>
    <x v="1"/>
    <x v="1"/>
    <x v="1"/>
    <n v="24326"/>
    <s v="900061516"/>
    <s v="MUEBLES JAMAR S.A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44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1"/>
    <x v="1"/>
    <x v="1"/>
    <x v="1"/>
    <n v="24318"/>
    <s v="802010909"/>
    <s v="INVERSIONES WONGFOEN S.A."/>
    <s v="201904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019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7"/>
    <x v="0"/>
    <x v="0"/>
    <x v="1"/>
    <x v="1"/>
    <x v="1"/>
    <x v="1"/>
    <n v="24340"/>
    <s v="806012958"/>
    <s v="IPS SALUD DEL CARIBE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9917 - FVA-359930 - FVA-359935 - FVA-359940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7"/>
    <x v="0"/>
    <x v="0"/>
    <x v="5"/>
    <x v="5"/>
    <x v="1"/>
    <x v="1"/>
    <n v="46378"/>
    <s v="805017506"/>
    <s v="CUTI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7506"/>
    <s v="CUTI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7"/>
    <x v="0"/>
    <x v="0"/>
    <x v="5"/>
    <x v="5"/>
    <x v="1"/>
    <x v="1"/>
    <n v="46380"/>
    <s v="800048954"/>
    <s v="CLINICA VERSALLES S.A.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800"/>
    <n v="0"/>
    <n v="6800"/>
    <x v="0"/>
    <x v="0"/>
    <x v="0"/>
    <n v="6800"/>
    <n v="0"/>
    <n v="6800"/>
    <x v="0"/>
    <x v="0"/>
    <x v="0"/>
    <n v="6800"/>
    <n v="0"/>
    <n v="6800"/>
    <x v="0"/>
    <x v="0"/>
    <x v="0"/>
    <x v="0"/>
    <x v="0"/>
  </r>
  <r>
    <x v="7"/>
    <x v="0"/>
    <x v="0"/>
    <x v="5"/>
    <x v="5"/>
    <x v="1"/>
    <x v="1"/>
    <n v="46399"/>
    <s v="1509246"/>
    <s v="MORALES SANTACRUZ JESUS ANTONIO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91"/>
    <n v="0"/>
    <n v="791"/>
    <x v="0"/>
    <x v="0"/>
    <x v="0"/>
    <n v="791"/>
    <n v="0"/>
    <n v="791"/>
    <x v="0"/>
    <x v="0"/>
    <x v="0"/>
    <n v="791"/>
    <n v="0"/>
    <n v="791"/>
    <x v="0"/>
    <x v="0"/>
    <x v="0"/>
    <x v="0"/>
    <x v="0"/>
  </r>
  <r>
    <x v="7"/>
    <x v="0"/>
    <x v="0"/>
    <x v="5"/>
    <x v="5"/>
    <x v="1"/>
    <x v="1"/>
    <n v="46402"/>
    <s v="800054863"/>
    <s v="HEMISFERIO TOURS Y CIA LTDA"/>
    <s v="201904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987"/>
    <n v="0"/>
    <n v="10987"/>
    <x v="0"/>
    <x v="0"/>
    <x v="0"/>
    <n v="10987"/>
    <n v="0"/>
    <n v="10987"/>
    <x v="0"/>
    <x v="0"/>
    <x v="0"/>
    <n v="10987"/>
    <n v="0"/>
    <n v="10987"/>
    <x v="0"/>
    <x v="0"/>
    <x v="0"/>
    <x v="0"/>
    <x v="0"/>
  </r>
  <r>
    <x v="7"/>
    <x v="0"/>
    <x v="0"/>
    <x v="5"/>
    <x v="5"/>
    <x v="1"/>
    <x v="1"/>
    <n v="46407"/>
    <s v="805009741"/>
    <s v="COOMEVA MEDICINA PREPAGADA S.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766,479,722.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7"/>
    <x v="0"/>
    <x v="0"/>
    <x v="3"/>
    <x v="3"/>
    <x v="1"/>
    <x v="1"/>
    <n v="37579"/>
    <s v="800203877"/>
    <s v="INSTITUTO GASTROCLINICO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203877"/>
    <s v="INSTITUTO GASTROCLINIC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24_x000d__x000a_SE APLICA DCTO POR PRONTO PAGO POR $41.478"/>
    <n v="41478"/>
    <n v="0"/>
    <n v="41478"/>
    <x v="0"/>
    <x v="0"/>
    <x v="0"/>
    <n v="41478"/>
    <n v="0"/>
    <n v="41478"/>
    <x v="0"/>
    <x v="0"/>
    <x v="0"/>
    <n v="41478"/>
    <n v="0"/>
    <n v="41478"/>
    <x v="0"/>
    <x v="0"/>
    <x v="0"/>
    <x v="0"/>
    <x v="0"/>
  </r>
  <r>
    <x v="7"/>
    <x v="0"/>
    <x v="0"/>
    <x v="5"/>
    <x v="5"/>
    <x v="1"/>
    <x v="1"/>
    <n v="46480"/>
    <s v="900203566"/>
    <s v="ABASTECEMOS  DE OCCIDENTE S.A."/>
    <s v="201904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65"/>
    <n v="0"/>
    <n v="2865"/>
    <x v="0"/>
    <x v="0"/>
    <x v="0"/>
    <n v="2865"/>
    <n v="0"/>
    <n v="2865"/>
    <x v="0"/>
    <x v="0"/>
    <x v="0"/>
    <n v="2865"/>
    <n v="0"/>
    <n v="2865"/>
    <x v="0"/>
    <x v="0"/>
    <x v="0"/>
    <x v="0"/>
    <x v="0"/>
  </r>
  <r>
    <x v="7"/>
    <x v="0"/>
    <x v="0"/>
    <x v="5"/>
    <x v="5"/>
    <x v="9"/>
    <x v="9"/>
    <n v="1276"/>
    <s v="890304049"/>
    <s v="ARQUIDIOCESIS DE CALI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DESCUENTO PAGO AÑO ANTICIPADO, 9% OK, $214.590"/>
    <n v="214590"/>
    <n v="0"/>
    <n v="214590"/>
    <x v="0"/>
    <x v="0"/>
    <x v="0"/>
    <n v="214590"/>
    <n v="0"/>
    <n v="214590"/>
    <x v="0"/>
    <x v="0"/>
    <x v="0"/>
    <n v="214590"/>
    <n v="0"/>
    <n v="214590"/>
    <x v="0"/>
    <x v="0"/>
    <x v="0"/>
    <x v="0"/>
    <x v="0"/>
  </r>
  <r>
    <x v="7"/>
    <x v="0"/>
    <x v="0"/>
    <x v="5"/>
    <x v="5"/>
    <x v="1"/>
    <x v="1"/>
    <n v="46526"/>
    <s v="31933117"/>
    <s v="ARANGO ARBELAEZ MARIA  AUDOLIBIA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31933117"/>
    <s v="ARANGO ARBELAEZ MARIA  AUDOLI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6"/>
    <x v="6"/>
    <x v="9"/>
    <x v="9"/>
    <n v="1136"/>
    <s v="890802036"/>
    <s v="HOSPITAL SAN MARCOS CHINCHIN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2036"/>
    <s v="HOSPITAL SAN MARCOS CHINCH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10.360594. DESCUENTO POR ESTAMPILLAS $45.300"/>
    <n v="45300"/>
    <n v="0"/>
    <n v="45300"/>
    <x v="0"/>
    <x v="0"/>
    <x v="0"/>
    <n v="45300"/>
    <n v="0"/>
    <n v="45300"/>
    <x v="0"/>
    <x v="0"/>
    <x v="0"/>
    <n v="45300"/>
    <n v="0"/>
    <n v="45300"/>
    <x v="0"/>
    <x v="0"/>
    <x v="0"/>
    <x v="0"/>
    <x v="0"/>
  </r>
  <r>
    <x v="7"/>
    <x v="0"/>
    <x v="0"/>
    <x v="4"/>
    <x v="4"/>
    <x v="9"/>
    <x v="9"/>
    <n v="232"/>
    <s v="890201280"/>
    <s v="COOPERATIVA DE AHORRO Y CREDITO DE PROFESORE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1280"/>
    <s v="COOPERATIVA DE AHORRO Y CREDITO DE PROFESOR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0788, FACTURACION ANUAL DE TODOS LOS PUNTOS DE VENTA, EL CLIENTE SE TOMA EL DESCUENTO DEL 9%, VALOR REAL DE LA FACT 26.371.156"/>
    <n v="1994452"/>
    <n v="0"/>
    <n v="1994452"/>
    <x v="0"/>
    <x v="0"/>
    <x v="0"/>
    <n v="1994452"/>
    <n v="0"/>
    <n v="1994452"/>
    <x v="0"/>
    <x v="0"/>
    <x v="0"/>
    <n v="1994452"/>
    <n v="0"/>
    <n v="1994452"/>
    <x v="0"/>
    <x v="0"/>
    <x v="0"/>
    <x v="0"/>
    <x v="0"/>
  </r>
  <r>
    <x v="6"/>
    <x v="0"/>
    <x v="0"/>
    <x v="2"/>
    <x v="2"/>
    <x v="9"/>
    <x v="9"/>
    <n v="1537"/>
    <s v="800058267"/>
    <s v="CENTRO METROPOLITANO PROPIEDAD HORIZONTAL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58267"/>
    <s v="CENTRO METROPOLITANO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DESCUNETO DEL 9 % POR PAGO DE AÑO ANTICIPADO.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6"/>
    <x v="0"/>
    <x v="0"/>
    <x v="1"/>
    <x v="1"/>
    <x v="1"/>
    <x v="1"/>
    <n v="24425"/>
    <s v="32757237"/>
    <s v="MEDINA OLIVEROS FARATH DIVA"/>
    <s v="201905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370 - FVA-359959"/>
    <n v="9"/>
    <n v="0"/>
    <n v="9"/>
    <x v="0"/>
    <x v="0"/>
    <x v="0"/>
    <n v="9"/>
    <n v="0"/>
    <n v="9"/>
    <x v="0"/>
    <x v="0"/>
    <x v="0"/>
    <n v="9"/>
    <n v="0"/>
    <n v="9"/>
    <x v="0"/>
    <x v="0"/>
    <x v="0"/>
    <x v="0"/>
    <x v="0"/>
  </r>
  <r>
    <x v="6"/>
    <x v="0"/>
    <x v="0"/>
    <x v="2"/>
    <x v="2"/>
    <x v="9"/>
    <x v="9"/>
    <n v="1540"/>
    <s v="900215071"/>
    <s v="BANCO DE LAS MICROFINANZAS - BANCAMIA S.A."/>
    <s v="201905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5071"/>
    <s v="BANCO DE LAS MICROFINANZAS - BANCAM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 Y RTE/ICA $ 34.692"/>
    <n v="214812"/>
    <n v="0"/>
    <n v="214812"/>
    <x v="0"/>
    <x v="0"/>
    <x v="0"/>
    <n v="214812"/>
    <n v="0"/>
    <n v="214812"/>
    <x v="0"/>
    <x v="0"/>
    <x v="0"/>
    <n v="214812"/>
    <n v="0"/>
    <n v="214812"/>
    <x v="0"/>
    <x v="0"/>
    <x v="0"/>
    <x v="0"/>
    <x v="0"/>
  </r>
  <r>
    <x v="6"/>
    <x v="0"/>
    <x v="0"/>
    <x v="5"/>
    <x v="5"/>
    <x v="1"/>
    <x v="1"/>
    <n v="46573"/>
    <s v="817001528"/>
    <s v="PAVCO DE OCCIDENTE SAS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07"/>
    <n v="0"/>
    <n v="1407"/>
    <x v="0"/>
    <x v="0"/>
    <x v="0"/>
    <n v="1407"/>
    <n v="0"/>
    <n v="1407"/>
    <x v="0"/>
    <x v="0"/>
    <x v="0"/>
    <n v="1407"/>
    <n v="0"/>
    <n v="1407"/>
    <x v="0"/>
    <x v="0"/>
    <x v="0"/>
    <x v="0"/>
    <x v="0"/>
  </r>
  <r>
    <x v="6"/>
    <x v="0"/>
    <x v="0"/>
    <x v="5"/>
    <x v="5"/>
    <x v="1"/>
    <x v="1"/>
    <n v="46613"/>
    <s v="890305224"/>
    <s v="CORPORACION CLUB CAMPESTRE FARALLONES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5224"/>
    <s v="CORPORACION CLUB CAMPESTRE FARALLON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"/>
    <n v="0"/>
    <n v="24"/>
    <x v="0"/>
    <x v="0"/>
    <x v="0"/>
    <n v="24"/>
    <n v="0"/>
    <n v="24"/>
    <x v="0"/>
    <x v="0"/>
    <x v="0"/>
    <n v="24"/>
    <n v="0"/>
    <n v="24"/>
    <x v="0"/>
    <x v="0"/>
    <x v="0"/>
    <x v="0"/>
    <x v="0"/>
  </r>
  <r>
    <x v="6"/>
    <x v="0"/>
    <x v="0"/>
    <x v="1"/>
    <x v="1"/>
    <x v="1"/>
    <x v="1"/>
    <n v="24452"/>
    <s v="802019287"/>
    <s v="ERICH HELLER &amp; CIA EN COMANDITA SIMPLE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9287"/>
    <s v="ERICH HELLER &amp; CIA EN COMANDITA SIMPL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51"/>
    <n v="3114"/>
    <n v="0"/>
    <n v="3114"/>
    <x v="0"/>
    <x v="0"/>
    <x v="0"/>
    <n v="3114"/>
    <n v="0"/>
    <n v="3114"/>
    <x v="0"/>
    <x v="0"/>
    <x v="0"/>
    <n v="3114"/>
    <n v="0"/>
    <n v="3114"/>
    <x v="0"/>
    <x v="0"/>
    <x v="0"/>
    <x v="0"/>
    <x v="0"/>
  </r>
  <r>
    <x v="6"/>
    <x v="0"/>
    <x v="0"/>
    <x v="3"/>
    <x v="3"/>
    <x v="1"/>
    <x v="1"/>
    <n v="37692"/>
    <s v="811015694"/>
    <s v="INVERSIONES QUINTERO GARCIA LIMITADA"/>
    <s v="201905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5694"/>
    <s v="INVERSIONES QUINTERO GARCIA LIMIT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1_x000d__x000a_SE APLICA DCTO COMERCIAL DEL 4.5%"/>
    <n v="84899"/>
    <n v="0"/>
    <n v="84899"/>
    <x v="0"/>
    <x v="0"/>
    <x v="0"/>
    <n v="84899"/>
    <n v="0"/>
    <n v="84899"/>
    <x v="0"/>
    <x v="0"/>
    <x v="0"/>
    <n v="84899"/>
    <n v="0"/>
    <n v="84899"/>
    <x v="0"/>
    <x v="0"/>
    <x v="0"/>
    <x v="0"/>
    <x v="0"/>
  </r>
  <r>
    <x v="6"/>
    <x v="0"/>
    <x v="0"/>
    <x v="5"/>
    <x v="5"/>
    <x v="1"/>
    <x v="1"/>
    <n v="46641"/>
    <s v="1509246"/>
    <s v="MORALES SANTACRUZ JESUS ANTONIO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23"/>
    <n v="0"/>
    <n v="2123"/>
    <x v="0"/>
    <x v="0"/>
    <x v="0"/>
    <n v="2123"/>
    <n v="0"/>
    <n v="2123"/>
    <x v="0"/>
    <x v="0"/>
    <x v="0"/>
    <n v="2123"/>
    <n v="0"/>
    <n v="2123"/>
    <x v="0"/>
    <x v="0"/>
    <x v="0"/>
    <x v="0"/>
    <x v="0"/>
  </r>
  <r>
    <x v="6"/>
    <x v="0"/>
    <x v="0"/>
    <x v="5"/>
    <x v="5"/>
    <x v="1"/>
    <x v="1"/>
    <n v="46642"/>
    <s v="890318490"/>
    <s v="FERRETERIA TUBERIAS S.A.S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6"/>
    <x v="0"/>
    <x v="0"/>
    <x v="5"/>
    <x v="5"/>
    <x v="1"/>
    <x v="1"/>
    <n v="46643"/>
    <s v="42087065"/>
    <s v="RUEDA OCAMPO CLAUDIA PATRICIA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42087065"/>
    <s v="RUEDA OCAMPO CLAUDIA PATRIC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1"/>
    <n v="0"/>
    <n v="21"/>
    <x v="0"/>
    <x v="0"/>
    <x v="0"/>
    <n v="21"/>
    <n v="0"/>
    <n v="21"/>
    <x v="0"/>
    <x v="0"/>
    <x v="0"/>
    <n v="21"/>
    <n v="0"/>
    <n v="21"/>
    <x v="0"/>
    <x v="0"/>
    <x v="0"/>
    <x v="0"/>
    <x v="0"/>
  </r>
  <r>
    <x v="6"/>
    <x v="0"/>
    <x v="0"/>
    <x v="1"/>
    <x v="1"/>
    <x v="1"/>
    <x v="1"/>
    <n v="24470"/>
    <s v="890107487"/>
    <s v="SUPERTIENDAS Y DROGUERIAS OLIMPICA S.A."/>
    <s v="201905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7487"/>
    <s v="SUPERTIENDAS Y DROGUERIAS OLIMPIC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DE FACTURAS SEGUN RELACION ENVIADA POR EL CLIENTE"/>
    <n v="23"/>
    <n v="0"/>
    <n v="23"/>
    <x v="0"/>
    <x v="0"/>
    <x v="0"/>
    <n v="23"/>
    <n v="0"/>
    <n v="23"/>
    <x v="0"/>
    <x v="0"/>
    <x v="0"/>
    <n v="23"/>
    <n v="0"/>
    <n v="23"/>
    <x v="0"/>
    <x v="0"/>
    <x v="0"/>
    <x v="0"/>
    <x v="0"/>
  </r>
  <r>
    <x v="6"/>
    <x v="0"/>
    <x v="0"/>
    <x v="2"/>
    <x v="2"/>
    <x v="9"/>
    <x v="9"/>
    <n v="1546"/>
    <s v="860049609"/>
    <s v="MILSEN S.A.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175.635"/>
    <n v="175635"/>
    <n v="0"/>
    <n v="175635"/>
    <x v="0"/>
    <x v="0"/>
    <x v="0"/>
    <n v="175635"/>
    <n v="0"/>
    <n v="175635"/>
    <x v="0"/>
    <x v="0"/>
    <x v="0"/>
    <n v="175635"/>
    <n v="0"/>
    <n v="175635"/>
    <x v="0"/>
    <x v="0"/>
    <x v="0"/>
    <x v="0"/>
    <x v="0"/>
  </r>
  <r>
    <x v="6"/>
    <x v="0"/>
    <x v="0"/>
    <x v="2"/>
    <x v="2"/>
    <x v="9"/>
    <x v="9"/>
    <n v="1547"/>
    <s v="860510431"/>
    <s v="ALVARO VELEZ Y CIA S.A.S"/>
    <s v="201905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RONTO PAGO TRIMESTRAL 2.25% $8.34,  RTE ICA $5.118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6"/>
    <x v="0"/>
    <x v="0"/>
    <x v="2"/>
    <x v="2"/>
    <x v="9"/>
    <x v="9"/>
    <n v="1548"/>
    <s v="860000189"/>
    <s v="CARCO S.A."/>
    <s v="201905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00189"/>
    <s v="CAR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NO APLICA EL DESCUENTO Y ESTA SOLICITANDO EL REINTEGRO."/>
    <n v="150050"/>
    <n v="0"/>
    <n v="150050"/>
    <x v="0"/>
    <x v="0"/>
    <x v="0"/>
    <n v="150050"/>
    <n v="0"/>
    <n v="150050"/>
    <x v="0"/>
    <x v="0"/>
    <x v="0"/>
    <n v="150050"/>
    <n v="0"/>
    <n v="150050"/>
    <x v="0"/>
    <x v="0"/>
    <x v="0"/>
    <x v="0"/>
    <x v="0"/>
  </r>
  <r>
    <x v="6"/>
    <x v="0"/>
    <x v="0"/>
    <x v="0"/>
    <x v="0"/>
    <x v="1"/>
    <x v="1"/>
    <n v="2393"/>
    <s v="43185725"/>
    <s v="SALAZAR ARISTIZABAL SULAY"/>
    <s v="201905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43185725"/>
    <s v="SALAZAR ARISTIZABAL SUL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1898"/>
    <n v="0"/>
    <n v="1898"/>
    <x v="0"/>
    <x v="0"/>
    <x v="0"/>
    <n v="1898"/>
    <n v="0"/>
    <n v="1898"/>
    <x v="0"/>
    <x v="0"/>
    <x v="0"/>
    <n v="1898"/>
    <n v="0"/>
    <n v="1898"/>
    <x v="0"/>
    <x v="0"/>
    <x v="0"/>
    <x v="0"/>
    <x v="0"/>
  </r>
  <r>
    <x v="6"/>
    <x v="0"/>
    <x v="0"/>
    <x v="6"/>
    <x v="6"/>
    <x v="9"/>
    <x v="9"/>
    <n v="1138"/>
    <s v="800178245"/>
    <s v="COOPERATIVA  DE PROMOCION SOCIAL COOPSOCIAL"/>
    <s v="201905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178245"/>
    <s v="COOPERATIVA  DE PROMOCION SOCIAL COOPSOCI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638 DESCUENTO POR VALOR DE $109.242 POR PAGO ANUAL ANTICIPADO"/>
    <n v="109242"/>
    <n v="0"/>
    <n v="109242"/>
    <x v="0"/>
    <x v="0"/>
    <x v="0"/>
    <n v="109242"/>
    <n v="0"/>
    <n v="109242"/>
    <x v="0"/>
    <x v="0"/>
    <x v="0"/>
    <n v="109242"/>
    <n v="0"/>
    <n v="109242"/>
    <x v="0"/>
    <x v="0"/>
    <x v="0"/>
    <x v="0"/>
    <x v="0"/>
  </r>
  <r>
    <x v="6"/>
    <x v="0"/>
    <x v="0"/>
    <x v="5"/>
    <x v="5"/>
    <x v="1"/>
    <x v="1"/>
    <n v="46787"/>
    <s v="805009741"/>
    <s v="COOMEVA MEDICINA PREPAGADA S.A."/>
    <s v="201905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6"/>
    <x v="0"/>
    <x v="0"/>
    <x v="5"/>
    <x v="5"/>
    <x v="1"/>
    <x v="1"/>
    <n v="46828"/>
    <s v="650187917"/>
    <s v="FREI  HEINRICH ERNEST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60"/>
    <n v="0"/>
    <n v="660"/>
    <x v="0"/>
    <x v="0"/>
    <x v="0"/>
    <n v="660"/>
    <n v="0"/>
    <n v="660"/>
    <x v="0"/>
    <x v="0"/>
    <x v="0"/>
    <n v="660"/>
    <n v="0"/>
    <n v="660"/>
    <x v="0"/>
    <x v="0"/>
    <x v="0"/>
    <x v="0"/>
    <x v="0"/>
  </r>
  <r>
    <x v="2"/>
    <x v="0"/>
    <x v="0"/>
    <x v="1"/>
    <x v="1"/>
    <x v="1"/>
    <x v="1"/>
    <n v="24577"/>
    <s v="900061516"/>
    <s v="MUEBLES JAMAR S.A"/>
    <s v="201906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72 - FV5-773 - FV5-774 - FV5-77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5"/>
    <x v="5"/>
    <x v="1"/>
    <x v="1"/>
    <n v="46885"/>
    <s v="1130643632"/>
    <s v="ZAPATA VILLARIAGA KATERIN"/>
    <s v="201906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54"/>
    <n v="0"/>
    <n v="254"/>
    <x v="0"/>
    <x v="0"/>
    <x v="0"/>
    <n v="254"/>
    <n v="0"/>
    <n v="254"/>
    <x v="0"/>
    <x v="0"/>
    <x v="0"/>
    <n v="254"/>
    <n v="0"/>
    <n v="254"/>
    <x v="0"/>
    <x v="0"/>
    <x v="0"/>
    <x v="0"/>
    <x v="0"/>
  </r>
  <r>
    <x v="0"/>
    <x v="0"/>
    <x v="0"/>
    <x v="0"/>
    <x v="0"/>
    <x v="2"/>
    <x v="2"/>
    <n v="19417"/>
    <s v="860035827"/>
    <s v="BANCO AV VILLAS"/>
    <s v="201901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50833"/>
    <n v="0"/>
    <n v="850833"/>
    <x v="0"/>
    <x v="0"/>
    <x v="0"/>
    <n v="850833"/>
    <n v="0"/>
    <n v="850833"/>
    <x v="0"/>
    <x v="0"/>
    <x v="0"/>
    <n v="850833"/>
    <n v="0"/>
    <n v="850833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1"/>
    <x v="0"/>
    <x v="0"/>
    <x v="3"/>
    <x v="3"/>
    <x v="1"/>
    <x v="1"/>
    <n v="37253"/>
    <s v="811003486"/>
    <s v="QUIPUX SAS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03486"/>
    <s v="QUIPUX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CNELA FACTURA # 357680"/>
    <n v="3189"/>
    <n v="0"/>
    <n v="3189"/>
    <x v="0"/>
    <x v="0"/>
    <x v="0"/>
    <n v="3189"/>
    <n v="0"/>
    <n v="3189"/>
    <x v="0"/>
    <x v="0"/>
    <x v="0"/>
    <n v="3189"/>
    <n v="0"/>
    <n v="3189"/>
    <x v="0"/>
    <x v="0"/>
    <x v="0"/>
    <x v="0"/>
    <x v="0"/>
  </r>
  <r>
    <x v="5"/>
    <x v="0"/>
    <x v="0"/>
    <x v="1"/>
    <x v="1"/>
    <x v="1"/>
    <x v="1"/>
    <n v="24269"/>
    <s v="900494780"/>
    <s v="DISEÑARTE S.D.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494780"/>
    <s v="DISEÑARTE S.D.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7404"/>
    <n v="6"/>
    <n v="0"/>
    <n v="6"/>
    <x v="0"/>
    <x v="0"/>
    <x v="0"/>
    <n v="6"/>
    <n v="0"/>
    <n v="6"/>
    <x v="0"/>
    <x v="0"/>
    <x v="0"/>
    <n v="6"/>
    <n v="0"/>
    <n v="6"/>
    <x v="0"/>
    <x v="0"/>
    <x v="0"/>
    <x v="0"/>
    <x v="0"/>
  </r>
  <r>
    <x v="6"/>
    <x v="0"/>
    <x v="0"/>
    <x v="4"/>
    <x v="4"/>
    <x v="9"/>
    <x v="9"/>
    <n v="235"/>
    <s v="800086042"/>
    <s v="INACAR S.A.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0086042"/>
    <s v="INACAR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62132, DESCTO POR RETE FTE, 22.508, RETE IVA 16.037 Y RETE ICA 5.436"/>
    <n v="5436"/>
    <n v="0"/>
    <n v="5436"/>
    <x v="0"/>
    <x v="0"/>
    <x v="0"/>
    <n v="5436"/>
    <n v="0"/>
    <n v="5436"/>
    <x v="0"/>
    <x v="0"/>
    <x v="0"/>
    <n v="5436"/>
    <n v="0"/>
    <n v="5436"/>
    <x v="0"/>
    <x v="0"/>
    <x v="0"/>
    <x v="0"/>
    <x v="0"/>
  </r>
  <r>
    <x v="1"/>
    <x v="0"/>
    <x v="0"/>
    <x v="4"/>
    <x v="4"/>
    <x v="1"/>
    <x v="1"/>
    <n v="20298"/>
    <s v="804001890"/>
    <s v="UNIVERSIDAD DE SANTANDER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01890"/>
    <s v="UNIVERSIDAD DE SANTAND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 357341-357342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5"/>
    <x v="0"/>
    <x v="0"/>
    <x v="6"/>
    <x v="6"/>
    <x v="9"/>
    <x v="9"/>
    <n v="1116"/>
    <s v="891900539"/>
    <s v="CAMARA DE COMERCIO DE CARTAGO"/>
    <s v="2019030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900539"/>
    <s v="CAMARA DE COMERCIO DE CARTAG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597 DESCUENTO DEL 9 %POR PAGO ANUAL ANTICIPADO  $1899.840"/>
    <n v="1899840"/>
    <n v="0"/>
    <n v="1899840"/>
    <x v="0"/>
    <x v="0"/>
    <x v="0"/>
    <n v="1899840"/>
    <n v="0"/>
    <n v="1899840"/>
    <x v="0"/>
    <x v="0"/>
    <x v="0"/>
    <n v="1899840"/>
    <n v="0"/>
    <n v="1899840"/>
    <x v="0"/>
    <x v="0"/>
    <x v="0"/>
    <x v="0"/>
    <x v="0"/>
  </r>
  <r>
    <x v="5"/>
    <x v="0"/>
    <x v="0"/>
    <x v="1"/>
    <x v="1"/>
    <x v="1"/>
    <x v="1"/>
    <n v="24156"/>
    <s v="900054062"/>
    <s v="EDIFICIO MEGA CENTRO COMERCIAL Y DE SERVICIOS BUENAVISTA SANTA MART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54062"/>
    <s v="EDIFICIO MEGA CENTRO COMERCIAL Y DE SERVICIOS BUENAVISTA SANTA MART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56490"/>
    <n v="30"/>
    <n v="0"/>
    <n v="30"/>
    <x v="0"/>
    <x v="0"/>
    <x v="0"/>
    <n v="30"/>
    <n v="0"/>
    <n v="30"/>
    <x v="0"/>
    <x v="0"/>
    <x v="0"/>
    <n v="30"/>
    <n v="0"/>
    <n v="30"/>
    <x v="0"/>
    <x v="0"/>
    <x v="0"/>
    <x v="0"/>
    <x v="0"/>
  </r>
  <r>
    <x v="5"/>
    <x v="0"/>
    <x v="0"/>
    <x v="6"/>
    <x v="6"/>
    <x v="9"/>
    <x v="9"/>
    <n v="1121"/>
    <s v="891411381"/>
    <s v="LAB.CLINICO PATOLOGICO LOPEZ CORREA S.A.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1411381"/>
    <s v="LAB.CLINICO PATOLOGICO LOPEZ CORRE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358838 DESCUENTO DEL 9 % POR  PAGO ANTICIPADO  POR VALOR DE 139.114"/>
    <n v="139114"/>
    <n v="0"/>
    <n v="139114"/>
    <x v="0"/>
    <x v="0"/>
    <x v="0"/>
    <n v="139114"/>
    <n v="0"/>
    <n v="139114"/>
    <x v="0"/>
    <x v="0"/>
    <x v="0"/>
    <n v="139114"/>
    <n v="0"/>
    <n v="139114"/>
    <x v="0"/>
    <x v="0"/>
    <x v="0"/>
    <x v="0"/>
    <x v="0"/>
  </r>
  <r>
    <x v="5"/>
    <x v="0"/>
    <x v="0"/>
    <x v="6"/>
    <x v="6"/>
    <x v="9"/>
    <x v="9"/>
    <n v="1120"/>
    <s v="800021913"/>
    <s v="G.GRAJALES AUTOSERVICIO S.A.S"/>
    <s v="201903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00021913"/>
    <s v="G.GRAJALES AUTOSERVICI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 # 358828 DESCUENTO DE 9% POR PAGO ANTICIPADO DE $ 105.532"/>
    <n v="105532"/>
    <n v="0"/>
    <n v="105532"/>
    <x v="0"/>
    <x v="0"/>
    <x v="0"/>
    <n v="105532"/>
    <n v="0"/>
    <n v="105532"/>
    <x v="0"/>
    <x v="0"/>
    <x v="0"/>
    <n v="105532"/>
    <n v="0"/>
    <n v="105532"/>
    <x v="0"/>
    <x v="0"/>
    <x v="0"/>
    <x v="0"/>
    <x v="0"/>
  </r>
  <r>
    <x v="5"/>
    <x v="0"/>
    <x v="0"/>
    <x v="3"/>
    <x v="3"/>
    <x v="1"/>
    <x v="1"/>
    <n v="37408"/>
    <s v="800017259"/>
    <s v="PASAJE COMERCIAL EL BOULEVARD DE JUNIN P-H"/>
    <s v="201903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9706 DCTO PRONT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7"/>
    <x v="0"/>
    <x v="0"/>
    <x v="5"/>
    <x v="5"/>
    <x v="1"/>
    <x v="1"/>
    <n v="46374"/>
    <s v="860046201"/>
    <s v="FORTOX S.A"/>
    <s v="201904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932."/>
    <n v="4"/>
    <n v="0"/>
    <n v="4"/>
    <x v="0"/>
    <x v="0"/>
    <x v="0"/>
    <n v="4"/>
    <n v="0"/>
    <n v="4"/>
    <x v="0"/>
    <x v="0"/>
    <x v="0"/>
    <n v="4"/>
    <n v="0"/>
    <n v="4"/>
    <x v="0"/>
    <x v="0"/>
    <x v="0"/>
    <x v="0"/>
    <x v="0"/>
  </r>
  <r>
    <x v="7"/>
    <x v="0"/>
    <x v="0"/>
    <x v="3"/>
    <x v="3"/>
    <x v="1"/>
    <x v="1"/>
    <n v="37543"/>
    <s v="800010866"/>
    <s v="EXPERTOS SEGURIDAD LTDA."/>
    <s v="201904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0866"/>
    <s v="EXPERTOS SEGURIDAD LTD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719"/>
    <n v="10419"/>
    <n v="0"/>
    <n v="10419"/>
    <x v="0"/>
    <x v="0"/>
    <x v="0"/>
    <n v="10419"/>
    <n v="0"/>
    <n v="10419"/>
    <x v="0"/>
    <x v="0"/>
    <x v="0"/>
    <n v="10419"/>
    <n v="0"/>
    <n v="10419"/>
    <x v="0"/>
    <x v="0"/>
    <x v="0"/>
    <x v="0"/>
    <x v="0"/>
  </r>
  <r>
    <x v="7"/>
    <x v="0"/>
    <x v="0"/>
    <x v="3"/>
    <x v="3"/>
    <x v="1"/>
    <x v="1"/>
    <n v="37589"/>
    <s v="811013715"/>
    <s v="LINEA ADHESIVA S.A"/>
    <s v="201904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13715"/>
    <s v="LINEA ADHESIVA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1634_x000d__x000a_APLICA DCTO PRONTO PAGO DEL 2.25%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6"/>
    <x v="0"/>
    <x v="0"/>
    <x v="1"/>
    <x v="1"/>
    <x v="1"/>
    <x v="1"/>
    <n v="24445"/>
    <s v="806012958"/>
    <s v="IPS SALUD DEL CARIBE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64 - FVA-360977 - FVA-360983 - FVA-360987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6"/>
    <x v="0"/>
    <x v="0"/>
    <x v="1"/>
    <x v="1"/>
    <x v="1"/>
    <x v="1"/>
    <n v="24450"/>
    <s v="900061516"/>
    <s v="MUEBLES JAMAR S.A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60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6"/>
    <x v="0"/>
    <x v="0"/>
    <x v="5"/>
    <x v="5"/>
    <x v="1"/>
    <x v="1"/>
    <n v="46817"/>
    <s v="1130643632"/>
    <s v="ZAPATA VILLARIAGA KATERIN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130643632"/>
    <s v="ZAPATA VILLARIAGA KATERI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"/>
    <n v="0"/>
    <n v="54"/>
    <x v="0"/>
    <x v="0"/>
    <x v="0"/>
    <n v="54"/>
    <n v="0"/>
    <n v="54"/>
    <x v="0"/>
    <x v="0"/>
    <x v="0"/>
    <n v="54"/>
    <n v="0"/>
    <n v="54"/>
    <x v="0"/>
    <x v="0"/>
    <x v="0"/>
    <x v="0"/>
    <x v="0"/>
  </r>
  <r>
    <x v="2"/>
    <x v="0"/>
    <x v="0"/>
    <x v="5"/>
    <x v="5"/>
    <x v="9"/>
    <x v="9"/>
    <n v="1308"/>
    <s v="800074047"/>
    <s v="REPUESTOS CALI S.A.S"/>
    <s v="201906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74047"/>
    <s v="REPUESTOS CAL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9% $155.520 OK."/>
    <n v="155520"/>
    <n v="0"/>
    <n v="155520"/>
    <x v="0"/>
    <x v="0"/>
    <x v="0"/>
    <n v="155520"/>
    <n v="0"/>
    <n v="155520"/>
    <x v="0"/>
    <x v="0"/>
    <x v="0"/>
    <n v="155520"/>
    <n v="0"/>
    <n v="155520"/>
    <x v="0"/>
    <x v="0"/>
    <x v="0"/>
    <x v="0"/>
    <x v="0"/>
  </r>
  <r>
    <x v="2"/>
    <x v="0"/>
    <x v="0"/>
    <x v="3"/>
    <x v="3"/>
    <x v="9"/>
    <x v="9"/>
    <n v="1157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3_x000d__x000a_DCTO ANUAL ANTICIPADO 9%"/>
    <n v="186853"/>
    <n v="0"/>
    <n v="186853"/>
    <x v="0"/>
    <x v="0"/>
    <x v="0"/>
    <n v="186853"/>
    <n v="0"/>
    <n v="186853"/>
    <x v="0"/>
    <x v="0"/>
    <x v="0"/>
    <n v="186853"/>
    <n v="0"/>
    <n v="186853"/>
    <x v="0"/>
    <x v="0"/>
    <x v="0"/>
    <x v="0"/>
    <x v="0"/>
  </r>
  <r>
    <x v="2"/>
    <x v="0"/>
    <x v="0"/>
    <x v="3"/>
    <x v="3"/>
    <x v="9"/>
    <x v="9"/>
    <n v="1158"/>
    <s v="800123655"/>
    <s v="PRO EXEQUIALES RESURGIR S.A"/>
    <s v="2019061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23655"/>
    <s v="PRO EXEQUIALES RESURGI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2_x000d__x000a_DCTO CCIAL ANUAL ANTICIPADO 9%"/>
    <n v="104507"/>
    <n v="0"/>
    <n v="104507"/>
    <x v="0"/>
    <x v="0"/>
    <x v="0"/>
    <n v="104507"/>
    <n v="0"/>
    <n v="104507"/>
    <x v="0"/>
    <x v="0"/>
    <x v="0"/>
    <n v="104507"/>
    <n v="0"/>
    <n v="104507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8378"/>
    <n v="0"/>
    <n v="318378"/>
    <x v="0"/>
    <x v="0"/>
    <x v="0"/>
    <n v="318378"/>
    <n v="0"/>
    <n v="318378"/>
    <x v="0"/>
    <x v="0"/>
    <x v="0"/>
    <n v="318378"/>
    <n v="0"/>
    <n v="318378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2295"/>
    <n v="0"/>
    <n v="52295"/>
    <x v="0"/>
    <x v="0"/>
    <x v="0"/>
    <n v="52295"/>
    <n v="0"/>
    <n v="52295"/>
    <x v="0"/>
    <x v="0"/>
    <x v="0"/>
    <n v="52295"/>
    <n v="0"/>
    <n v="5229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Dispersion Nomina"/>
    <n v="1963.15"/>
    <n v="0"/>
    <n v="1963.15"/>
    <x v="0"/>
    <x v="0"/>
    <x v="0"/>
    <n v="1963.15"/>
    <n v="0"/>
    <n v="1963.15"/>
    <x v="0"/>
    <x v="0"/>
    <x v="0"/>
    <n v="1963.15"/>
    <n v="0"/>
    <n v="1963.15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436"/>
    <n v="0"/>
    <n v="3436"/>
    <x v="0"/>
    <x v="0"/>
    <x v="0"/>
    <n v="3436"/>
    <n v="0"/>
    <n v="3436"/>
    <x v="0"/>
    <x v="0"/>
    <x v="0"/>
    <n v="3436"/>
    <n v="0"/>
    <n v="3436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8"/>
    <x v="8"/>
    <n v="368"/>
    <s v="860007660"/>
    <s v="HELM BANK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"/>
    <n v="2700"/>
    <n v="0"/>
    <n v="2700"/>
    <x v="0"/>
    <x v="0"/>
    <x v="0"/>
    <n v="2700"/>
    <n v="0"/>
    <n v="2700"/>
    <x v="0"/>
    <x v="0"/>
    <x v="0"/>
    <n v="2700"/>
    <n v="0"/>
    <n v="2700"/>
    <x v="0"/>
    <x v="0"/>
    <x v="0"/>
    <x v="0"/>
    <x v="0"/>
  </r>
  <r>
    <x v="0"/>
    <x v="0"/>
    <x v="0"/>
    <x v="0"/>
    <x v="0"/>
    <x v="2"/>
    <x v="2"/>
    <n v="19574"/>
    <s v="440100003729"/>
    <s v="TOTALCHOICE HOSTING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100003729"/>
    <s v="TOTALCHOICE HOS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OAGO DE TARJETA DE CREDITO 2581"/>
    <n v="47229.36"/>
    <n v="0"/>
    <n v="47229.36"/>
    <x v="0"/>
    <x v="0"/>
    <x v="0"/>
    <n v="47229.36"/>
    <n v="0"/>
    <n v="47229.36"/>
    <x v="0"/>
    <x v="0"/>
    <x v="0"/>
    <n v="47229.36"/>
    <n v="0"/>
    <n v="47229.36"/>
    <x v="0"/>
    <x v="0"/>
    <x v="0"/>
    <x v="0"/>
    <x v="0"/>
  </r>
  <r>
    <x v="0"/>
    <x v="0"/>
    <x v="0"/>
    <x v="0"/>
    <x v="0"/>
    <x v="2"/>
    <x v="2"/>
    <n v="19575"/>
    <s v="890916575"/>
    <s v="DISTRIBUIDORA DE VINOS Y LICORES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16575"/>
    <s v="DISTRIBUIDORA DE VINOS Y LICOR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3015  BANCOLOMBIA"/>
    <n v="17019.810000000001"/>
    <n v="0"/>
    <n v="17019.810000000001"/>
    <x v="0"/>
    <x v="0"/>
    <x v="0"/>
    <n v="17019.810000000001"/>
    <n v="0"/>
    <n v="17019.810000000001"/>
    <x v="0"/>
    <x v="0"/>
    <x v="0"/>
    <n v="17019.810000000001"/>
    <n v="0"/>
    <n v="17019.81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3732.32"/>
    <n v="0"/>
    <n v="13732.32"/>
    <x v="0"/>
    <x v="0"/>
    <x v="0"/>
    <n v="13732.32"/>
    <n v="0"/>
    <n v="13732.32"/>
    <x v="0"/>
    <x v="0"/>
    <x v="0"/>
    <n v="13732.32"/>
    <n v="0"/>
    <n v="13732.3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5741.5"/>
    <n v="0"/>
    <n v="25741.5"/>
    <x v="0"/>
    <x v="0"/>
    <x v="0"/>
    <n v="25741.5"/>
    <n v="0"/>
    <n v="25741.5"/>
    <x v="0"/>
    <x v="0"/>
    <x v="0"/>
    <n v="25741.5"/>
    <n v="0"/>
    <n v="25741.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5"/>
    <x v="5"/>
    <x v="9"/>
    <x v="9"/>
    <n v="1265"/>
    <s v="805011901"/>
    <s v="LASKIN S.A.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82.299"/>
    <n v="82299"/>
    <n v="0"/>
    <n v="82299"/>
    <x v="0"/>
    <x v="0"/>
    <x v="0"/>
    <n v="82299"/>
    <n v="0"/>
    <n v="82299"/>
    <x v="0"/>
    <x v="0"/>
    <x v="0"/>
    <n v="82299"/>
    <n v="0"/>
    <n v="82299"/>
    <x v="0"/>
    <x v="0"/>
    <x v="0"/>
    <x v="0"/>
    <x v="0"/>
  </r>
  <r>
    <x v="5"/>
    <x v="0"/>
    <x v="0"/>
    <x v="5"/>
    <x v="5"/>
    <x v="1"/>
    <x v="1"/>
    <n v="46025"/>
    <s v="805029384"/>
    <s v="BUENAVISTA CONSTRUCTORA Y PROMOTORA S.A.S"/>
    <s v="2019030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29384"/>
    <s v="BUENAVISTA CONSTRUCTORA Y PROMOTOR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0204"/>
    <n v="0"/>
    <n v="10204"/>
    <x v="0"/>
    <x v="0"/>
    <x v="0"/>
    <n v="10204"/>
    <n v="0"/>
    <n v="10204"/>
    <x v="0"/>
    <x v="0"/>
    <x v="0"/>
    <n v="10204"/>
    <n v="0"/>
    <n v="10204"/>
    <x v="0"/>
    <x v="0"/>
    <x v="0"/>
    <x v="0"/>
    <x v="0"/>
  </r>
  <r>
    <x v="5"/>
    <x v="0"/>
    <x v="0"/>
    <x v="5"/>
    <x v="5"/>
    <x v="1"/>
    <x v="1"/>
    <n v="46069"/>
    <s v="860037900"/>
    <s v="CONSTRUCTORA  BOLIVAR  CALI S.A"/>
    <s v="201903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402"/>
    <n v="0"/>
    <n v="5402"/>
    <x v="0"/>
    <x v="0"/>
    <x v="0"/>
    <n v="5402"/>
    <n v="0"/>
    <n v="5402"/>
    <x v="0"/>
    <x v="0"/>
    <x v="0"/>
    <n v="5402"/>
    <n v="0"/>
    <n v="5402"/>
    <x v="0"/>
    <x v="0"/>
    <x v="0"/>
    <x v="0"/>
    <x v="0"/>
  </r>
  <r>
    <x v="5"/>
    <x v="0"/>
    <x v="0"/>
    <x v="0"/>
    <x v="0"/>
    <x v="0"/>
    <x v="0"/>
    <n v="4289"/>
    <s v="800107179"/>
    <s v="INSTITUTO DEL CORAZON S.A.S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107179"/>
    <s v="INSTITUTO DEL CORAZON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8987"/>
    <n v="0"/>
    <n v="8987"/>
    <x v="0"/>
    <x v="0"/>
    <x v="0"/>
    <n v="8987"/>
    <n v="0"/>
    <n v="8987"/>
    <x v="0"/>
    <x v="0"/>
    <x v="0"/>
    <n v="8987"/>
    <n v="0"/>
    <n v="8987"/>
    <x v="0"/>
    <x v="0"/>
    <x v="0"/>
    <x v="0"/>
    <x v="0"/>
  </r>
  <r>
    <x v="5"/>
    <x v="0"/>
    <x v="0"/>
    <x v="5"/>
    <x v="5"/>
    <x v="9"/>
    <x v="9"/>
    <n v="1249"/>
    <s v="900115530"/>
    <s v="HUMBERTO QUINTERO O Y CIA S.C.A"/>
    <s v="201903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115530"/>
    <s v="HUMBERTO QUINTERO O Y CIA S.C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5"/>
    <x v="0"/>
    <x v="0"/>
    <x v="2"/>
    <x v="2"/>
    <x v="9"/>
    <x v="9"/>
    <n v="1512"/>
    <s v="800149453"/>
    <s v="C.P.O  S.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453"/>
    <s v="C.P.O 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REALIZA PAGO DE AÑO ANTICIPADO APLICA EL 9 %"/>
    <n v="1045569"/>
    <n v="0"/>
    <n v="1045569"/>
    <x v="0"/>
    <x v="0"/>
    <x v="0"/>
    <n v="1045569"/>
    <n v="0"/>
    <n v="1045569"/>
    <x v="0"/>
    <x v="0"/>
    <x v="0"/>
    <n v="1045569"/>
    <n v="0"/>
    <n v="1045569"/>
    <x v="0"/>
    <x v="0"/>
    <x v="0"/>
    <x v="0"/>
    <x v="0"/>
  </r>
  <r>
    <x v="7"/>
    <x v="0"/>
    <x v="0"/>
    <x v="5"/>
    <x v="5"/>
    <x v="1"/>
    <x v="1"/>
    <n v="46451"/>
    <s v="890318490"/>
    <s v="FERRETERIA TUBERIAS S.A.S.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136"/>
    <n v="0"/>
    <n v="3136"/>
    <x v="0"/>
    <x v="0"/>
    <x v="0"/>
    <n v="3136"/>
    <n v="0"/>
    <n v="3136"/>
    <x v="0"/>
    <x v="0"/>
    <x v="0"/>
    <n v="3136"/>
    <n v="0"/>
    <n v="3136"/>
    <x v="0"/>
    <x v="0"/>
    <x v="0"/>
    <x v="0"/>
    <x v="0"/>
  </r>
  <r>
    <x v="7"/>
    <x v="0"/>
    <x v="0"/>
    <x v="5"/>
    <x v="5"/>
    <x v="1"/>
    <x v="1"/>
    <n v="46452"/>
    <s v="900825179"/>
    <s v="ELIZABETH TRULLAS  CIA S.A.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7"/>
    <x v="0"/>
    <x v="0"/>
    <x v="5"/>
    <x v="5"/>
    <x v="1"/>
    <x v="1"/>
    <n v="46453"/>
    <s v="900361602"/>
    <s v="TRACKING SOLUTIONS T.S.O SAS"/>
    <s v="201904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602"/>
    <s v="TRACKING SOLUTIONS T.S.O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678"/>
    <n v="0"/>
    <n v="3678"/>
    <x v="0"/>
    <x v="0"/>
    <x v="0"/>
    <n v="3678"/>
    <n v="0"/>
    <n v="3678"/>
    <x v="0"/>
    <x v="0"/>
    <x v="0"/>
    <n v="3678"/>
    <n v="0"/>
    <n v="3678"/>
    <x v="0"/>
    <x v="0"/>
    <x v="0"/>
    <x v="0"/>
    <x v="0"/>
  </r>
  <r>
    <x v="7"/>
    <x v="0"/>
    <x v="0"/>
    <x v="4"/>
    <x v="4"/>
    <x v="9"/>
    <x v="9"/>
    <n v="233"/>
    <s v="900578072"/>
    <s v="CENTRO OFTALMOLOGICO VGR S.A.S"/>
    <s v="201904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578072"/>
    <s v="CENTRO OFTALMOLOGICO VGR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0625.  DESCUENTO PRONTO PAGO."/>
    <n v="71569"/>
    <n v="0"/>
    <n v="71569"/>
    <x v="0"/>
    <x v="0"/>
    <x v="0"/>
    <n v="71569"/>
    <n v="0"/>
    <n v="71569"/>
    <x v="0"/>
    <x v="0"/>
    <x v="0"/>
    <n v="71569"/>
    <n v="0"/>
    <n v="71569"/>
    <x v="0"/>
    <x v="0"/>
    <x v="0"/>
    <x v="0"/>
    <x v="0"/>
  </r>
  <r>
    <x v="6"/>
    <x v="0"/>
    <x v="0"/>
    <x v="5"/>
    <x v="5"/>
    <x v="1"/>
    <x v="1"/>
    <n v="46590"/>
    <s v="890327282"/>
    <s v="AUTOPACIFICO S.A."/>
    <s v="201905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27282"/>
    <s v="AUTOPACIFIC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0.8"/>
    <n v="0"/>
    <n v="0.8"/>
    <x v="0"/>
    <x v="0"/>
    <x v="0"/>
    <n v="0.8"/>
    <n v="0"/>
    <n v="0.8"/>
    <x v="0"/>
    <x v="0"/>
    <x v="0"/>
    <n v="0.8"/>
    <n v="0"/>
    <n v="0.8"/>
    <x v="0"/>
    <x v="0"/>
    <x v="0"/>
    <x v="0"/>
    <x v="0"/>
  </r>
  <r>
    <x v="2"/>
    <x v="0"/>
    <x v="0"/>
    <x v="1"/>
    <x v="1"/>
    <x v="1"/>
    <x v="1"/>
    <n v="24562"/>
    <s v="802010909"/>
    <s v="INVERSIONES WONGFOEN S.A."/>
    <s v="2019060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208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1"/>
    <x v="0"/>
    <x v="0"/>
    <x v="2"/>
    <x v="2"/>
    <x v="9"/>
    <x v="9"/>
    <n v="1486"/>
    <s v="800212060"/>
    <s v="PARQUE COMERCIAL LA COLINA 138"/>
    <s v="201902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212060"/>
    <s v="PARQUE COMERCIAL LA COLINA 13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SL 9% $185.282"/>
    <n v="185282"/>
    <n v="0"/>
    <n v="185282"/>
    <x v="0"/>
    <x v="0"/>
    <x v="0"/>
    <n v="185282"/>
    <n v="0"/>
    <n v="185282"/>
    <x v="0"/>
    <x v="0"/>
    <x v="0"/>
    <n v="185282"/>
    <n v="0"/>
    <n v="185282"/>
    <x v="0"/>
    <x v="0"/>
    <x v="0"/>
    <x v="0"/>
    <x v="0"/>
  </r>
  <r>
    <x v="5"/>
    <x v="0"/>
    <x v="0"/>
    <x v="5"/>
    <x v="5"/>
    <x v="9"/>
    <x v="9"/>
    <n v="1264"/>
    <s v="860006744"/>
    <s v="COMUNIDAD DE HERMANOS MARISTAS DE LA ENSEÑANZA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06744"/>
    <s v="COMUNIDAD DE HERMANOS MARISTAS DE LA ENSEÑANZ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%9, $109.473"/>
    <n v="109473"/>
    <n v="0"/>
    <n v="109473"/>
    <x v="0"/>
    <x v="0"/>
    <x v="0"/>
    <n v="109473"/>
    <n v="0"/>
    <n v="109473"/>
    <x v="0"/>
    <x v="0"/>
    <x v="0"/>
    <n v="109473"/>
    <n v="0"/>
    <n v="109473"/>
    <x v="0"/>
    <x v="0"/>
    <x v="0"/>
    <x v="0"/>
    <x v="0"/>
  </r>
  <r>
    <x v="6"/>
    <x v="0"/>
    <x v="0"/>
    <x v="2"/>
    <x v="2"/>
    <x v="1"/>
    <x v="1"/>
    <n v="62931"/>
    <s v="860521035"/>
    <s v="ACRECER TEMPORAL S.A.S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1779.6"/>
    <n v="0"/>
    <n v="61779.6"/>
    <x v="0"/>
    <x v="0"/>
    <x v="0"/>
    <n v="61779.6"/>
    <n v="0"/>
    <n v="61779.6"/>
    <x v="0"/>
    <x v="0"/>
    <x v="0"/>
    <n v="61779.6"/>
    <n v="0"/>
    <n v="6177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50800"/>
    <n v="0"/>
    <n v="50800"/>
    <x v="0"/>
    <x v="0"/>
    <x v="0"/>
    <n v="50800"/>
    <n v="0"/>
    <n v="50800"/>
    <x v="0"/>
    <x v="0"/>
    <x v="0"/>
    <n v="50800"/>
    <n v="0"/>
    <n v="508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3"/>
    <x v="3"/>
    <x v="1"/>
    <x v="1"/>
    <n v="37430"/>
    <s v="811034107"/>
    <s v="GRANOS Y CEREALES DEL CAMPO S.A.S"/>
    <s v="201903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34107"/>
    <s v="GRANOS Y CEREALES DEL CAMPO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57640 CLIENTE CANCELA CON EL 25% DCTO DESDE EL AÑO /92"/>
    <n v="508800"/>
    <n v="0"/>
    <n v="508800"/>
    <x v="0"/>
    <x v="0"/>
    <x v="0"/>
    <n v="508800"/>
    <n v="0"/>
    <n v="508800"/>
    <x v="0"/>
    <x v="0"/>
    <x v="0"/>
    <n v="508800"/>
    <n v="0"/>
    <n v="508800"/>
    <x v="0"/>
    <x v="0"/>
    <x v="0"/>
    <x v="0"/>
    <x v="0"/>
  </r>
  <r>
    <x v="6"/>
    <x v="0"/>
    <x v="0"/>
    <x v="1"/>
    <x v="1"/>
    <x v="1"/>
    <x v="1"/>
    <n v="24552"/>
    <s v="32757237"/>
    <s v="MEDINA OLIVEROS FARATH DIVA"/>
    <s v="201905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80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3587.63"/>
    <n v="0"/>
    <n v="23587.63"/>
    <x v="0"/>
    <x v="0"/>
    <x v="0"/>
    <n v="0"/>
    <n v="0"/>
    <n v="0"/>
    <x v="0"/>
    <x v="0"/>
    <x v="0"/>
    <n v="23587.63"/>
    <n v="0"/>
    <n v="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3587.63"/>
    <n v="-23587.63"/>
    <x v="0"/>
    <x v="0"/>
    <x v="0"/>
    <n v="0"/>
    <n v="0"/>
    <n v="0"/>
    <x v="0"/>
    <x v="0"/>
    <x v="0"/>
    <n v="0"/>
    <n v="23587.63"/>
    <n v="-23587.6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3588"/>
    <n v="0"/>
    <n v="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3588"/>
    <n v="-2358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637085.32999999996"/>
    <n v="-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9524.160000000003"/>
    <n v="0"/>
    <n v="59524.160000000003"/>
    <x v="0"/>
    <x v="0"/>
    <x v="0"/>
    <n v="0"/>
    <n v="0"/>
    <n v="0"/>
    <x v="0"/>
    <x v="0"/>
    <x v="0"/>
    <n v="59524.160000000003"/>
    <n v="0"/>
    <n v="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9524.160000000003"/>
    <n v="-59524.160000000003"/>
    <x v="0"/>
    <x v="0"/>
    <x v="0"/>
    <n v="0"/>
    <n v="0"/>
    <n v="0"/>
    <x v="0"/>
    <x v="0"/>
    <x v="0"/>
    <n v="0"/>
    <n v="59524.160000000003"/>
    <n v="-59524.16000000000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9524"/>
    <n v="0"/>
    <n v="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9524"/>
    <n v="-59524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82820"/>
    <n v="0"/>
    <n v="82820"/>
    <x v="0"/>
    <x v="0"/>
    <x v="0"/>
    <n v="0"/>
    <n v="0"/>
    <n v="0"/>
    <x v="0"/>
    <x v="0"/>
    <x v="0"/>
    <n v="82820"/>
    <n v="0"/>
    <n v="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2820"/>
    <n v="-82820"/>
    <x v="0"/>
    <x v="0"/>
    <x v="0"/>
    <n v="0"/>
    <n v="0"/>
    <n v="0"/>
    <x v="0"/>
    <x v="0"/>
    <x v="0"/>
    <n v="0"/>
    <n v="82820"/>
    <n v="-8282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82820"/>
    <n v="0"/>
    <n v="8282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7633"/>
    <n v="0"/>
    <n v="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7632.71"/>
    <n v="0"/>
    <n v="17632.71"/>
    <x v="0"/>
    <x v="0"/>
    <x v="0"/>
    <n v="0"/>
    <n v="0"/>
    <n v="0"/>
    <x v="0"/>
    <x v="0"/>
    <x v="0"/>
    <n v="17632.71"/>
    <n v="0"/>
    <n v="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7632.71"/>
    <n v="-17632.71"/>
    <x v="0"/>
    <x v="0"/>
    <x v="0"/>
    <n v="0"/>
    <n v="0"/>
    <n v="0"/>
    <x v="0"/>
    <x v="0"/>
    <x v="0"/>
    <n v="0"/>
    <n v="17632.71"/>
    <n v="-17632.71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7633"/>
    <n v="-1763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24736.5"/>
    <n v="-24736.5"/>
    <x v="0"/>
    <x v="0"/>
    <x v="0"/>
    <n v="0"/>
    <n v="0"/>
    <n v="0"/>
    <x v="0"/>
    <x v="0"/>
    <x v="0"/>
    <n v="0"/>
    <n v="24736.5"/>
    <n v="-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24737"/>
    <n v="0"/>
    <n v="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24737"/>
    <n v="-2473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24736.5"/>
    <n v="0"/>
    <n v="24736.5"/>
    <x v="0"/>
    <x v="0"/>
    <x v="0"/>
    <n v="0"/>
    <n v="0"/>
    <n v="0"/>
    <x v="0"/>
    <x v="0"/>
    <x v="0"/>
    <n v="24736.5"/>
    <n v="0"/>
    <n v="24736.5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16445.599999999999"/>
    <n v="0"/>
    <n v="16445.599999999999"/>
    <x v="0"/>
    <x v="0"/>
    <x v="0"/>
    <n v="0"/>
    <n v="0"/>
    <n v="0"/>
    <x v="0"/>
    <x v="0"/>
    <x v="0"/>
    <n v="16445.599999999999"/>
    <n v="0"/>
    <n v="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16445.599999999999"/>
    <n v="-16445.599999999999"/>
    <x v="0"/>
    <x v="0"/>
    <x v="0"/>
    <n v="0"/>
    <n v="0"/>
    <n v="0"/>
    <x v="0"/>
    <x v="0"/>
    <x v="0"/>
    <n v="0"/>
    <n v="16445.599999999999"/>
    <n v="-16445.59999999999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16446"/>
    <n v="0"/>
    <n v="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16446"/>
    <n v="-1644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47708.06999999995"/>
    <n v="0"/>
    <n v="547708.07000000007"/>
    <x v="0"/>
    <x v="0"/>
    <x v="0"/>
    <n v="547708.06999999995"/>
    <n v="0"/>
    <n v="547708.07000000007"/>
    <x v="0"/>
    <x v="0"/>
    <x v="0"/>
    <n v="547708.06999999995"/>
    <n v="0"/>
    <n v="547708.0700000000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1906.6"/>
    <n v="0"/>
    <n v="181906.6"/>
    <x v="0"/>
    <x v="0"/>
    <x v="0"/>
    <n v="181906.6"/>
    <n v="0"/>
    <n v="181906.6"/>
    <x v="0"/>
    <x v="0"/>
    <x v="0"/>
    <n v="181906.6"/>
    <n v="0"/>
    <n v="181906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0"/>
    <x v="0"/>
    <x v="0"/>
    <x v="0"/>
    <x v="0"/>
    <x v="8"/>
    <x v="8"/>
    <n v="363"/>
    <s v="890903938"/>
    <s v="BANCOLOMBIA S.A."/>
    <s v="201901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2"/>
    <x v="2"/>
    <n v="19624"/>
    <s v="860035827"/>
    <s v="BANCO AV VILLAS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AV VILLAS"/>
    <n v="840526"/>
    <n v="0"/>
    <n v="840526"/>
    <x v="0"/>
    <x v="0"/>
    <x v="0"/>
    <n v="840526"/>
    <n v="0"/>
    <n v="840526"/>
    <x v="0"/>
    <x v="0"/>
    <x v="0"/>
    <n v="840526"/>
    <n v="0"/>
    <n v="840526"/>
    <x v="0"/>
    <x v="0"/>
    <x v="0"/>
    <x v="0"/>
    <x v="0"/>
  </r>
  <r>
    <x v="1"/>
    <x v="0"/>
    <x v="0"/>
    <x v="0"/>
    <x v="0"/>
    <x v="2"/>
    <x v="2"/>
    <n v="19688"/>
    <s v="890903938"/>
    <s v="BANCOLOMBIA S.A."/>
    <s v="201902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PERTURA CREDITO CESANTIAS 12 MESES - DTF + 2.5 TA - PROTECCION"/>
    <n v="285254.18"/>
    <n v="0"/>
    <n v="285254.18"/>
    <x v="0"/>
    <x v="0"/>
    <x v="0"/>
    <n v="285254.18"/>
    <n v="0"/>
    <n v="285254.18"/>
    <x v="0"/>
    <x v="0"/>
    <x v="0"/>
    <n v="285254.18"/>
    <n v="0"/>
    <n v="285254.18"/>
    <x v="0"/>
    <x v="0"/>
    <x v="0"/>
    <x v="0"/>
    <x v="0"/>
  </r>
  <r>
    <x v="1"/>
    <x v="0"/>
    <x v="0"/>
    <x v="0"/>
    <x v="0"/>
    <x v="2"/>
    <x v="2"/>
    <n v="19699"/>
    <s v="860007660"/>
    <s v="HELM BANK S.A."/>
    <s v="201902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TC 6054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1"/>
    <x v="0"/>
    <x v="0"/>
    <x v="0"/>
    <x v="0"/>
    <x v="2"/>
    <x v="2"/>
    <n v="19769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ARIAS - FEB 2019 -"/>
    <n v="3213"/>
    <n v="0"/>
    <n v="3213"/>
    <x v="0"/>
    <x v="0"/>
    <x v="0"/>
    <n v="3213"/>
    <n v="0"/>
    <n v="3213"/>
    <x v="0"/>
    <x v="0"/>
    <x v="0"/>
    <n v="3213"/>
    <n v="0"/>
    <n v="3213"/>
    <x v="0"/>
    <x v="0"/>
    <x v="0"/>
    <x v="0"/>
    <x v="0"/>
  </r>
  <r>
    <x v="1"/>
    <x v="0"/>
    <x v="0"/>
    <x v="0"/>
    <x v="0"/>
    <x v="2"/>
    <x v="2"/>
    <n v="19752"/>
    <s v="440000000330"/>
    <s v="BANCOLOMBIA CAYMAN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DE COMPENSACION  - MES DE FEB 2018 (TRM 3072.01)"/>
    <n v="418837.84"/>
    <n v="0"/>
    <n v="418837.84"/>
    <x v="0"/>
    <x v="0"/>
    <x v="0"/>
    <n v="418837.84"/>
    <n v="0"/>
    <n v="418837.84"/>
    <x v="0"/>
    <x v="0"/>
    <x v="0"/>
    <n v="418837.84"/>
    <n v="0"/>
    <n v="418837.84"/>
    <x v="0"/>
    <x v="0"/>
    <x v="0"/>
    <x v="0"/>
    <x v="0"/>
  </r>
  <r>
    <x v="1"/>
    <x v="0"/>
    <x v="0"/>
    <x v="0"/>
    <x v="0"/>
    <x v="2"/>
    <x v="2"/>
    <n v="19778"/>
    <s v="890300279"/>
    <s v="BANCO DE OCCIDENTE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"/>
    <n v="106674.53"/>
    <n v="0"/>
    <n v="106674.53"/>
    <x v="0"/>
    <x v="0"/>
    <x v="0"/>
    <n v="106674.53"/>
    <n v="0"/>
    <n v="106674.53"/>
    <x v="0"/>
    <x v="0"/>
    <x v="0"/>
    <n v="106674.53"/>
    <n v="0"/>
    <n v="106674.53"/>
    <x v="0"/>
    <x v="0"/>
    <x v="0"/>
    <x v="0"/>
    <x v="0"/>
  </r>
  <r>
    <x v="1"/>
    <x v="0"/>
    <x v="0"/>
    <x v="0"/>
    <x v="0"/>
    <x v="2"/>
    <x v="2"/>
    <n v="19779"/>
    <s v="860002964"/>
    <s v="BANCO DE BOGOT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GAASTOS BANCARIOS FEB 2019"/>
    <n v="85413.88"/>
    <n v="0"/>
    <n v="85413.88"/>
    <x v="0"/>
    <x v="0"/>
    <x v="0"/>
    <n v="85413.88"/>
    <n v="0"/>
    <n v="85413.88"/>
    <x v="0"/>
    <x v="0"/>
    <x v="0"/>
    <n v="85413.88"/>
    <n v="0"/>
    <n v="85413.88"/>
    <x v="0"/>
    <x v="0"/>
    <x v="0"/>
    <x v="0"/>
    <x v="0"/>
  </r>
  <r>
    <x v="1"/>
    <x v="0"/>
    <x v="0"/>
    <x v="0"/>
    <x v="0"/>
    <x v="2"/>
    <x v="2"/>
    <n v="19780"/>
    <s v="900406150"/>
    <s v="BANCO COOMEV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FEB 2019 -  BANCOOMEVA"/>
    <n v="110972.64"/>
    <n v="0"/>
    <n v="110972.64"/>
    <x v="0"/>
    <x v="0"/>
    <x v="0"/>
    <n v="110972.64"/>
    <n v="0"/>
    <n v="110972.64"/>
    <x v="0"/>
    <x v="0"/>
    <x v="0"/>
    <n v="110972.64"/>
    <n v="0"/>
    <n v="110972.6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6631.3"/>
    <n v="0"/>
    <n v="56631.3"/>
    <x v="0"/>
    <x v="0"/>
    <x v="0"/>
    <n v="56631.3"/>
    <n v="0"/>
    <n v="56631.3"/>
    <x v="0"/>
    <x v="0"/>
    <x v="0"/>
    <n v="56631.3"/>
    <n v="0"/>
    <n v="56631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2309.3"/>
    <n v="0"/>
    <n v="22309.3"/>
    <x v="0"/>
    <x v="0"/>
    <x v="0"/>
    <n v="22309.3"/>
    <n v="0"/>
    <n v="22309.3"/>
    <x v="0"/>
    <x v="0"/>
    <x v="0"/>
    <n v="22309.3"/>
    <n v="0"/>
    <n v="22309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6610.12"/>
    <n v="0"/>
    <n v="116610.12"/>
    <x v="0"/>
    <x v="0"/>
    <x v="0"/>
    <n v="116610.12"/>
    <n v="0"/>
    <n v="116610.12"/>
    <x v="0"/>
    <x v="0"/>
    <x v="0"/>
    <n v="116610.12"/>
    <n v="0"/>
    <n v="116610.1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46867.96"/>
    <n v="0"/>
    <n v="46867.96"/>
    <x v="0"/>
    <x v="0"/>
    <x v="0"/>
    <n v="0"/>
    <n v="0"/>
    <n v="0"/>
    <x v="0"/>
    <x v="0"/>
    <x v="0"/>
    <n v="46867.96"/>
    <n v="0"/>
    <n v="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46867.96"/>
    <n v="-46867.96"/>
    <x v="0"/>
    <x v="0"/>
    <x v="0"/>
    <n v="0"/>
    <n v="0"/>
    <n v="0"/>
    <x v="0"/>
    <x v="0"/>
    <x v="0"/>
    <n v="0"/>
    <n v="46867.96"/>
    <n v="-46867.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46868"/>
    <n v="0"/>
    <n v="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46868"/>
    <n v="-468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1708.13"/>
    <n v="0"/>
    <n v="61708.130000000005"/>
    <x v="0"/>
    <x v="0"/>
    <x v="0"/>
    <n v="0"/>
    <n v="0"/>
    <n v="0"/>
    <x v="0"/>
    <x v="0"/>
    <x v="0"/>
    <n v="61708.13"/>
    <n v="0"/>
    <n v="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61708.13"/>
    <n v="-61708.130000000005"/>
    <x v="0"/>
    <x v="0"/>
    <x v="0"/>
    <n v="0"/>
    <n v="0"/>
    <n v="0"/>
    <x v="0"/>
    <x v="0"/>
    <x v="0"/>
    <n v="0"/>
    <n v="61708.13"/>
    <n v="-61708.13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95687"/>
    <n v="0"/>
    <n v="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6470.02"/>
    <n v="-76470.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95687.28"/>
    <n v="0"/>
    <n v="395687.28"/>
    <x v="0"/>
    <x v="0"/>
    <x v="0"/>
    <n v="0"/>
    <n v="0"/>
    <n v="0"/>
    <x v="0"/>
    <x v="0"/>
    <x v="0"/>
    <n v="395687.28"/>
    <n v="0"/>
    <n v="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95687.28"/>
    <n v="-395687.28"/>
    <x v="0"/>
    <x v="0"/>
    <x v="0"/>
    <n v="0"/>
    <n v="0"/>
    <n v="0"/>
    <x v="0"/>
    <x v="0"/>
    <x v="0"/>
    <n v="0"/>
    <n v="395687.28"/>
    <n v="-395687.2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95687"/>
    <n v="-39568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55215"/>
    <n v="0"/>
    <n v="55215"/>
    <x v="0"/>
    <x v="0"/>
    <x v="0"/>
    <n v="0"/>
    <n v="0"/>
    <n v="0"/>
    <x v="0"/>
    <x v="0"/>
    <x v="0"/>
    <n v="55215"/>
    <n v="0"/>
    <n v="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55215"/>
    <n v="-55215"/>
    <x v="0"/>
    <x v="0"/>
    <x v="0"/>
    <n v="0"/>
    <n v="0"/>
    <n v="0"/>
    <x v="0"/>
    <x v="0"/>
    <x v="0"/>
    <n v="0"/>
    <n v="55215"/>
    <n v="-5521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55215"/>
    <n v="0"/>
    <n v="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55215"/>
    <n v="-5521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TERMINACION CONTRATO EQUIPOS QUEDARON EN PROPIEDAD DEL CLIENTE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398671.47"/>
    <n v="0"/>
    <n v="398671.47000000003"/>
    <x v="0"/>
    <x v="0"/>
    <x v="0"/>
    <n v="0"/>
    <n v="0"/>
    <n v="0"/>
    <x v="0"/>
    <x v="0"/>
    <x v="0"/>
    <n v="398671.47"/>
    <n v="0"/>
    <n v="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398671.47"/>
    <n v="-398671.47000000003"/>
    <x v="0"/>
    <x v="0"/>
    <x v="0"/>
    <n v="0"/>
    <n v="0"/>
    <n v="0"/>
    <x v="0"/>
    <x v="0"/>
    <x v="0"/>
    <n v="0"/>
    <n v="398671.47"/>
    <n v="-398671.47000000003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398671.47"/>
    <n v="0"/>
    <n v="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0"/>
    <n v="0"/>
    <x v="0"/>
    <x v="0"/>
    <x v="0"/>
    <n v="0"/>
    <n v="398671.47"/>
    <n v="-398671.4700000000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8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S DE BAJA POR  TERMINACION DE CONTRATO SEGUN ADENDO ADJUNTO ACTIVOS QUEDARIAN EN PROPIEDAD DEL CLIENTE"/>
    <n v="0"/>
    <n v="637085.32999999996"/>
    <n v="-637085.32999999996"/>
    <x v="0"/>
    <x v="0"/>
    <x v="0"/>
    <n v="0"/>
    <n v="0"/>
    <n v="0"/>
    <x v="0"/>
    <x v="0"/>
    <x v="0"/>
    <n v="0"/>
    <n v="637085.32999999996"/>
    <n v="-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520066.76"/>
    <n v="-520066.76"/>
    <x v="0"/>
    <x v="0"/>
    <x v="0"/>
    <n v="0"/>
    <n v="0"/>
    <n v="0"/>
    <x v="0"/>
    <x v="0"/>
    <x v="0"/>
    <n v="0"/>
    <n v="520066.76"/>
    <n v="-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1708"/>
    <n v="0"/>
    <n v="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61708"/>
    <n v="-6170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520066.76"/>
    <n v="0"/>
    <n v="520066.76"/>
    <x v="0"/>
    <x v="0"/>
    <x v="0"/>
    <n v="0"/>
    <n v="0"/>
    <n v="0"/>
    <x v="0"/>
    <x v="0"/>
    <x v="0"/>
    <n v="520066.76"/>
    <n v="0"/>
    <n v="520066.7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520067"/>
    <n v="0"/>
    <n v="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520067"/>
    <n v="-52006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709.740000000005"/>
    <n v="0"/>
    <n v="73709.740000000005"/>
    <x v="0"/>
    <x v="0"/>
    <x v="0"/>
    <n v="0"/>
    <n v="0"/>
    <n v="0"/>
    <x v="0"/>
    <x v="0"/>
    <x v="0"/>
    <n v="73709.740000000005"/>
    <n v="0"/>
    <n v="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709.740000000005"/>
    <n v="-73709.740000000005"/>
    <x v="0"/>
    <x v="0"/>
    <x v="0"/>
    <n v="0"/>
    <n v="0"/>
    <n v="0"/>
    <x v="0"/>
    <x v="0"/>
    <x v="0"/>
    <n v="0"/>
    <n v="73709.740000000005"/>
    <n v="-737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710"/>
    <n v="0"/>
    <n v="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710"/>
    <n v="-737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73310"/>
    <n v="0"/>
    <n v="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3310"/>
    <n v="-73310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73309.740000000005"/>
    <n v="0"/>
    <n v="73309.740000000005"/>
    <x v="0"/>
    <x v="0"/>
    <x v="0"/>
    <n v="0"/>
    <n v="0"/>
    <n v="0"/>
    <x v="0"/>
    <x v="0"/>
    <x v="0"/>
    <n v="73309.740000000005"/>
    <n v="0"/>
    <n v="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3309.740000000005"/>
    <n v="-73309.740000000005"/>
    <x v="0"/>
    <x v="0"/>
    <x v="0"/>
    <n v="0"/>
    <n v="0"/>
    <n v="0"/>
    <x v="0"/>
    <x v="0"/>
    <x v="0"/>
    <n v="0"/>
    <n v="73309.740000000005"/>
    <n v="-73309.74000000000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120836.55"/>
    <n v="0"/>
    <n v="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120836.55"/>
    <n v="0"/>
    <n v="120836.55"/>
    <x v="0"/>
    <x v="0"/>
    <x v="0"/>
    <n v="0"/>
    <n v="0"/>
    <n v="0"/>
    <x v="0"/>
    <x v="0"/>
    <x v="0"/>
    <n v="120836.55"/>
    <n v="0"/>
    <n v="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20836.55"/>
    <n v="-120836.55"/>
    <x v="0"/>
    <x v="0"/>
    <x v="0"/>
    <n v="0"/>
    <n v="0"/>
    <n v="0"/>
    <x v="0"/>
    <x v="0"/>
    <x v="0"/>
    <n v="0"/>
    <n v="120836.55"/>
    <n v="-120836.55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20836.55"/>
    <n v="-120836.55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305809.96000000002"/>
    <n v="-305809.96000000002"/>
    <x v="0"/>
    <x v="0"/>
    <x v="0"/>
    <n v="0"/>
    <n v="0"/>
    <n v="0"/>
    <x v="0"/>
    <x v="0"/>
    <x v="0"/>
    <n v="0"/>
    <n v="305809.96000000002"/>
    <n v="-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305809.96000000002"/>
    <n v="-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48340.68"/>
    <n v="0"/>
    <n v="48340.68"/>
    <x v="0"/>
    <x v="0"/>
    <x v="0"/>
    <n v="0"/>
    <n v="0"/>
    <n v="0"/>
    <x v="0"/>
    <x v="0"/>
    <x v="0"/>
    <n v="48340.68"/>
    <n v="0"/>
    <n v="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48340.68"/>
    <n v="-48340.68"/>
    <x v="0"/>
    <x v="0"/>
    <x v="0"/>
    <n v="0"/>
    <n v="0"/>
    <n v="0"/>
    <x v="0"/>
    <x v="0"/>
    <x v="0"/>
    <n v="0"/>
    <n v="48340.68"/>
    <n v="-48340.68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48340.68"/>
    <n v="0"/>
    <n v="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TIRO POR VENTA S/FV0-824"/>
    <n v="0"/>
    <n v="0"/>
    <n v="0"/>
    <x v="0"/>
    <x v="0"/>
    <x v="0"/>
    <n v="0"/>
    <n v="48340.68"/>
    <n v="-48340.68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637085.32999999996"/>
    <n v="0"/>
    <n v="637085.32999999996"/>
    <x v="0"/>
    <x v="0"/>
    <x v="0"/>
    <n v="0"/>
    <n v="0"/>
    <n v="0"/>
    <x v="0"/>
    <x v="0"/>
    <x v="0"/>
    <n v="637085.32999999996"/>
    <n v="0"/>
    <n v="637085.32999999996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173287.23"/>
    <n v="-173287.23"/>
    <x v="0"/>
    <x v="0"/>
    <x v="0"/>
    <n v="0"/>
    <n v="0"/>
    <n v="0"/>
    <x v="0"/>
    <x v="0"/>
    <x v="0"/>
    <n v="0"/>
    <n v="173287.23"/>
    <n v="-173287.23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637085.32999999996"/>
    <n v="0"/>
    <n v="637085.32999999996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173287.23"/>
    <n v="-173287.23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83180.27"/>
    <n v="-83180.27"/>
    <x v="0"/>
    <x v="0"/>
    <x v="0"/>
    <n v="0"/>
    <n v="0"/>
    <n v="0"/>
    <x v="0"/>
    <x v="0"/>
    <x v="0"/>
    <n v="0"/>
    <n v="83180.27"/>
    <n v="-83180.27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83180.27"/>
    <n v="-83180.27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305809.96000000002"/>
    <n v="0"/>
    <n v="305809.96000000002"/>
    <x v="0"/>
    <x v="0"/>
    <x v="0"/>
    <n v="0"/>
    <n v="0"/>
    <n v="0"/>
    <x v="0"/>
    <x v="0"/>
    <x v="0"/>
    <n v="305809.96000000002"/>
    <n v="0"/>
    <n v="305809.96000000002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78644.09"/>
    <n v="-78644.09"/>
    <x v="0"/>
    <x v="0"/>
    <x v="0"/>
    <n v="0"/>
    <n v="0"/>
    <n v="0"/>
    <x v="0"/>
    <x v="0"/>
    <x v="0"/>
    <n v="0"/>
    <n v="78644.09"/>
    <n v="-78644.09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305809.96000000002"/>
    <n v="0"/>
    <n v="305809.96000000002"/>
    <x v="0"/>
    <x v="0"/>
    <x v="0"/>
    <n v="0"/>
    <n v="0"/>
    <n v="0"/>
    <x v="0"/>
    <x v="0"/>
    <x v="0"/>
    <x v="0"/>
    <x v="0"/>
  </r>
  <r>
    <x v="0"/>
    <x v="0"/>
    <x v="0"/>
    <x v="0"/>
    <x v="0"/>
    <x v="10"/>
    <x v="10"/>
    <n v="227"/>
    <s v="860047239"/>
    <s v="MUSICAR S.A.S"/>
    <s v="20190123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S/FRA. FV0-811"/>
    <n v="0"/>
    <n v="0"/>
    <n v="0"/>
    <x v="0"/>
    <x v="0"/>
    <x v="0"/>
    <n v="0"/>
    <n v="78644.09"/>
    <n v="-78644.09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0"/>
    <n v="84127.34"/>
    <n v="-84127.34"/>
    <x v="0"/>
    <x v="0"/>
    <x v="0"/>
    <n v="0"/>
    <n v="0"/>
    <n v="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119900"/>
    <n v="0"/>
    <n v="119900"/>
    <x v="0"/>
    <x v="0"/>
    <x v="0"/>
    <n v="0"/>
    <n v="0"/>
    <n v="0"/>
    <x v="0"/>
    <x v="0"/>
    <x v="0"/>
    <n v="119900"/>
    <n v="0"/>
    <n v="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119900"/>
    <n v="-119900"/>
    <x v="0"/>
    <x v="0"/>
    <x v="0"/>
    <n v="0"/>
    <n v="0"/>
    <n v="0"/>
    <x v="0"/>
    <x v="0"/>
    <x v="0"/>
    <n v="0"/>
    <n v="119900"/>
    <n v="-119900"/>
    <x v="0"/>
    <x v="0"/>
    <x v="0"/>
    <x v="0"/>
    <x v="0"/>
  </r>
  <r>
    <x v="1"/>
    <x v="0"/>
    <x v="0"/>
    <x v="0"/>
    <x v="0"/>
    <x v="10"/>
    <x v="10"/>
    <n v="229"/>
    <s v="860047239"/>
    <s v="MUSICAR S.A.S"/>
    <s v="20190228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ADO DE BAJA MUEBLE  BIBLIOTECA POR VENTA S/FV3-494"/>
    <n v="0"/>
    <n v="0"/>
    <n v="0"/>
    <x v="0"/>
    <x v="0"/>
    <x v="0"/>
    <n v="119900"/>
    <n v="0"/>
    <n v="119900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9864.71"/>
    <n v="0"/>
    <n v="39864.71"/>
    <x v="0"/>
    <x v="0"/>
    <x v="0"/>
    <n v="0"/>
    <n v="0"/>
    <n v="0"/>
    <x v="0"/>
    <x v="0"/>
    <x v="0"/>
    <n v="39864.71"/>
    <n v="0"/>
    <n v="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9864.71"/>
    <n v="-39864.71"/>
    <x v="0"/>
    <x v="0"/>
    <x v="0"/>
    <n v="0"/>
    <n v="0"/>
    <n v="0"/>
    <x v="0"/>
    <x v="0"/>
    <x v="0"/>
    <n v="0"/>
    <n v="39864.71"/>
    <n v="-39864.7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39865"/>
    <n v="0"/>
    <n v="39865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39865"/>
    <n v="-39865"/>
    <x v="0"/>
    <x v="0"/>
    <x v="0"/>
    <n v="0"/>
    <n v="0"/>
    <n v="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13106"/>
    <n v="0"/>
    <n v="413106"/>
    <x v="0"/>
    <x v="0"/>
    <x v="0"/>
    <n v="413106"/>
    <n v="0"/>
    <n v="413106"/>
    <x v="0"/>
    <x v="0"/>
    <x v="0"/>
    <n v="413106"/>
    <n v="0"/>
    <n v="41310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?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1"/>
    <x v="0"/>
    <x v="0"/>
    <x v="0"/>
    <x v="0"/>
    <x v="8"/>
    <x v="8"/>
    <n v="370"/>
    <s v="860007660"/>
    <s v="HELM BANK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1"/>
    <x v="0"/>
    <x v="0"/>
    <x v="0"/>
    <x v="0"/>
    <x v="8"/>
    <x v="8"/>
    <n v="369"/>
    <s v="890903938"/>
    <s v="BANCOLOMBIA S.A."/>
    <s v="201902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2"/>
    <x v="2"/>
    <n v="19839"/>
    <s v="860007660"/>
    <s v="HELM BANK S.A."/>
    <s v="201903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4225"/>
    <n v="90876.67"/>
    <n v="0"/>
    <n v="90876.67"/>
    <x v="0"/>
    <x v="0"/>
    <x v="0"/>
    <n v="90876.67"/>
    <n v="0"/>
    <n v="90876.67"/>
    <x v="0"/>
    <x v="0"/>
    <x v="0"/>
    <n v="90876.67"/>
    <n v="0"/>
    <n v="90876.67"/>
    <x v="0"/>
    <x v="0"/>
    <x v="0"/>
    <x v="0"/>
    <x v="0"/>
  </r>
  <r>
    <x v="5"/>
    <x v="0"/>
    <x v="0"/>
    <x v="0"/>
    <x v="0"/>
    <x v="2"/>
    <x v="2"/>
    <n v="19932"/>
    <s v="890300279"/>
    <s v="BANCO DE OCCIDENTE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 DE MARZO DEL 2019"/>
    <n v="90940"/>
    <n v="0"/>
    <n v="90940"/>
    <x v="0"/>
    <x v="0"/>
    <x v="0"/>
    <n v="90940"/>
    <n v="0"/>
    <n v="90940"/>
    <x v="0"/>
    <x v="0"/>
    <x v="0"/>
    <n v="90940"/>
    <n v="0"/>
    <n v="9094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6100"/>
    <n v="0"/>
    <n v="6100"/>
    <x v="0"/>
    <x v="0"/>
    <x v="0"/>
    <n v="6100"/>
    <n v="0"/>
    <n v="6100"/>
    <x v="0"/>
    <x v="0"/>
    <x v="0"/>
    <n v="6100"/>
    <n v="0"/>
    <n v="61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EXPEDICION CHEQUE GCIA"/>
    <n v="25400"/>
    <n v="0"/>
    <n v="25400"/>
    <x v="0"/>
    <x v="0"/>
    <x v="0"/>
    <n v="25400"/>
    <n v="0"/>
    <n v="25400"/>
    <x v="0"/>
    <x v="0"/>
    <x v="0"/>
    <n v="25400"/>
    <n v="0"/>
    <n v="25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38633.72"/>
    <n v="0"/>
    <n v="238633.72"/>
    <x v="0"/>
    <x v="0"/>
    <x v="0"/>
    <n v="0"/>
    <n v="0"/>
    <n v="0"/>
    <x v="0"/>
    <x v="0"/>
    <x v="0"/>
    <n v="238633.72"/>
    <n v="0"/>
    <n v="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38633.72"/>
    <n v="-238633.72"/>
    <x v="0"/>
    <x v="0"/>
    <x v="0"/>
    <n v="0"/>
    <n v="0"/>
    <n v="0"/>
    <x v="0"/>
    <x v="0"/>
    <x v="0"/>
    <n v="0"/>
    <n v="238633.72"/>
    <n v="-238633.7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38634"/>
    <n v="0"/>
    <n v="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38634"/>
    <n v="-2386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2868.3"/>
    <n v="0"/>
    <n v="52868.3"/>
    <x v="0"/>
    <x v="0"/>
    <x v="0"/>
    <n v="0"/>
    <n v="0"/>
    <n v="0"/>
    <x v="0"/>
    <x v="0"/>
    <x v="0"/>
    <n v="52868.3"/>
    <n v="0"/>
    <n v="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2868.3"/>
    <n v="-52868.3"/>
    <x v="0"/>
    <x v="0"/>
    <x v="0"/>
    <n v="0"/>
    <n v="0"/>
    <n v="0"/>
    <x v="0"/>
    <x v="0"/>
    <x v="0"/>
    <n v="0"/>
    <n v="52868.3"/>
    <n v="-52868.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2868"/>
    <n v="0"/>
    <n v="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2868"/>
    <n v="-5286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134206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32987.879999999997"/>
    <n v="0"/>
    <n v="32987.879999999997"/>
    <x v="0"/>
    <x v="0"/>
    <x v="0"/>
    <n v="0"/>
    <n v="0"/>
    <n v="0"/>
    <x v="0"/>
    <x v="0"/>
    <x v="0"/>
    <n v="32987.879999999997"/>
    <n v="0"/>
    <n v="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32987.879999999997"/>
    <n v="-32987.879999999997"/>
    <x v="0"/>
    <x v="0"/>
    <x v="0"/>
    <n v="0"/>
    <n v="0"/>
    <n v="0"/>
    <x v="0"/>
    <x v="0"/>
    <x v="0"/>
    <n v="0"/>
    <n v="32987.879999999997"/>
    <n v="-32987.879999999997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7280"/>
    <n v="0"/>
    <n v="67280"/>
    <x v="0"/>
    <x v="0"/>
    <x v="0"/>
    <n v="0"/>
    <n v="0"/>
    <n v="0"/>
    <x v="0"/>
    <x v="0"/>
    <x v="0"/>
    <n v="67280"/>
    <n v="0"/>
    <n v="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7280"/>
    <n v="-67280"/>
    <x v="0"/>
    <x v="0"/>
    <x v="0"/>
    <n v="0"/>
    <n v="0"/>
    <n v="0"/>
    <x v="0"/>
    <x v="0"/>
    <x v="0"/>
    <n v="0"/>
    <n v="67280"/>
    <n v="-6728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57749"/>
    <n v="0"/>
    <n v="57749"/>
    <x v="0"/>
    <x v="0"/>
    <x v="0"/>
    <n v="0"/>
    <n v="0"/>
    <n v="0"/>
    <x v="0"/>
    <x v="0"/>
    <x v="0"/>
    <n v="57749"/>
    <n v="0"/>
    <n v="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57749"/>
    <n v="-57749"/>
    <x v="0"/>
    <x v="0"/>
    <x v="0"/>
    <n v="0"/>
    <n v="0"/>
    <n v="0"/>
    <x v="0"/>
    <x v="0"/>
    <x v="0"/>
    <n v="0"/>
    <n v="57749"/>
    <n v="-5774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57749"/>
    <n v="0"/>
    <n v="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57749"/>
    <n v="-5774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70129"/>
    <n v="-270129"/>
    <x v="0"/>
    <x v="0"/>
    <x v="0"/>
    <n v="0"/>
    <n v="0"/>
    <n v="0"/>
    <x v="0"/>
    <x v="0"/>
    <x v="0"/>
    <n v="0"/>
    <n v="270129"/>
    <n v="-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70129"/>
    <n v="0"/>
    <n v="270129"/>
    <x v="0"/>
    <x v="0"/>
    <x v="0"/>
    <n v="0"/>
    <n v="0"/>
    <n v="0"/>
    <x v="0"/>
    <x v="0"/>
    <x v="0"/>
    <n v="270129"/>
    <n v="0"/>
    <n v="27012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270129"/>
    <n v="0"/>
    <n v="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270129"/>
    <n v="-27012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99821"/>
    <n v="0"/>
    <n v="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99821"/>
    <n v="0"/>
    <n v="99821"/>
    <x v="0"/>
    <x v="0"/>
    <x v="0"/>
    <n v="0"/>
    <n v="0"/>
    <n v="0"/>
    <x v="0"/>
    <x v="0"/>
    <x v="0"/>
    <n v="99821"/>
    <n v="0"/>
    <n v="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99821"/>
    <n v="-99821"/>
    <x v="0"/>
    <x v="0"/>
    <x v="0"/>
    <n v="0"/>
    <n v="0"/>
    <n v="0"/>
    <x v="0"/>
    <x v="0"/>
    <x v="0"/>
    <n v="0"/>
    <n v="99821"/>
    <n v="-99821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99821"/>
    <n v="-9982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6810"/>
    <n v="0"/>
    <n v="6810"/>
    <x v="0"/>
    <x v="0"/>
    <x v="0"/>
    <n v="6810"/>
    <n v="0"/>
    <n v="6810"/>
    <x v="0"/>
    <x v="0"/>
    <x v="0"/>
    <n v="6810"/>
    <n v="0"/>
    <n v="681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309400"/>
    <n v="0"/>
    <n v="309400"/>
    <x v="0"/>
    <x v="0"/>
    <x v="0"/>
    <n v="309400"/>
    <n v="0"/>
    <n v="309400"/>
    <x v="0"/>
    <x v="0"/>
    <x v="0"/>
    <n v="309400"/>
    <n v="0"/>
    <n v="3094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1"/>
    <n v="0"/>
    <n v="17161"/>
    <x v="0"/>
    <x v="0"/>
    <x v="0"/>
    <n v="17161"/>
    <n v="0"/>
    <n v="17161"/>
    <x v="0"/>
    <x v="0"/>
    <x v="0"/>
    <n v="17161"/>
    <n v="0"/>
    <n v="1716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0107.82"/>
    <n v="0"/>
    <n v="90107.82"/>
    <x v="0"/>
    <x v="0"/>
    <x v="0"/>
    <n v="90107.82"/>
    <n v="0"/>
    <n v="90107.82"/>
    <x v="0"/>
    <x v="0"/>
    <x v="0"/>
    <n v="90107.82"/>
    <n v="0"/>
    <n v="90107.8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5"/>
    <x v="0"/>
    <x v="0"/>
    <x v="0"/>
    <x v="0"/>
    <x v="8"/>
    <x v="8"/>
    <n v="371"/>
    <s v="890903938"/>
    <s v="BANCOLOMBIA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42902.5"/>
    <n v="0"/>
    <n v="42902.5"/>
    <x v="0"/>
    <x v="0"/>
    <x v="0"/>
    <n v="42902.5"/>
    <n v="0"/>
    <n v="42902.5"/>
    <x v="0"/>
    <x v="0"/>
    <x v="0"/>
    <n v="42902.5"/>
    <n v="0"/>
    <n v="42902.5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11604"/>
    <n v="0"/>
    <n v="311604"/>
    <x v="0"/>
    <x v="0"/>
    <x v="0"/>
    <n v="311604"/>
    <n v="0"/>
    <n v="311604"/>
    <x v="0"/>
    <x v="0"/>
    <x v="0"/>
    <n v="311604"/>
    <n v="0"/>
    <n v="3116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"/>
    <n v="0"/>
    <n v="54023"/>
    <x v="0"/>
    <x v="0"/>
    <x v="0"/>
    <n v="54023"/>
    <n v="0"/>
    <n v="54023"/>
    <x v="0"/>
    <x v="0"/>
    <x v="0"/>
    <n v="54023"/>
    <n v="0"/>
    <n v="5402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2"/>
    <x v="2"/>
    <n v="19958"/>
    <s v="860002964"/>
    <s v="BANCO DE BOGOTA S.A.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SALDO DE OBLIGACION 349 CREDITO ROTATIVO"/>
    <n v="52479"/>
    <n v="0"/>
    <n v="52479"/>
    <x v="0"/>
    <x v="0"/>
    <x v="0"/>
    <n v="52479"/>
    <n v="0"/>
    <n v="52479"/>
    <x v="0"/>
    <x v="0"/>
    <x v="0"/>
    <n v="52479"/>
    <n v="0"/>
    <n v="52479"/>
    <x v="0"/>
    <x v="0"/>
    <x v="0"/>
    <x v="0"/>
    <x v="0"/>
  </r>
  <r>
    <x v="7"/>
    <x v="0"/>
    <x v="0"/>
    <x v="0"/>
    <x v="0"/>
    <x v="2"/>
    <x v="2"/>
    <n v="19998"/>
    <s v="900406150"/>
    <s v="BANCO COOMEV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ACARIOS MES DE MARZO DEL 2019"/>
    <n v="116233.28"/>
    <n v="0"/>
    <n v="116233.28"/>
    <x v="0"/>
    <x v="0"/>
    <x v="0"/>
    <n v="116233.28"/>
    <n v="0"/>
    <n v="116233.28"/>
    <x v="0"/>
    <x v="0"/>
    <x v="0"/>
    <n v="116233.28"/>
    <n v="0"/>
    <n v="116233.28"/>
    <x v="0"/>
    <x v="0"/>
    <x v="0"/>
    <x v="0"/>
    <x v="0"/>
  </r>
  <r>
    <x v="7"/>
    <x v="0"/>
    <x v="0"/>
    <x v="0"/>
    <x v="0"/>
    <x v="11"/>
    <x v="11"/>
    <n v="26012"/>
    <s v="1018441067"/>
    <s v="ALONSO GUTIERREZ YINNETH CATALINA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 + GASTOS BANCARIOS"/>
    <n v="8045"/>
    <n v="0"/>
    <n v="8045"/>
    <x v="0"/>
    <x v="0"/>
    <x v="0"/>
    <n v="8045"/>
    <n v="0"/>
    <n v="8045"/>
    <x v="0"/>
    <x v="0"/>
    <x v="0"/>
    <n v="8045"/>
    <n v="0"/>
    <n v="8045"/>
    <x v="0"/>
    <x v="0"/>
    <x v="0"/>
    <x v="0"/>
    <x v="0"/>
  </r>
  <r>
    <x v="7"/>
    <x v="0"/>
    <x v="0"/>
    <x v="0"/>
    <x v="0"/>
    <x v="11"/>
    <x v="11"/>
    <n v="26013"/>
    <s v="1045717933"/>
    <s v="PALMA GUTIERREZ KETTY JANETH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4  + GASTOS BANCARIOS"/>
    <n v="7304"/>
    <n v="0"/>
    <n v="7304"/>
    <x v="0"/>
    <x v="0"/>
    <x v="0"/>
    <n v="7304"/>
    <n v="0"/>
    <n v="7304"/>
    <x v="0"/>
    <x v="0"/>
    <x v="0"/>
    <n v="7304"/>
    <n v="0"/>
    <n v="7304"/>
    <x v="0"/>
    <x v="0"/>
    <x v="0"/>
    <x v="0"/>
    <x v="0"/>
  </r>
  <r>
    <x v="7"/>
    <x v="0"/>
    <x v="0"/>
    <x v="0"/>
    <x v="0"/>
    <x v="11"/>
    <x v="11"/>
    <n v="26015"/>
    <s v="31908098"/>
    <s v="LOPEZ GARCIA MARIA DEL SOCORRO"/>
    <s v="2019040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0 + GASTOS BANCARIOS"/>
    <n v="8384"/>
    <n v="0"/>
    <n v="8384"/>
    <x v="0"/>
    <x v="0"/>
    <x v="0"/>
    <n v="8384"/>
    <n v="0"/>
    <n v="8384"/>
    <x v="0"/>
    <x v="0"/>
    <x v="0"/>
    <n v="8384"/>
    <n v="0"/>
    <n v="8384"/>
    <x v="0"/>
    <x v="0"/>
    <x v="0"/>
    <x v="0"/>
    <x v="0"/>
  </r>
  <r>
    <x v="7"/>
    <x v="0"/>
    <x v="0"/>
    <x v="0"/>
    <x v="0"/>
    <x v="11"/>
    <x v="11"/>
    <n v="26026"/>
    <s v="1098657994"/>
    <s v="HERNANDEZ ROJAS JOHN EDISON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2+ GASTOS BANCARIOS"/>
    <n v="7202"/>
    <n v="0"/>
    <n v="7202"/>
    <x v="0"/>
    <x v="0"/>
    <x v="0"/>
    <n v="7202"/>
    <n v="0"/>
    <n v="7202"/>
    <x v="0"/>
    <x v="0"/>
    <x v="0"/>
    <n v="7202"/>
    <n v="0"/>
    <n v="7202"/>
    <x v="0"/>
    <x v="0"/>
    <x v="0"/>
    <x v="0"/>
    <x v="0"/>
  </r>
  <r>
    <x v="7"/>
    <x v="0"/>
    <x v="0"/>
    <x v="0"/>
    <x v="0"/>
    <x v="11"/>
    <x v="11"/>
    <n v="26027"/>
    <s v="29873536"/>
    <s v="ZUÑIGA CEBALLOS CLAUDIA MARIA"/>
    <s v="201904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5+ GASTOS BANCARIOS"/>
    <n v="7713"/>
    <n v="0"/>
    <n v="7713"/>
    <x v="0"/>
    <x v="0"/>
    <x v="0"/>
    <n v="7713"/>
    <n v="0"/>
    <n v="7713"/>
    <x v="0"/>
    <x v="0"/>
    <x v="0"/>
    <n v="7713"/>
    <n v="0"/>
    <n v="7713"/>
    <x v="0"/>
    <x v="0"/>
    <x v="0"/>
    <x v="0"/>
    <x v="0"/>
  </r>
  <r>
    <x v="7"/>
    <x v="0"/>
    <x v="0"/>
    <x v="0"/>
    <x v="0"/>
    <x v="2"/>
    <x v="2"/>
    <n v="20001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11940"/>
    <s v="TURISMO MARVAN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12609.8"/>
    <n v="0"/>
    <n v="12609.800000000001"/>
    <x v="0"/>
    <x v="0"/>
    <x v="0"/>
    <n v="12609.8"/>
    <n v="0"/>
    <n v="12609.800000000001"/>
    <x v="0"/>
    <x v="0"/>
    <x v="0"/>
    <n v="12609.8"/>
    <n v="0"/>
    <n v="12609.800000000001"/>
    <x v="0"/>
    <x v="0"/>
    <x v="0"/>
    <x v="0"/>
    <x v="0"/>
  </r>
  <r>
    <x v="7"/>
    <x v="0"/>
    <x v="0"/>
    <x v="0"/>
    <x v="0"/>
    <x v="2"/>
    <x v="2"/>
    <n v="20002"/>
    <s v="890903938"/>
    <s v="BANCOLOMBIA S.A."/>
    <s v="201904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 BANCOLOMBIA"/>
    <n v="2408.8200000000002"/>
    <n v="0"/>
    <n v="2408.8200000000002"/>
    <x v="0"/>
    <x v="0"/>
    <x v="0"/>
    <n v="2408.8200000000002"/>
    <n v="0"/>
    <n v="2408.8200000000002"/>
    <x v="0"/>
    <x v="0"/>
    <x v="0"/>
    <n v="2408.8200000000002"/>
    <n v="0"/>
    <n v="2408.8200000000002"/>
    <x v="0"/>
    <x v="0"/>
    <x v="0"/>
    <x v="0"/>
    <x v="0"/>
  </r>
  <r>
    <x v="7"/>
    <x v="0"/>
    <x v="0"/>
    <x v="0"/>
    <x v="0"/>
    <x v="11"/>
    <x v="11"/>
    <n v="26071"/>
    <s v="1018441067"/>
    <s v="ALONSO GUTIERREZ YINNETH CATALIN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18441067"/>
    <s v="ALONSO GUTIERREZ YINNETH CATAL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- GASTOS BANCARIOS"/>
    <n v="11342"/>
    <n v="0"/>
    <n v="11342"/>
    <x v="0"/>
    <x v="0"/>
    <x v="0"/>
    <n v="11342"/>
    <n v="0"/>
    <n v="11342"/>
    <x v="0"/>
    <x v="0"/>
    <x v="0"/>
    <n v="11342"/>
    <n v="0"/>
    <n v="11342"/>
    <x v="0"/>
    <x v="0"/>
    <x v="0"/>
    <x v="0"/>
    <x v="0"/>
  </r>
  <r>
    <x v="7"/>
    <x v="0"/>
    <x v="0"/>
    <x v="0"/>
    <x v="0"/>
    <x v="11"/>
    <x v="11"/>
    <n v="26072"/>
    <s v="1045717933"/>
    <s v="PALMA GUTIERREZ KETTY JANETH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5 + GASTOS BANCARIOS"/>
    <n v="7540"/>
    <n v="0"/>
    <n v="7540"/>
    <x v="0"/>
    <x v="0"/>
    <x v="0"/>
    <n v="7540"/>
    <n v="0"/>
    <n v="7540"/>
    <x v="0"/>
    <x v="0"/>
    <x v="0"/>
    <n v="7540"/>
    <n v="0"/>
    <n v="7540"/>
    <x v="0"/>
    <x v="0"/>
    <x v="0"/>
    <x v="0"/>
    <x v="0"/>
  </r>
  <r>
    <x v="7"/>
    <x v="0"/>
    <x v="0"/>
    <x v="0"/>
    <x v="0"/>
    <x v="11"/>
    <x v="11"/>
    <n v="26073"/>
    <s v="4519543"/>
    <s v="GARCIA CASTAÑO FREDY JHOVANNY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519543"/>
    <s v="GARCIA CASTAÑO FREDY JHOVANN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3 + GASTOS BANCARIOS"/>
    <n v="3364"/>
    <n v="0"/>
    <n v="3364"/>
    <x v="0"/>
    <x v="0"/>
    <x v="0"/>
    <n v="3364"/>
    <n v="0"/>
    <n v="3364"/>
    <x v="0"/>
    <x v="0"/>
    <x v="0"/>
    <n v="3364"/>
    <n v="0"/>
    <n v="3364"/>
    <x v="0"/>
    <x v="0"/>
    <x v="0"/>
    <x v="0"/>
    <x v="0"/>
  </r>
  <r>
    <x v="7"/>
    <x v="0"/>
    <x v="0"/>
    <x v="0"/>
    <x v="0"/>
    <x v="11"/>
    <x v="11"/>
    <n v="26074"/>
    <s v="1036930909"/>
    <s v="ALZATE SANCHEZ NATACHA"/>
    <s v="201904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36930909"/>
    <s v="ALZATE SANCHEZ NATACH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7+ GASTOS BANCARIOS"/>
    <n v="11845"/>
    <n v="0"/>
    <n v="11845"/>
    <x v="0"/>
    <x v="0"/>
    <x v="0"/>
    <n v="11845"/>
    <n v="0"/>
    <n v="11845"/>
    <x v="0"/>
    <x v="0"/>
    <x v="0"/>
    <n v="11845"/>
    <n v="0"/>
    <n v="11845"/>
    <x v="0"/>
    <x v="0"/>
    <x v="0"/>
    <x v="0"/>
    <x v="0"/>
  </r>
  <r>
    <x v="7"/>
    <x v="0"/>
    <x v="0"/>
    <x v="0"/>
    <x v="0"/>
    <x v="11"/>
    <x v="11"/>
    <n v="26163"/>
    <s v="16285567"/>
    <s v="MONTOYA GOMEZ PABLO IGNACI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7-559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11"/>
    <x v="11"/>
    <n v="26164"/>
    <s v="94512729"/>
    <s v="GARCES GONZALEZ JACOB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58+ GASTOS BANCARI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7"/>
    <x v="0"/>
    <x v="0"/>
    <x v="0"/>
    <x v="0"/>
    <x v="11"/>
    <x v="11"/>
    <n v="26165"/>
    <s v="31908098"/>
    <s v="LOPEZ GARCIA MARIA DEL SOCORRO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1- GASTOS BANCARIOS"/>
    <n v="8263"/>
    <n v="0"/>
    <n v="8263"/>
    <x v="0"/>
    <x v="0"/>
    <x v="0"/>
    <n v="8263"/>
    <n v="0"/>
    <n v="8263"/>
    <x v="0"/>
    <x v="0"/>
    <x v="0"/>
    <n v="8263"/>
    <n v="0"/>
    <n v="8263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5"/>
    <x v="0"/>
    <x v="0"/>
    <x v="0"/>
    <x v="0"/>
    <x v="8"/>
    <x v="8"/>
    <n v="372"/>
    <s v="860007660"/>
    <s v="HELM BANK S.A."/>
    <s v="201903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11"/>
    <x v="11"/>
    <n v="26011"/>
    <s v="71631400"/>
    <s v="CARRASQUILLA PIZARRO MARCO ANTONIO"/>
    <s v="201904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29 - MAS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11"/>
    <x v="11"/>
    <n v="26162"/>
    <s v="31572163"/>
    <s v="VALLEJO AGUIRRE ANA MARIA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60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68408"/>
    <n v="0"/>
    <n v="68408"/>
    <x v="0"/>
    <x v="0"/>
    <x v="0"/>
    <n v="0"/>
    <n v="0"/>
    <n v="0"/>
    <x v="0"/>
    <x v="0"/>
    <x v="0"/>
    <n v="68408"/>
    <n v="0"/>
    <n v="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68408"/>
    <n v="-68408"/>
    <x v="0"/>
    <x v="0"/>
    <x v="0"/>
    <n v="0"/>
    <n v="0"/>
    <n v="0"/>
    <x v="0"/>
    <x v="0"/>
    <x v="0"/>
    <n v="0"/>
    <n v="68408"/>
    <n v="-6840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68408"/>
    <n v="0"/>
    <n v="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25282.18"/>
    <n v="0"/>
    <n v="25282.18"/>
    <x v="0"/>
    <x v="0"/>
    <x v="0"/>
    <n v="0"/>
    <n v="0"/>
    <n v="0"/>
    <x v="0"/>
    <x v="0"/>
    <x v="0"/>
    <n v="25282.18"/>
    <n v="0"/>
    <n v="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25282.18"/>
    <n v="-25282.18"/>
    <x v="0"/>
    <x v="0"/>
    <x v="0"/>
    <n v="0"/>
    <n v="0"/>
    <n v="0"/>
    <x v="0"/>
    <x v="0"/>
    <x v="0"/>
    <n v="0"/>
    <n v="25282.18"/>
    <n v="-25282.18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"/>
    <n v="0"/>
    <n v="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"/>
    <n v="-1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68408"/>
    <n v="-68408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78098.69"/>
    <n v="0"/>
    <n v="78098.69"/>
    <x v="0"/>
    <x v="0"/>
    <x v="0"/>
    <n v="0"/>
    <n v="0"/>
    <n v="0"/>
    <x v="0"/>
    <x v="0"/>
    <x v="0"/>
    <n v="78098.69"/>
    <n v="0"/>
    <n v="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78098.69"/>
    <n v="-78098.69"/>
    <x v="0"/>
    <x v="0"/>
    <x v="0"/>
    <n v="0"/>
    <n v="0"/>
    <n v="0"/>
    <x v="0"/>
    <x v="0"/>
    <x v="0"/>
    <n v="0"/>
    <n v="78098.69"/>
    <n v="-78098.69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78098.69"/>
    <n v="0"/>
    <n v="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78098.69"/>
    <n v="-78098.69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333.669999999998"/>
    <n v="0"/>
    <n v="18333.670000000002"/>
    <x v="0"/>
    <x v="0"/>
    <x v="0"/>
    <n v="0"/>
    <n v="0"/>
    <n v="0"/>
    <x v="0"/>
    <x v="0"/>
    <x v="0"/>
    <n v="18333.669999999998"/>
    <n v="0"/>
    <n v="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333.669999999998"/>
    <n v="-18333.670000000002"/>
    <x v="0"/>
    <x v="0"/>
    <x v="0"/>
    <n v="0"/>
    <n v="0"/>
    <n v="0"/>
    <x v="0"/>
    <x v="0"/>
    <x v="0"/>
    <n v="0"/>
    <n v="18333.669999999998"/>
    <n v="-18333.670000000002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334"/>
    <n v="0"/>
    <n v="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334"/>
    <n v="-18334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18042.03"/>
    <n v="-18042.03"/>
    <x v="0"/>
    <x v="0"/>
    <x v="0"/>
    <n v="0"/>
    <n v="0"/>
    <n v="0"/>
    <x v="0"/>
    <x v="0"/>
    <x v="0"/>
    <n v="0"/>
    <n v="18042.03"/>
    <n v="-18042.03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18042"/>
    <n v="0"/>
    <n v="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0"/>
    <n v="0"/>
    <n v="0"/>
    <x v="0"/>
    <x v="0"/>
    <x v="0"/>
    <n v="0"/>
    <n v="18042"/>
    <n v="-18042"/>
    <x v="0"/>
    <x v="0"/>
    <x v="0"/>
    <n v="0"/>
    <n v="0"/>
    <n v="0"/>
    <x v="0"/>
    <x v="0"/>
    <x v="0"/>
    <x v="0"/>
    <x v="0"/>
  </r>
  <r>
    <x v="5"/>
    <x v="0"/>
    <x v="0"/>
    <x v="0"/>
    <x v="0"/>
    <x v="10"/>
    <x v="10"/>
    <n v="230"/>
    <s v="860047239"/>
    <s v="MUSICAR S.A.S"/>
    <s v="20190331"/>
    <x v="14"/>
    <x v="0"/>
    <x v="14"/>
    <x v="0"/>
    <x v="0"/>
    <x v="0"/>
    <x v="0"/>
    <x v="0"/>
    <x v="3"/>
    <x v="3"/>
    <x v="11"/>
    <x v="10"/>
    <x v="14"/>
    <x v="14"/>
    <x v="14"/>
    <x v="14"/>
    <x v="14"/>
    <x v="14"/>
    <x v="14"/>
    <x v="14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GISTRAMOS DADOS DE BAJA POR OBSOLESCENCIA, DETERIORO MES DE MARZO-2019."/>
    <n v="18042.03"/>
    <n v="0"/>
    <n v="18042.03"/>
    <x v="0"/>
    <x v="0"/>
    <x v="0"/>
    <n v="0"/>
    <n v="0"/>
    <n v="0"/>
    <x v="0"/>
    <x v="0"/>
    <x v="0"/>
    <n v="18042.03"/>
    <n v="0"/>
    <n v="18042.0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5130"/>
    <n v="0"/>
    <n v="5130"/>
    <x v="0"/>
    <x v="0"/>
    <x v="0"/>
    <n v="5130"/>
    <n v="0"/>
    <n v="5130"/>
    <x v="0"/>
    <x v="0"/>
    <x v="0"/>
    <n v="5130"/>
    <n v="0"/>
    <n v="513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974.7"/>
    <n v="0"/>
    <n v="974.7"/>
    <x v="0"/>
    <x v="0"/>
    <x v="0"/>
    <n v="974.7"/>
    <n v="0"/>
    <n v="974.7"/>
    <x v="0"/>
    <x v="0"/>
    <x v="0"/>
    <n v="974.7"/>
    <n v="0"/>
    <n v="974.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1"/>
    <x v="1"/>
    <x v="1"/>
    <x v="1"/>
    <n v="24619"/>
    <s v="802016306"/>
    <s v="EXPOCONSTRUCCION 43 Y CIA LTD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93 - FVA-364998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2"/>
    <x v="0"/>
    <x v="0"/>
    <x v="1"/>
    <x v="1"/>
    <x v="1"/>
    <x v="1"/>
    <n v="24622"/>
    <s v="1140900157"/>
    <s v="BOZON ALBA VALENTINA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1140900157"/>
    <s v="BOZON ALBA VALENTI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1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1"/>
    <x v="1"/>
    <x v="1"/>
    <x v="1"/>
    <n v="24627"/>
    <s v="890301054"/>
    <s v="TORRECAFE AGUILA ROJA CIA.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301054"/>
    <s v="TORRECAFE AGUILA ROJA CIA.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4"/>
    <n v="92"/>
    <n v="0"/>
    <n v="92"/>
    <x v="0"/>
    <x v="0"/>
    <x v="0"/>
    <n v="92"/>
    <n v="0"/>
    <n v="92"/>
    <x v="0"/>
    <x v="0"/>
    <x v="0"/>
    <n v="92"/>
    <n v="0"/>
    <n v="92"/>
    <x v="0"/>
    <x v="0"/>
    <x v="0"/>
    <x v="0"/>
    <x v="0"/>
  </r>
  <r>
    <x v="2"/>
    <x v="0"/>
    <x v="0"/>
    <x v="1"/>
    <x v="1"/>
    <x v="1"/>
    <x v="1"/>
    <n v="24628"/>
    <s v="802010909"/>
    <s v="INVERSIONES WONGFOEN S.A.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14_x000d__x000a_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2"/>
    <x v="0"/>
    <x v="0"/>
    <x v="0"/>
    <x v="0"/>
    <x v="0"/>
    <x v="0"/>
    <n v="4315"/>
    <s v="1020757156"/>
    <s v="ROA GUTIERREZ LUIS EDUARDO"/>
    <s v="201906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1020757156"/>
    <s v="ROA GUTIERREZ LUIS EDUARD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JADO DE APLICAR DESCUENTO COMERCIAL"/>
    <n v="138000"/>
    <n v="0"/>
    <n v="138000"/>
    <x v="0"/>
    <x v="0"/>
    <x v="0"/>
    <n v="138000"/>
    <n v="0"/>
    <n v="138000"/>
    <x v="0"/>
    <x v="0"/>
    <x v="0"/>
    <n v="138000"/>
    <n v="0"/>
    <n v="138000"/>
    <x v="0"/>
    <x v="0"/>
    <x v="0"/>
    <x v="0"/>
    <x v="0"/>
  </r>
  <r>
    <x v="2"/>
    <x v="0"/>
    <x v="0"/>
    <x v="1"/>
    <x v="1"/>
    <x v="1"/>
    <x v="1"/>
    <n v="24633"/>
    <s v="806012958"/>
    <s v="IPS SALUD DEL CARIBE S.A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301 - FVA-362314 - FVA-362319 - FVA-36232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2"/>
    <x v="0"/>
    <x v="0"/>
    <x v="2"/>
    <x v="2"/>
    <x v="9"/>
    <x v="9"/>
    <n v="1583"/>
    <s v="800085013"/>
    <s v="COMPLEJO COMERCIAL CENTRO CHIA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085013"/>
    <s v="COMPLEJO COMERCIAL CENTRO CH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824.615"/>
    <n v="824615"/>
    <n v="0"/>
    <n v="824615"/>
    <x v="0"/>
    <x v="0"/>
    <x v="0"/>
    <n v="824615"/>
    <n v="0"/>
    <n v="824615"/>
    <x v="0"/>
    <x v="0"/>
    <x v="0"/>
    <n v="824615"/>
    <n v="0"/>
    <n v="824615"/>
    <x v="0"/>
    <x v="0"/>
    <x v="0"/>
    <x v="0"/>
    <x v="0"/>
  </r>
  <r>
    <x v="2"/>
    <x v="0"/>
    <x v="0"/>
    <x v="5"/>
    <x v="5"/>
    <x v="9"/>
    <x v="9"/>
    <n v="1319"/>
    <s v="890304049"/>
    <s v="ARQUIDIOCESIS DE CALI"/>
    <s v="2019062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4049"/>
    <s v="ARQUIDIOCESI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9%OK,  $277.222"/>
    <n v="277222"/>
    <n v="0"/>
    <n v="277222"/>
    <x v="0"/>
    <x v="0"/>
    <x v="0"/>
    <n v="277222"/>
    <n v="0"/>
    <n v="277222"/>
    <x v="0"/>
    <x v="0"/>
    <x v="0"/>
    <n v="277222"/>
    <n v="0"/>
    <n v="277222"/>
    <x v="0"/>
    <x v="0"/>
    <x v="0"/>
    <x v="0"/>
    <x v="0"/>
  </r>
  <r>
    <x v="2"/>
    <x v="0"/>
    <x v="0"/>
    <x v="5"/>
    <x v="5"/>
    <x v="1"/>
    <x v="1"/>
    <n v="47032"/>
    <s v="890311006"/>
    <s v="FONDO DE EMPLEADOS DE LAS EMP.MPALES DE CALI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3"/>
    <n v="0"/>
    <n v="453"/>
    <x v="0"/>
    <x v="0"/>
    <x v="0"/>
    <n v="453"/>
    <n v="0"/>
    <n v="453"/>
    <x v="0"/>
    <x v="0"/>
    <x v="0"/>
    <n v="453"/>
    <n v="0"/>
    <n v="453"/>
    <x v="0"/>
    <x v="0"/>
    <x v="0"/>
    <x v="0"/>
    <x v="0"/>
  </r>
  <r>
    <x v="2"/>
    <x v="0"/>
    <x v="0"/>
    <x v="5"/>
    <x v="5"/>
    <x v="1"/>
    <x v="1"/>
    <n v="47033"/>
    <s v="900825179"/>
    <s v="ELIZABETH TRULLAS  CIA S.A.S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2"/>
    <x v="0"/>
    <x v="0"/>
    <x v="5"/>
    <x v="5"/>
    <x v="1"/>
    <x v="1"/>
    <n v="47045"/>
    <s v="860046201"/>
    <s v="FORTOX S.A"/>
    <s v="201906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2"/>
    <x v="0"/>
    <x v="0"/>
    <x v="2"/>
    <x v="2"/>
    <x v="9"/>
    <x v="9"/>
    <n v="1589"/>
    <s v="51721371"/>
    <s v="CASTIBLANCO BARRERO MARIA CONSUELO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51721371"/>
    <s v="CASTIBLANCO BARRERO MARIA CONSUEL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SEMESTRAL 4.5% $20.180"/>
    <n v="20179"/>
    <n v="0"/>
    <n v="20179"/>
    <x v="0"/>
    <x v="0"/>
    <x v="0"/>
    <n v="20179"/>
    <n v="0"/>
    <n v="20179"/>
    <x v="0"/>
    <x v="0"/>
    <x v="0"/>
    <n v="20179"/>
    <n v="0"/>
    <n v="20179"/>
    <x v="0"/>
    <x v="0"/>
    <x v="0"/>
    <x v="0"/>
    <x v="0"/>
  </r>
  <r>
    <x v="2"/>
    <x v="0"/>
    <x v="0"/>
    <x v="2"/>
    <x v="2"/>
    <x v="9"/>
    <x v="9"/>
    <n v="1590"/>
    <s v="860049609"/>
    <s v="MILSEN S.A.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49609"/>
    <s v="MILS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ANUAL 9% $210.245"/>
    <n v="210245"/>
    <n v="0"/>
    <n v="210245"/>
    <x v="0"/>
    <x v="0"/>
    <x v="0"/>
    <n v="210245"/>
    <n v="0"/>
    <n v="210245"/>
    <x v="0"/>
    <x v="0"/>
    <x v="0"/>
    <n v="210245"/>
    <n v="0"/>
    <n v="210245"/>
    <x v="0"/>
    <x v="0"/>
    <x v="0"/>
    <x v="0"/>
    <x v="0"/>
  </r>
  <r>
    <x v="2"/>
    <x v="0"/>
    <x v="0"/>
    <x v="3"/>
    <x v="3"/>
    <x v="1"/>
    <x v="1"/>
    <n v="37969"/>
    <s v="800017259"/>
    <s v="PASAJE COMERCIAL EL BOULEVARD DE JUNIN P-H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17259"/>
    <s v="PASAJE COMERCIAL EL BOULEVARD DE JUNIN P-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730 DCTO PRONTO PAGO 2.25%"/>
    <n v="14388"/>
    <n v="0"/>
    <n v="14388"/>
    <x v="0"/>
    <x v="0"/>
    <x v="0"/>
    <n v="14388"/>
    <n v="0"/>
    <n v="14388"/>
    <x v="0"/>
    <x v="0"/>
    <x v="0"/>
    <n v="14388"/>
    <n v="0"/>
    <n v="14388"/>
    <x v="0"/>
    <x v="0"/>
    <x v="0"/>
    <x v="0"/>
    <x v="0"/>
  </r>
  <r>
    <x v="2"/>
    <x v="0"/>
    <x v="0"/>
    <x v="1"/>
    <x v="1"/>
    <x v="1"/>
    <x v="1"/>
    <n v="24669"/>
    <s v="7883830"/>
    <s v="MARRUGO GUARDO GONZALO RAFAEL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7883830"/>
    <s v="MARRUGO GUARDO GONZALO RAFA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0959 - FVA-362296"/>
    <n v="400"/>
    <n v="0"/>
    <n v="400"/>
    <x v="0"/>
    <x v="0"/>
    <x v="0"/>
    <n v="400"/>
    <n v="0"/>
    <n v="400"/>
    <x v="0"/>
    <x v="0"/>
    <x v="0"/>
    <n v="400"/>
    <n v="0"/>
    <n v="400"/>
    <x v="0"/>
    <x v="0"/>
    <x v="0"/>
    <x v="0"/>
    <x v="0"/>
  </r>
  <r>
    <x v="2"/>
    <x v="0"/>
    <x v="0"/>
    <x v="1"/>
    <x v="1"/>
    <x v="1"/>
    <x v="1"/>
    <n v="24673"/>
    <s v="32757237"/>
    <s v="MEDINA OLIVEROS FARATH DIVA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2150"/>
    <n v="302"/>
    <n v="0"/>
    <n v="302"/>
    <x v="0"/>
    <x v="0"/>
    <x v="0"/>
    <n v="302"/>
    <n v="0"/>
    <n v="302"/>
    <x v="0"/>
    <x v="0"/>
    <x v="0"/>
    <n v="302"/>
    <n v="0"/>
    <n v="302"/>
    <x v="0"/>
    <x v="0"/>
    <x v="0"/>
    <x v="0"/>
    <x v="0"/>
  </r>
  <r>
    <x v="2"/>
    <x v="0"/>
    <x v="0"/>
    <x v="0"/>
    <x v="0"/>
    <x v="1"/>
    <x v="1"/>
    <n v="2409"/>
    <s v="800149169"/>
    <s v="CLINICA JOSE A. RIVAS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00149169"/>
    <s v="CLINICA JOSE A. RIVA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EN ABOGADO"/>
    <n v="5519"/>
    <n v="0"/>
    <n v="5519"/>
    <x v="0"/>
    <x v="0"/>
    <x v="0"/>
    <n v="5519"/>
    <n v="0"/>
    <n v="5519"/>
    <x v="0"/>
    <x v="0"/>
    <x v="0"/>
    <n v="5519"/>
    <n v="0"/>
    <n v="5519"/>
    <x v="0"/>
    <x v="0"/>
    <x v="0"/>
    <x v="0"/>
    <x v="0"/>
  </r>
  <r>
    <x v="2"/>
    <x v="0"/>
    <x v="0"/>
    <x v="0"/>
    <x v="0"/>
    <x v="1"/>
    <x v="1"/>
    <n v="2401"/>
    <s v="900338133"/>
    <s v="INST. BELLEZA STELLA DURAN GALERIA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33"/>
    <s v="INST. BELLEZA STELLA DURAN GALERI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CARTERA EN ABOGADO"/>
    <n v="120664"/>
    <n v="0"/>
    <n v="120664"/>
    <x v="0"/>
    <x v="0"/>
    <x v="0"/>
    <n v="120664"/>
    <n v="0"/>
    <n v="120664"/>
    <x v="0"/>
    <x v="0"/>
    <x v="0"/>
    <n v="120664"/>
    <n v="0"/>
    <n v="120664"/>
    <x v="0"/>
    <x v="0"/>
    <x v="0"/>
    <x v="0"/>
    <x v="0"/>
  </r>
  <r>
    <x v="2"/>
    <x v="0"/>
    <x v="0"/>
    <x v="5"/>
    <x v="5"/>
    <x v="1"/>
    <x v="1"/>
    <n v="46983"/>
    <s v="900361467"/>
    <s v="BLUE ELEMENTS S.A.S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61467"/>
    <s v="BLUE ELEMENT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82"/>
    <n v="0"/>
    <n v="382"/>
    <x v="0"/>
    <x v="0"/>
    <x v="0"/>
    <n v="382"/>
    <n v="0"/>
    <n v="382"/>
    <x v="0"/>
    <x v="0"/>
    <x v="0"/>
    <n v="382"/>
    <n v="0"/>
    <n v="382"/>
    <x v="0"/>
    <x v="0"/>
    <x v="0"/>
    <x v="0"/>
    <x v="0"/>
  </r>
  <r>
    <x v="2"/>
    <x v="0"/>
    <x v="0"/>
    <x v="5"/>
    <x v="5"/>
    <x v="1"/>
    <x v="1"/>
    <n v="46986"/>
    <s v="1509246"/>
    <s v="MORALES SANTACRUZ JESUS ANTONIO"/>
    <s v="201906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2"/>
    <x v="0"/>
    <x v="0"/>
    <x v="5"/>
    <x v="5"/>
    <x v="9"/>
    <x v="9"/>
    <n v="1318"/>
    <s v="860019021"/>
    <s v="ASOCIACION PARA LA ENSENANZA ASPAEN"/>
    <s v="2019062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19021"/>
    <s v="ASOCIACION PARA LA ENSENANZA ASPA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AÑO ANTICIPADO 9% EN FACTURA ,OK.$79.906"/>
    <n v="79906"/>
    <n v="0"/>
    <n v="79906"/>
    <x v="0"/>
    <x v="0"/>
    <x v="0"/>
    <n v="79906"/>
    <n v="0"/>
    <n v="79906"/>
    <x v="0"/>
    <x v="0"/>
    <x v="0"/>
    <n v="79906"/>
    <n v="0"/>
    <n v="79906"/>
    <x v="0"/>
    <x v="0"/>
    <x v="0"/>
    <x v="0"/>
    <x v="0"/>
  </r>
  <r>
    <x v="2"/>
    <x v="0"/>
    <x v="0"/>
    <x v="0"/>
    <x v="0"/>
    <x v="11"/>
    <x v="11"/>
    <n v="26606"/>
    <s v="890805503"/>
    <s v="PASTELERIA LA SUIZA LTDA"/>
    <s v="201906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890805503"/>
    <s v="PASTELERIA LA SUIZ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DESCUENTO NO APLICADO POR CLIENTE ( RC 461-18373)"/>
    <n v="57817"/>
    <n v="0"/>
    <n v="57817"/>
    <x v="0"/>
    <x v="0"/>
    <x v="0"/>
    <n v="57817"/>
    <n v="0"/>
    <n v="57817"/>
    <x v="0"/>
    <x v="0"/>
    <x v="0"/>
    <n v="57817"/>
    <n v="0"/>
    <n v="57817"/>
    <x v="0"/>
    <x v="0"/>
    <x v="0"/>
    <x v="0"/>
    <x v="0"/>
  </r>
  <r>
    <x v="2"/>
    <x v="0"/>
    <x v="0"/>
    <x v="5"/>
    <x v="5"/>
    <x v="1"/>
    <x v="1"/>
    <n v="47067"/>
    <s v="900569801"/>
    <s v="MARGARITA PEÑA S.A.S.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2"/>
    <x v="0"/>
    <x v="0"/>
    <x v="5"/>
    <x v="5"/>
    <x v="1"/>
    <x v="1"/>
    <n v="47082"/>
    <s v="900612118"/>
    <s v="SERVICIOS ESTRATEGICOS COMPARTIDOS SAS"/>
    <s v="201906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612118"/>
    <s v="SERVICIOS ESTRATEGICOS COMPARTIDOS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0158,FONDO DE INVERSIONES,8001622716"/>
    <n v="9625"/>
    <n v="0"/>
    <n v="9625"/>
    <x v="0"/>
    <x v="0"/>
    <x v="0"/>
    <n v="9625"/>
    <n v="0"/>
    <n v="9625"/>
    <x v="0"/>
    <x v="0"/>
    <x v="0"/>
    <n v="9625"/>
    <n v="0"/>
    <n v="9625"/>
    <x v="0"/>
    <x v="0"/>
    <x v="0"/>
    <x v="0"/>
    <x v="0"/>
  </r>
  <r>
    <x v="3"/>
    <x v="0"/>
    <x v="0"/>
    <x v="5"/>
    <x v="5"/>
    <x v="1"/>
    <x v="1"/>
    <n v="47137"/>
    <s v="805019647"/>
    <s v="TECNELEC COMUNICACIONES S.A"/>
    <s v="2019070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"/>
    <n v="0"/>
    <n v="99"/>
    <x v="0"/>
    <x v="0"/>
    <x v="0"/>
    <n v="99"/>
    <n v="0"/>
    <n v="99"/>
    <x v="0"/>
    <x v="0"/>
    <x v="0"/>
    <n v="99"/>
    <n v="0"/>
    <n v="99"/>
    <x v="0"/>
    <x v="0"/>
    <x v="0"/>
    <x v="0"/>
    <x v="0"/>
  </r>
  <r>
    <x v="3"/>
    <x v="0"/>
    <x v="0"/>
    <x v="3"/>
    <x v="3"/>
    <x v="1"/>
    <x v="1"/>
    <n v="38010"/>
    <s v="890911816"/>
    <s v="CLINICA MEDELLIN S.A.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11816"/>
    <s v="CLINICA MEDELL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1075 SE GENERA DCTO POR PRONTO PAGO DEL 9% AUTORIZADO POR GERENCIA DE LA REGIONAL"/>
    <n v="374667"/>
    <n v="0"/>
    <n v="374667"/>
    <x v="0"/>
    <x v="0"/>
    <x v="0"/>
    <n v="374667"/>
    <n v="0"/>
    <n v="374667"/>
    <x v="0"/>
    <x v="0"/>
    <x v="0"/>
    <n v="374667"/>
    <n v="0"/>
    <n v="374667"/>
    <x v="0"/>
    <x v="0"/>
    <x v="0"/>
    <x v="0"/>
    <x v="0"/>
  </r>
  <r>
    <x v="3"/>
    <x v="0"/>
    <x v="0"/>
    <x v="5"/>
    <x v="5"/>
    <x v="1"/>
    <x v="1"/>
    <n v="47159"/>
    <s v="800254270"/>
    <s v="SOLVAY PEROXIDOS DE COLOMBIA SASA"/>
    <s v="2019070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"/>
    <n v="1441"/>
    <n v="0"/>
    <n v="1441"/>
    <x v="0"/>
    <x v="0"/>
    <x v="0"/>
    <n v="1441"/>
    <n v="0"/>
    <n v="1441"/>
    <x v="0"/>
    <x v="0"/>
    <x v="0"/>
    <n v="1441"/>
    <n v="0"/>
    <n v="1441"/>
    <x v="0"/>
    <x v="0"/>
    <x v="0"/>
    <x v="0"/>
    <x v="0"/>
  </r>
  <r>
    <x v="3"/>
    <x v="0"/>
    <x v="0"/>
    <x v="1"/>
    <x v="1"/>
    <x v="1"/>
    <x v="1"/>
    <n v="24705"/>
    <s v="806012958"/>
    <s v="IPS SALUD DEL CARIBE S.A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91 - FVA-365104 - FVA-365109 - FVA-365112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3"/>
    <x v="0"/>
    <x v="0"/>
    <x v="1"/>
    <x v="1"/>
    <x v="1"/>
    <x v="1"/>
    <n v="24706"/>
    <s v="901062361"/>
    <s v="INVERSIONES MARCRI S.A.S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062361"/>
    <s v="INVERSIONES MARCRI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5033"/>
    <n v="79"/>
    <n v="0"/>
    <n v="79"/>
    <x v="0"/>
    <x v="0"/>
    <x v="0"/>
    <n v="79"/>
    <n v="0"/>
    <n v="79"/>
    <x v="0"/>
    <x v="0"/>
    <x v="0"/>
    <n v="79"/>
    <n v="0"/>
    <n v="79"/>
    <x v="0"/>
    <x v="0"/>
    <x v="0"/>
    <x v="0"/>
    <x v="0"/>
  </r>
  <r>
    <x v="3"/>
    <x v="0"/>
    <x v="0"/>
    <x v="1"/>
    <x v="1"/>
    <x v="1"/>
    <x v="1"/>
    <n v="24707"/>
    <s v="890102508"/>
    <s v="SALES INMOBILIARIA S.A."/>
    <s v="2019071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46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5"/>
    <x v="5"/>
    <x v="1"/>
    <x v="1"/>
    <n v="47188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8"/>
    <n v="0"/>
    <n v="248"/>
    <x v="0"/>
    <x v="0"/>
    <x v="0"/>
    <n v="248"/>
    <n v="0"/>
    <n v="248"/>
    <x v="0"/>
    <x v="0"/>
    <x v="0"/>
    <n v="248"/>
    <n v="0"/>
    <n v="248"/>
    <x v="0"/>
    <x v="0"/>
    <x v="0"/>
    <x v="0"/>
    <x v="0"/>
  </r>
  <r>
    <x v="3"/>
    <x v="0"/>
    <x v="0"/>
    <x v="5"/>
    <x v="5"/>
    <x v="1"/>
    <x v="1"/>
    <n v="47189"/>
    <s v="805019647"/>
    <s v="TECNELEC COMUNICACIONES S.A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50"/>
    <n v="0"/>
    <n v="450"/>
    <x v="0"/>
    <x v="0"/>
    <x v="0"/>
    <n v="450"/>
    <n v="0"/>
    <n v="450"/>
    <x v="0"/>
    <x v="0"/>
    <x v="0"/>
    <n v="450"/>
    <n v="0"/>
    <n v="450"/>
    <x v="0"/>
    <x v="0"/>
    <x v="0"/>
    <x v="0"/>
    <x v="0"/>
  </r>
  <r>
    <x v="3"/>
    <x v="0"/>
    <x v="0"/>
    <x v="5"/>
    <x v="5"/>
    <x v="1"/>
    <x v="1"/>
    <n v="47195"/>
    <s v="900386417"/>
    <s v="IDEMIA  COLOMBIA S.A.S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386417"/>
    <s v="IDEMIA  COLOMB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982"/>
    <n v="0"/>
    <n v="5982"/>
    <x v="0"/>
    <x v="0"/>
    <x v="0"/>
    <n v="5982"/>
    <n v="0"/>
    <n v="5982"/>
    <x v="0"/>
    <x v="0"/>
    <x v="0"/>
    <n v="5982"/>
    <n v="0"/>
    <n v="5982"/>
    <x v="0"/>
    <x v="0"/>
    <x v="0"/>
    <x v="0"/>
    <x v="0"/>
  </r>
  <r>
    <x v="3"/>
    <x v="0"/>
    <x v="0"/>
    <x v="5"/>
    <x v="5"/>
    <x v="1"/>
    <x v="1"/>
    <n v="47212"/>
    <s v="900203566"/>
    <s v="ABASTECEMOS  DE OCCIDENTE S.A.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3"/>
    <x v="0"/>
    <x v="0"/>
    <x v="1"/>
    <x v="1"/>
    <x v="1"/>
    <x v="1"/>
    <n v="24718"/>
    <s v="900061516"/>
    <s v="MUEBLES JAMAR S.A"/>
    <s v="201907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89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5"/>
    <x v="5"/>
    <x v="1"/>
    <x v="1"/>
    <n v="47234"/>
    <s v="890300012"/>
    <s v="COLPOZOS 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80"/>
    <n v="0"/>
    <n v="2880"/>
    <x v="0"/>
    <x v="0"/>
    <x v="0"/>
    <n v="2880"/>
    <n v="0"/>
    <n v="2880"/>
    <x v="0"/>
    <x v="0"/>
    <x v="0"/>
    <n v="2880"/>
    <n v="0"/>
    <n v="2880"/>
    <x v="0"/>
    <x v="0"/>
    <x v="0"/>
    <x v="0"/>
    <x v="0"/>
  </r>
  <r>
    <x v="3"/>
    <x v="0"/>
    <x v="0"/>
    <x v="5"/>
    <x v="5"/>
    <x v="1"/>
    <x v="1"/>
    <n v="47237"/>
    <s v="817001528"/>
    <s v="PAVCO DE OCCIDENTE SAS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3"/>
    <x v="0"/>
    <x v="0"/>
    <x v="0"/>
    <x v="0"/>
    <x v="0"/>
    <x v="0"/>
    <n v="4325"/>
    <s v="900338193"/>
    <s v="INSTITUTO DE BELLEZA STELLA DURAN KENNEDY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338193"/>
    <s v="INSTITUTO DE BELLEZA STELLA DURAN KENNED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JUSTE SALDO DESCUENTO COMERCIAL PAGO CARTERA EN ABOGADO"/>
    <n v="302026"/>
    <n v="0"/>
    <n v="302026"/>
    <x v="0"/>
    <x v="0"/>
    <x v="0"/>
    <n v="302026"/>
    <n v="0"/>
    <n v="302026"/>
    <x v="0"/>
    <x v="0"/>
    <x v="0"/>
    <n v="302026"/>
    <n v="0"/>
    <n v="302026"/>
    <x v="0"/>
    <x v="0"/>
    <x v="0"/>
    <x v="0"/>
    <x v="0"/>
  </r>
  <r>
    <x v="3"/>
    <x v="0"/>
    <x v="0"/>
    <x v="5"/>
    <x v="5"/>
    <x v="1"/>
    <x v="1"/>
    <n v="47265"/>
    <s v="66766910"/>
    <s v="BOTERO TROCHEZ CELI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6766910"/>
    <s v="BOTERO TROCHEZ CEL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89"/>
    <n v="0"/>
    <n v="989"/>
    <x v="0"/>
    <x v="0"/>
    <x v="0"/>
    <n v="989"/>
    <n v="0"/>
    <n v="989"/>
    <x v="0"/>
    <x v="0"/>
    <x v="0"/>
    <n v="989"/>
    <n v="0"/>
    <n v="989"/>
    <x v="0"/>
    <x v="0"/>
    <x v="0"/>
    <x v="0"/>
    <x v="0"/>
  </r>
  <r>
    <x v="3"/>
    <x v="0"/>
    <x v="0"/>
    <x v="5"/>
    <x v="5"/>
    <x v="1"/>
    <x v="1"/>
    <n v="47303"/>
    <s v="900825179"/>
    <s v="ELIZABETH TRULLAS  CIA S.A.S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88"/>
    <n v="0"/>
    <n v="488"/>
    <x v="0"/>
    <x v="0"/>
    <x v="0"/>
    <n v="488"/>
    <n v="0"/>
    <n v="488"/>
    <x v="0"/>
    <x v="0"/>
    <x v="0"/>
    <n v="488"/>
    <n v="0"/>
    <n v="488"/>
    <x v="0"/>
    <x v="0"/>
    <x v="0"/>
    <x v="0"/>
    <x v="0"/>
  </r>
  <r>
    <x v="3"/>
    <x v="0"/>
    <x v="0"/>
    <x v="5"/>
    <x v="5"/>
    <x v="1"/>
    <x v="1"/>
    <n v="47304"/>
    <s v="890311006"/>
    <s v="FONDO DE EMPLEADOS DE LAS EMP.MPALES DE CALI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70"/>
    <n v="0"/>
    <n v="470"/>
    <x v="0"/>
    <x v="0"/>
    <x v="0"/>
    <n v="470"/>
    <n v="0"/>
    <n v="470"/>
    <x v="0"/>
    <x v="0"/>
    <x v="0"/>
    <n v="470"/>
    <n v="0"/>
    <n v="470"/>
    <x v="0"/>
    <x v="0"/>
    <x v="0"/>
    <x v="0"/>
    <x v="0"/>
  </r>
  <r>
    <x v="3"/>
    <x v="0"/>
    <x v="0"/>
    <x v="5"/>
    <x v="5"/>
    <x v="1"/>
    <x v="1"/>
    <n v="47309"/>
    <s v="900569801"/>
    <s v="MARGARITA PEÑA S.A.S."/>
    <s v="2019071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569801"/>
    <s v="MARGARITA PEÑA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341"/>
    <n v="0"/>
    <n v="341"/>
    <x v="0"/>
    <x v="0"/>
    <x v="0"/>
    <n v="341"/>
    <n v="0"/>
    <n v="341"/>
    <x v="0"/>
    <x v="0"/>
    <x v="0"/>
    <n v="341"/>
    <n v="0"/>
    <n v="341"/>
    <x v="0"/>
    <x v="0"/>
    <x v="0"/>
    <x v="0"/>
    <x v="0"/>
  </r>
  <r>
    <x v="3"/>
    <x v="0"/>
    <x v="0"/>
    <x v="5"/>
    <x v="5"/>
    <x v="1"/>
    <x v="1"/>
    <n v="47332"/>
    <s v="25453752"/>
    <s v="GUEVARA PILLIMUE NANCY LOREN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25453752"/>
    <s v="GUEVARA PILLIMUE NANCY LOREN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517"/>
    <n v="0"/>
    <n v="517"/>
    <x v="0"/>
    <x v="0"/>
    <x v="0"/>
    <n v="517"/>
    <n v="0"/>
    <n v="517"/>
    <x v="0"/>
    <x v="0"/>
    <x v="0"/>
    <n v="517"/>
    <n v="0"/>
    <n v="517"/>
    <x v="0"/>
    <x v="0"/>
    <x v="0"/>
    <x v="0"/>
    <x v="0"/>
  </r>
  <r>
    <x v="3"/>
    <x v="0"/>
    <x v="0"/>
    <x v="5"/>
    <x v="5"/>
    <x v="1"/>
    <x v="1"/>
    <n v="47410"/>
    <s v="805019647"/>
    <s v="TECNELEC COMUNICACIONES S.A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0"/>
    <n v="0"/>
    <n v="490"/>
    <x v="0"/>
    <x v="0"/>
    <x v="0"/>
    <n v="490"/>
    <n v="0"/>
    <n v="490"/>
    <x v="0"/>
    <x v="0"/>
    <x v="0"/>
    <n v="490"/>
    <n v="0"/>
    <n v="490"/>
    <x v="0"/>
    <x v="0"/>
    <x v="0"/>
    <x v="0"/>
    <x v="0"/>
  </r>
  <r>
    <x v="3"/>
    <x v="0"/>
    <x v="0"/>
    <x v="0"/>
    <x v="0"/>
    <x v="1"/>
    <x v="1"/>
    <n v="2430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2915"/>
    <n v="0"/>
    <n v="2915"/>
    <x v="0"/>
    <x v="0"/>
    <x v="0"/>
    <n v="2915"/>
    <n v="0"/>
    <n v="2915"/>
    <x v="0"/>
    <x v="0"/>
    <x v="0"/>
    <n v="2915"/>
    <n v="0"/>
    <n v="2915"/>
    <x v="0"/>
    <x v="0"/>
    <x v="0"/>
    <x v="0"/>
    <x v="0"/>
  </r>
  <r>
    <x v="3"/>
    <x v="0"/>
    <x v="0"/>
    <x v="0"/>
    <x v="0"/>
    <x v="1"/>
    <x v="1"/>
    <n v="2431"/>
    <s v="900343036"/>
    <s v="VARIX CENTER S.A.S."/>
    <s v="201907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900343036"/>
    <s v="VARIX CENTER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PARTIDA PENDIENTE"/>
    <n v="3503"/>
    <n v="0"/>
    <n v="3503"/>
    <x v="0"/>
    <x v="0"/>
    <x v="0"/>
    <n v="3503"/>
    <n v="0"/>
    <n v="3503"/>
    <x v="0"/>
    <x v="0"/>
    <x v="0"/>
    <n v="3503"/>
    <n v="0"/>
    <n v="3503"/>
    <x v="0"/>
    <x v="0"/>
    <x v="0"/>
    <x v="0"/>
    <x v="0"/>
  </r>
  <r>
    <x v="4"/>
    <x v="0"/>
    <x v="0"/>
    <x v="5"/>
    <x v="5"/>
    <x v="9"/>
    <x v="9"/>
    <n v="1365"/>
    <s v="805014618"/>
    <s v="MEDITRAUMA S.A.S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4618"/>
    <s v="MEDITRAUM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86.400"/>
    <n v="86400"/>
    <n v="0"/>
    <n v="86400"/>
    <x v="0"/>
    <x v="0"/>
    <x v="0"/>
    <n v="86400"/>
    <n v="0"/>
    <n v="86400"/>
    <x v="0"/>
    <x v="0"/>
    <x v="0"/>
    <n v="86400"/>
    <n v="0"/>
    <n v="86400"/>
    <x v="0"/>
    <x v="0"/>
    <x v="0"/>
    <x v="0"/>
    <x v="0"/>
  </r>
  <r>
    <x v="4"/>
    <x v="0"/>
    <x v="0"/>
    <x v="2"/>
    <x v="2"/>
    <x v="9"/>
    <x v="9"/>
    <n v="1628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44345"/>
    <n v="0"/>
    <n v="144345"/>
    <x v="0"/>
    <x v="0"/>
    <x v="0"/>
    <n v="144345"/>
    <n v="0"/>
    <n v="144345"/>
    <x v="0"/>
    <x v="0"/>
    <x v="0"/>
    <n v="144345"/>
    <n v="0"/>
    <n v="144345"/>
    <x v="0"/>
    <x v="0"/>
    <x v="0"/>
    <x v="0"/>
    <x v="0"/>
  </r>
  <r>
    <x v="4"/>
    <x v="0"/>
    <x v="0"/>
    <x v="2"/>
    <x v="2"/>
    <x v="9"/>
    <x v="9"/>
    <n v="1629"/>
    <s v="830016184"/>
    <s v="COOPDISALUD LTDA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30016184"/>
    <s v="COOPDISALUD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"/>
    <n v="178241"/>
    <n v="0"/>
    <n v="178241"/>
    <x v="0"/>
    <x v="0"/>
    <x v="0"/>
    <n v="178241"/>
    <n v="0"/>
    <n v="178241"/>
    <x v="0"/>
    <x v="0"/>
    <x v="0"/>
    <n v="178241"/>
    <n v="0"/>
    <n v="178241"/>
    <x v="0"/>
    <x v="0"/>
    <x v="0"/>
    <x v="0"/>
    <x v="0"/>
  </r>
  <r>
    <x v="4"/>
    <x v="0"/>
    <x v="0"/>
    <x v="5"/>
    <x v="5"/>
    <x v="1"/>
    <x v="1"/>
    <n v="47565"/>
    <s v="890300012"/>
    <s v="COLPOZOS 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0012"/>
    <s v="COLPOZOS 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72"/>
    <n v="0"/>
    <n v="2972"/>
    <x v="0"/>
    <x v="0"/>
    <x v="0"/>
    <n v="2972"/>
    <n v="0"/>
    <n v="2972"/>
    <x v="0"/>
    <x v="0"/>
    <x v="0"/>
    <n v="2972"/>
    <n v="0"/>
    <n v="2972"/>
    <x v="0"/>
    <x v="0"/>
    <x v="0"/>
    <x v="0"/>
    <x v="0"/>
  </r>
  <r>
    <x v="4"/>
    <x v="0"/>
    <x v="0"/>
    <x v="5"/>
    <x v="5"/>
    <x v="1"/>
    <x v="1"/>
    <n v="47568"/>
    <s v="817001528"/>
    <s v="PAVCO DE OCCIDENTE SAS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7001528"/>
    <s v="PAVCO DE OCCIDENTE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452"/>
    <n v="0"/>
    <n v="1452"/>
    <x v="0"/>
    <x v="0"/>
    <x v="0"/>
    <n v="1452"/>
    <n v="0"/>
    <n v="1452"/>
    <x v="0"/>
    <x v="0"/>
    <x v="0"/>
    <n v="1452"/>
    <n v="0"/>
    <n v="1452"/>
    <x v="0"/>
    <x v="0"/>
    <x v="0"/>
    <x v="0"/>
    <x v="0"/>
  </r>
  <r>
    <x v="4"/>
    <x v="0"/>
    <x v="0"/>
    <x v="5"/>
    <x v="5"/>
    <x v="1"/>
    <x v="1"/>
    <n v="47574"/>
    <s v="800254270"/>
    <s v="SOLVAY PEROXIDOS DE COLOMBIA SASA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68"/>
    <n v="0"/>
    <n v="7068"/>
    <x v="0"/>
    <x v="0"/>
    <x v="0"/>
    <n v="7068"/>
    <n v="0"/>
    <n v="7068"/>
    <x v="0"/>
    <x v="0"/>
    <x v="0"/>
    <n v="7068"/>
    <n v="0"/>
    <n v="7068"/>
    <x v="0"/>
    <x v="0"/>
    <x v="0"/>
    <x v="0"/>
    <x v="0"/>
  </r>
  <r>
    <x v="4"/>
    <x v="0"/>
    <x v="0"/>
    <x v="6"/>
    <x v="6"/>
    <x v="9"/>
    <x v="9"/>
    <n v="1164"/>
    <s v="10095715"/>
    <s v="RUIZ VALLEJO CARLOS ARTURO"/>
    <s v="2019082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6"/>
    <x v="6"/>
    <x v="0"/>
    <x v="0"/>
    <x v="0"/>
    <x v="0"/>
    <s v="10095715"/>
    <s v="RUIZ VALLEJO CARLOS ARTU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: 367694 DESCUENTO POR PAGO ANUAL ANTICIPADO $116.773"/>
    <n v="116773"/>
    <n v="0"/>
    <n v="116773"/>
    <x v="0"/>
    <x v="0"/>
    <x v="0"/>
    <n v="116773"/>
    <n v="0"/>
    <n v="116773"/>
    <x v="0"/>
    <x v="0"/>
    <x v="0"/>
    <n v="116773"/>
    <n v="0"/>
    <n v="116773"/>
    <x v="0"/>
    <x v="0"/>
    <x v="0"/>
    <x v="0"/>
    <x v="0"/>
  </r>
  <r>
    <x v="4"/>
    <x v="0"/>
    <x v="0"/>
    <x v="5"/>
    <x v="5"/>
    <x v="1"/>
    <x v="1"/>
    <n v="47596"/>
    <s v="900825179"/>
    <s v="ELIZABETH TRULLAS  CIA S.A.S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825179"/>
    <s v="ELIZABETH TRULLAS 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89"/>
    <n v="0"/>
    <n v="289"/>
    <x v="0"/>
    <x v="0"/>
    <x v="0"/>
    <n v="289"/>
    <n v="0"/>
    <n v="289"/>
    <x v="0"/>
    <x v="0"/>
    <x v="0"/>
    <n v="289"/>
    <n v="0"/>
    <n v="289"/>
    <x v="0"/>
    <x v="0"/>
    <x v="0"/>
    <x v="0"/>
    <x v="0"/>
  </r>
  <r>
    <x v="4"/>
    <x v="0"/>
    <x v="0"/>
    <x v="5"/>
    <x v="5"/>
    <x v="1"/>
    <x v="1"/>
    <n v="47597"/>
    <s v="890318490"/>
    <s v="FERRETERIA TUBERIAS S.A.S."/>
    <s v="201908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4"/>
    <x v="0"/>
    <x v="0"/>
    <x v="5"/>
    <x v="5"/>
    <x v="1"/>
    <x v="1"/>
    <n v="47610"/>
    <s v="800048954"/>
    <s v="CLINICA VERSALLES S.A."/>
    <s v="2019082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22"/>
    <n v="0"/>
    <n v="2422"/>
    <x v="0"/>
    <x v="0"/>
    <x v="0"/>
    <n v="2422"/>
    <n v="0"/>
    <n v="2422"/>
    <x v="0"/>
    <x v="0"/>
    <x v="0"/>
    <n v="2422"/>
    <n v="0"/>
    <n v="2422"/>
    <x v="0"/>
    <x v="0"/>
    <x v="0"/>
    <x v="0"/>
    <x v="0"/>
  </r>
  <r>
    <x v="4"/>
    <x v="0"/>
    <x v="0"/>
    <x v="2"/>
    <x v="2"/>
    <x v="9"/>
    <x v="9"/>
    <n v="1642"/>
    <s v="860510431"/>
    <s v="ALVARO VELEZ Y CIA S.A.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10431"/>
    <s v="ALVARO VELEZ Y CIA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NTO PAGO 2.25% $8.344  RTE ICA $5.118_x000d__x000a_"/>
    <n v="8344"/>
    <n v="0"/>
    <n v="8344"/>
    <x v="0"/>
    <x v="0"/>
    <x v="0"/>
    <n v="8344"/>
    <n v="0"/>
    <n v="8344"/>
    <x v="0"/>
    <x v="0"/>
    <x v="0"/>
    <n v="8344"/>
    <n v="0"/>
    <n v="8344"/>
    <x v="0"/>
    <x v="0"/>
    <x v="0"/>
    <x v="0"/>
    <x v="0"/>
  </r>
  <r>
    <x v="4"/>
    <x v="0"/>
    <x v="0"/>
    <x v="2"/>
    <x v="2"/>
    <x v="9"/>
    <x v="9"/>
    <n v="1643"/>
    <s v="901105607"/>
    <s v="COMPARTIMIENTO ALPES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1105607"/>
    <s v="COMPARTIMIENTO ALP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PRONTO PAGO 9% $405.621  -  CLIENTE CANCELA &gt;VALOR Y SOLICITA LA DEVOLUCION DE $405.621"/>
    <n v="405621"/>
    <n v="0"/>
    <n v="405621"/>
    <x v="0"/>
    <x v="0"/>
    <x v="0"/>
    <n v="405621"/>
    <n v="0"/>
    <n v="405621"/>
    <x v="0"/>
    <x v="0"/>
    <x v="0"/>
    <n v="405621"/>
    <n v="0"/>
    <n v="405621"/>
    <x v="0"/>
    <x v="0"/>
    <x v="0"/>
    <x v="0"/>
    <x v="0"/>
  </r>
  <r>
    <x v="4"/>
    <x v="0"/>
    <x v="0"/>
    <x v="5"/>
    <x v="5"/>
    <x v="1"/>
    <x v="1"/>
    <n v="47649"/>
    <s v="800048954"/>
    <s v="CLINICA VERSALLES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48954"/>
    <s v="CLINICA VERSALLES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6234"/>
    <n v="0"/>
    <n v="16234"/>
    <x v="0"/>
    <x v="0"/>
    <x v="0"/>
    <n v="16234"/>
    <n v="0"/>
    <n v="16234"/>
    <x v="0"/>
    <x v="0"/>
    <x v="0"/>
    <n v="16234"/>
    <n v="0"/>
    <n v="16234"/>
    <x v="0"/>
    <x v="0"/>
    <x v="0"/>
    <x v="0"/>
    <x v="0"/>
  </r>
  <r>
    <x v="4"/>
    <x v="0"/>
    <x v="0"/>
    <x v="5"/>
    <x v="5"/>
    <x v="1"/>
    <x v="1"/>
    <n v="47653"/>
    <s v="900203566"/>
    <s v="ABASTECEMOS  DE OCCIDENTE S.A.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203566"/>
    <s v="ABASTECEMOS  DE OCCIDENT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925"/>
    <n v="0"/>
    <n v="2925"/>
    <x v="0"/>
    <x v="0"/>
    <x v="0"/>
    <n v="2925"/>
    <n v="0"/>
    <n v="2925"/>
    <x v="0"/>
    <x v="0"/>
    <x v="0"/>
    <n v="2925"/>
    <n v="0"/>
    <n v="2925"/>
    <x v="0"/>
    <x v="0"/>
    <x v="0"/>
    <x v="0"/>
    <x v="0"/>
  </r>
  <r>
    <x v="4"/>
    <x v="0"/>
    <x v="0"/>
    <x v="0"/>
    <x v="0"/>
    <x v="0"/>
    <x v="0"/>
    <n v="4349"/>
    <s v="43038708"/>
    <s v="ARROYAVE ESTRADA RUTH GLADIS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384115"/>
    <s v="CENTRO DE ESTETICA BERTHY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ANTICIPO"/>
    <n v="214"/>
    <n v="0"/>
    <n v="214"/>
    <x v="0"/>
    <x v="0"/>
    <x v="0"/>
    <n v="214"/>
    <n v="0"/>
    <n v="214"/>
    <x v="0"/>
    <x v="0"/>
    <x v="0"/>
    <n v="214"/>
    <n v="0"/>
    <n v="214"/>
    <x v="0"/>
    <x v="0"/>
    <x v="0"/>
    <x v="0"/>
    <x v="0"/>
  </r>
  <r>
    <x v="4"/>
    <x v="0"/>
    <x v="0"/>
    <x v="5"/>
    <x v="5"/>
    <x v="1"/>
    <x v="1"/>
    <n v="47667"/>
    <s v="860046201"/>
    <s v="FORTOX S.A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9"/>
    <x v="9"/>
    <n v="1373"/>
    <s v="805011901"/>
    <s v="LASKIN S.A."/>
    <s v="20190828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241.980"/>
    <n v="241980"/>
    <n v="0"/>
    <n v="241980"/>
    <x v="0"/>
    <x v="0"/>
    <x v="0"/>
    <n v="241980"/>
    <n v="0"/>
    <n v="241980"/>
    <x v="0"/>
    <x v="0"/>
    <x v="0"/>
    <n v="241980"/>
    <n v="0"/>
    <n v="241980"/>
    <x v="0"/>
    <x v="0"/>
    <x v="0"/>
    <x v="0"/>
    <x v="0"/>
  </r>
  <r>
    <x v="4"/>
    <x v="0"/>
    <x v="0"/>
    <x v="1"/>
    <x v="1"/>
    <x v="1"/>
    <x v="1"/>
    <n v="24946"/>
    <s v="901166073"/>
    <s v="CENTRO COMERCIAL NUESTRO MONTERIA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2"/>
    <x v="2"/>
    <x v="9"/>
    <x v="9"/>
    <n v="1647"/>
    <s v="900246492"/>
    <s v="INDUSTRIA DE ALUMINIO DE COLOMBIA SAS"/>
    <s v="201908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46492"/>
    <s v="INDUSTRIA DE ALUMINIO DE COLOMBIA S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175.220 POR PAGO AÑO ANTICIPADO Y $ 22.586 DE RET/ICA"/>
    <n v="175220"/>
    <n v="0"/>
    <n v="175220"/>
    <x v="0"/>
    <x v="0"/>
    <x v="0"/>
    <n v="175220"/>
    <n v="0"/>
    <n v="175220"/>
    <x v="0"/>
    <x v="0"/>
    <x v="0"/>
    <n v="175220"/>
    <n v="0"/>
    <n v="175220"/>
    <x v="0"/>
    <x v="0"/>
    <x v="0"/>
    <x v="0"/>
    <x v="0"/>
  </r>
  <r>
    <x v="4"/>
    <x v="0"/>
    <x v="0"/>
    <x v="1"/>
    <x v="1"/>
    <x v="9"/>
    <x v="9"/>
    <n v="384"/>
    <s v="802005031"/>
    <s v="COLEGIO DISTRITAL MARIA INMACULADA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05031"/>
    <s v="COLEGIO DISTRITAL MARIA INMACULA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800_x000d__x000a_APLICA RETEIVA  $334.347_x000d__x000a_APLICA RETEICA  $112.62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0"/>
    <x v="0"/>
    <x v="0"/>
    <x v="0"/>
    <n v="4350"/>
    <s v="J293759889"/>
    <s v="MUSICAR DE VENEZUELA,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5"/>
    <x v="5"/>
    <x v="2"/>
    <x v="2"/>
    <x v="0"/>
    <x v="0"/>
    <s v="J293759889"/>
    <s v="MUSICAR DE VENEZUELA,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ESCUENTO VENTA MEMORIAS FVO - 839"/>
    <n v="79124"/>
    <n v="0"/>
    <n v="79124"/>
    <x v="0"/>
    <x v="0"/>
    <x v="0"/>
    <n v="79124"/>
    <n v="0"/>
    <n v="79124"/>
    <x v="0"/>
    <x v="0"/>
    <x v="0"/>
    <n v="79124"/>
    <n v="0"/>
    <n v="79124"/>
    <x v="0"/>
    <x v="0"/>
    <x v="0"/>
    <x v="0"/>
    <x v="0"/>
  </r>
  <r>
    <x v="4"/>
    <x v="0"/>
    <x v="0"/>
    <x v="5"/>
    <x v="5"/>
    <x v="1"/>
    <x v="1"/>
    <n v="47688"/>
    <s v="805009741"/>
    <s v="COOMEVA MEDICINA PREPAGADA S.A."/>
    <s v="201908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09741"/>
    <s v="COOMEVA MEDICINA PREPAGAD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, 444,277.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2"/>
    <x v="2"/>
    <x v="1"/>
    <x v="1"/>
    <n v="63967"/>
    <s v="860521035"/>
    <s v="ACRECER TEMPORAL S.A.S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21035"/>
    <s v="ACRECER TEMPOR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VA"/>
    <n v="5446"/>
    <n v="0"/>
    <n v="5446"/>
    <x v="0"/>
    <x v="0"/>
    <x v="0"/>
    <n v="5446"/>
    <n v="0"/>
    <n v="5446"/>
    <x v="0"/>
    <x v="0"/>
    <x v="0"/>
    <n v="5446"/>
    <n v="0"/>
    <n v="5446"/>
    <x v="0"/>
    <x v="0"/>
    <x v="0"/>
    <x v="0"/>
    <x v="0"/>
  </r>
  <r>
    <x v="2"/>
    <x v="0"/>
    <x v="0"/>
    <x v="3"/>
    <x v="3"/>
    <x v="1"/>
    <x v="1"/>
    <n v="37991"/>
    <s v="900163527"/>
    <s v="CENTRO COMERCIAL SAN NICOLAS PROPIEDAD HORIZONTAL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900163527"/>
    <s v="CENTRO COMERCIAL SAN NICOLAS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4648_x000d__x000a_CLIENTE SE APLICA DESCUENTO COMERCIAL DE 9% YA SE LE EXPLICO QUE ESTE PORCENTAJE CORREPONDE A ANUALIDAD"/>
    <n v="71111"/>
    <n v="0"/>
    <n v="71111"/>
    <x v="0"/>
    <x v="0"/>
    <x v="0"/>
    <n v="71111"/>
    <n v="0"/>
    <n v="71111"/>
    <x v="0"/>
    <x v="0"/>
    <x v="0"/>
    <n v="71111"/>
    <n v="0"/>
    <n v="71111"/>
    <x v="0"/>
    <x v="0"/>
    <x v="0"/>
    <x v="0"/>
    <x v="0"/>
  </r>
  <r>
    <x v="3"/>
    <x v="0"/>
    <x v="0"/>
    <x v="3"/>
    <x v="3"/>
    <x v="1"/>
    <x v="1"/>
    <n v="38068"/>
    <s v="800036229"/>
    <s v="CLINICA OFTALMOLOGICA LAURELES S.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00036229"/>
    <s v="CLINICA OFTALMOLOGICA LAURE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188"/>
    <n v="3841"/>
    <n v="0"/>
    <n v="3841"/>
    <x v="0"/>
    <x v="0"/>
    <x v="0"/>
    <n v="3841"/>
    <n v="0"/>
    <n v="3841"/>
    <x v="0"/>
    <x v="0"/>
    <x v="0"/>
    <n v="3841"/>
    <n v="0"/>
    <n v="3841"/>
    <x v="0"/>
    <x v="0"/>
    <x v="0"/>
    <x v="0"/>
    <x v="0"/>
  </r>
  <r>
    <x v="3"/>
    <x v="0"/>
    <x v="0"/>
    <x v="2"/>
    <x v="2"/>
    <x v="9"/>
    <x v="9"/>
    <n v="1605"/>
    <s v="900534711"/>
    <s v="TITAN PLAZA CENTRO COMERCIAL Y EMPRESARIAL P.H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534711"/>
    <s v="TITAN PLAZA CENTRO COMERCIAL Y EMPRESARIAL P.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$ 68.594 por pago de semestre anticipado y $8.421 por rte/ica"/>
    <n v="68594"/>
    <n v="0"/>
    <n v="68594"/>
    <x v="0"/>
    <x v="0"/>
    <x v="0"/>
    <n v="68594"/>
    <n v="0"/>
    <n v="68594"/>
    <x v="0"/>
    <x v="0"/>
    <x v="0"/>
    <n v="68594"/>
    <n v="0"/>
    <n v="68594"/>
    <x v="0"/>
    <x v="0"/>
    <x v="0"/>
    <x v="0"/>
    <x v="0"/>
  </r>
  <r>
    <x v="3"/>
    <x v="0"/>
    <x v="0"/>
    <x v="2"/>
    <x v="2"/>
    <x v="9"/>
    <x v="9"/>
    <n v="1607"/>
    <s v="822005628"/>
    <s v="C Y H AGENCIA PROMOTORA DE SEGURO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22005628"/>
    <s v="C Y H AGENCIA PROMOTORA DE SEGURO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% POR PAGO DE AÑO ANTICIPADO.$ 95.605"/>
    <n v="95605"/>
    <n v="0"/>
    <n v="95605"/>
    <x v="0"/>
    <x v="0"/>
    <x v="0"/>
    <n v="95605"/>
    <n v="0"/>
    <n v="95605"/>
    <x v="0"/>
    <x v="0"/>
    <x v="0"/>
    <n v="95605"/>
    <n v="0"/>
    <n v="95605"/>
    <x v="0"/>
    <x v="0"/>
    <x v="0"/>
    <x v="0"/>
    <x v="0"/>
  </r>
  <r>
    <x v="3"/>
    <x v="0"/>
    <x v="0"/>
    <x v="4"/>
    <x v="4"/>
    <x v="9"/>
    <x v="9"/>
    <n v="243"/>
    <s v="804014440"/>
    <s v="FONDO DE EMPLEADOS PARA EL DESARROLLO SOCIAL FONDE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04014440"/>
    <s v="FONDO DE EMPLEADOS PARA EL DESARROLLO SOCIAL FOND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ÓN FACTURA 365968.  DESCUENTO 9% POR PAGO AÑO ANTICIPADO."/>
    <n v="250282"/>
    <n v="0"/>
    <n v="250282"/>
    <x v="0"/>
    <x v="0"/>
    <x v="0"/>
    <n v="250282"/>
    <n v="0"/>
    <n v="250282"/>
    <x v="0"/>
    <x v="0"/>
    <x v="0"/>
    <n v="250282"/>
    <n v="0"/>
    <n v="250282"/>
    <x v="0"/>
    <x v="0"/>
    <x v="0"/>
    <x v="0"/>
    <x v="0"/>
  </r>
  <r>
    <x v="3"/>
    <x v="0"/>
    <x v="0"/>
    <x v="3"/>
    <x v="3"/>
    <x v="1"/>
    <x v="1"/>
    <n v="38092"/>
    <s v="811028725"/>
    <s v="DISTRIMEDICAL S.A.S"/>
    <s v="2019071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11028725"/>
    <s v="DISTRIMEDICAL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6207_x000d__x000a_RETEICA POR $ 8.832_x000d__x000a_DCTO COMERCIAL POR PRONTO PAGO $ 49.682"/>
    <n v="49682"/>
    <n v="0"/>
    <n v="49682"/>
    <x v="0"/>
    <x v="0"/>
    <x v="0"/>
    <n v="49682"/>
    <n v="0"/>
    <n v="49682"/>
    <x v="0"/>
    <x v="0"/>
    <x v="0"/>
    <n v="49682"/>
    <n v="0"/>
    <n v="49682"/>
    <x v="0"/>
    <x v="0"/>
    <x v="0"/>
    <x v="0"/>
    <x v="0"/>
  </r>
  <r>
    <x v="3"/>
    <x v="0"/>
    <x v="0"/>
    <x v="1"/>
    <x v="1"/>
    <x v="1"/>
    <x v="1"/>
    <n v="24785"/>
    <s v="802010909"/>
    <s v="INVERSIONES WONGFOEN S.A.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0909"/>
    <s v="INVERSIONES WONGFOE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25"/>
    <n v="62"/>
    <n v="0"/>
    <n v="62"/>
    <x v="0"/>
    <x v="0"/>
    <x v="0"/>
    <n v="62"/>
    <n v="0"/>
    <n v="62"/>
    <x v="0"/>
    <x v="0"/>
    <x v="0"/>
    <n v="62"/>
    <n v="0"/>
    <n v="62"/>
    <x v="0"/>
    <x v="0"/>
    <x v="0"/>
    <x v="0"/>
    <x v="0"/>
  </r>
  <r>
    <x v="4"/>
    <x v="0"/>
    <x v="0"/>
    <x v="5"/>
    <x v="5"/>
    <x v="1"/>
    <x v="1"/>
    <n v="47457"/>
    <s v="805019647"/>
    <s v="TECNELEC COMUNICACIONES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5"/>
    <n v="0"/>
    <n v="245"/>
    <x v="0"/>
    <x v="0"/>
    <x v="0"/>
    <n v="245"/>
    <n v="0"/>
    <n v="245"/>
    <x v="0"/>
    <x v="0"/>
    <x v="0"/>
    <n v="245"/>
    <n v="0"/>
    <n v="245"/>
    <x v="0"/>
    <x v="0"/>
    <x v="0"/>
    <x v="0"/>
    <x v="0"/>
  </r>
  <r>
    <x v="4"/>
    <x v="0"/>
    <x v="0"/>
    <x v="5"/>
    <x v="5"/>
    <x v="1"/>
    <x v="1"/>
    <n v="47472"/>
    <s v="860046201"/>
    <s v="FORTOX S.A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46201"/>
    <s v="FORTOX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4"/>
    <x v="0"/>
    <x v="0"/>
    <x v="5"/>
    <x v="5"/>
    <x v="1"/>
    <x v="1"/>
    <n v="47474"/>
    <s v="650187917"/>
    <s v="FREI  HEINRICH ERNEST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650187917"/>
    <s v="FREI  HEINRICH ERNES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990"/>
    <n v="0"/>
    <n v="990"/>
    <x v="0"/>
    <x v="0"/>
    <x v="0"/>
    <n v="990"/>
    <n v="0"/>
    <n v="990"/>
    <x v="0"/>
    <x v="0"/>
    <x v="0"/>
    <n v="990"/>
    <n v="0"/>
    <n v="990"/>
    <x v="0"/>
    <x v="0"/>
    <x v="0"/>
    <x v="0"/>
    <x v="0"/>
  </r>
  <r>
    <x v="4"/>
    <x v="0"/>
    <x v="0"/>
    <x v="5"/>
    <x v="5"/>
    <x v="9"/>
    <x v="9"/>
    <n v="1361"/>
    <s v="890308111"/>
    <s v="EL MOLINO-EDUARDO MOLINARI PALACIN &amp; CIA S.EN.C."/>
    <s v="2019081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8111"/>
    <s v="EL MOLINO-EDUARDO MOLINARI PALACIN &amp; CIA S.EN.C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.9% $106.293"/>
    <n v="106293"/>
    <n v="0"/>
    <n v="106293"/>
    <x v="0"/>
    <x v="0"/>
    <x v="0"/>
    <n v="106293"/>
    <n v="0"/>
    <n v="106293"/>
    <x v="0"/>
    <x v="0"/>
    <x v="0"/>
    <n v="106293"/>
    <n v="0"/>
    <n v="106293"/>
    <x v="0"/>
    <x v="0"/>
    <x v="0"/>
    <x v="0"/>
    <x v="0"/>
  </r>
  <r>
    <x v="4"/>
    <x v="0"/>
    <x v="0"/>
    <x v="5"/>
    <x v="5"/>
    <x v="1"/>
    <x v="1"/>
    <n v="47486"/>
    <s v="805019647"/>
    <s v="TECNELEC COMUNICACIONES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9647"/>
    <s v="TECNELEC COMUNICACION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496"/>
    <n v="0"/>
    <n v="496"/>
    <x v="0"/>
    <x v="0"/>
    <x v="0"/>
    <n v="496"/>
    <n v="0"/>
    <n v="496"/>
    <x v="0"/>
    <x v="0"/>
    <x v="0"/>
    <n v="496"/>
    <n v="0"/>
    <n v="496"/>
    <x v="0"/>
    <x v="0"/>
    <x v="0"/>
    <x v="0"/>
    <x v="0"/>
  </r>
  <r>
    <x v="4"/>
    <x v="0"/>
    <x v="0"/>
    <x v="5"/>
    <x v="5"/>
    <x v="1"/>
    <x v="1"/>
    <n v="47487"/>
    <s v="900909617"/>
    <s v="HOTELES H.V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909617"/>
    <s v="HOTELES H.V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33"/>
    <n v="0"/>
    <n v="633"/>
    <x v="0"/>
    <x v="0"/>
    <x v="0"/>
    <n v="633"/>
    <n v="0"/>
    <n v="633"/>
    <x v="0"/>
    <x v="0"/>
    <x v="0"/>
    <n v="633"/>
    <n v="0"/>
    <n v="633"/>
    <x v="0"/>
    <x v="0"/>
    <x v="0"/>
    <x v="0"/>
    <x v="0"/>
  </r>
  <r>
    <x v="4"/>
    <x v="0"/>
    <x v="0"/>
    <x v="3"/>
    <x v="3"/>
    <x v="1"/>
    <x v="1"/>
    <n v="38223"/>
    <s v="890904222"/>
    <s v="VIAJES PALOMARES S.A.S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3"/>
    <x v="3"/>
    <x v="0"/>
    <x v="0"/>
    <x v="0"/>
    <x v="0"/>
    <s v="890904222"/>
    <s v="VIAJES PALOMARES S.A.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# 368125_x000d__x000a_APLICA DCTO 9% POR PAGO ANUELA ANTICIPADO"/>
    <n v="126958"/>
    <n v="0"/>
    <n v="126958"/>
    <x v="0"/>
    <x v="0"/>
    <x v="0"/>
    <n v="126958"/>
    <n v="0"/>
    <n v="126958"/>
    <x v="0"/>
    <x v="0"/>
    <x v="0"/>
    <n v="126958"/>
    <n v="0"/>
    <n v="126958"/>
    <x v="0"/>
    <x v="0"/>
    <x v="0"/>
    <x v="0"/>
    <x v="0"/>
  </r>
  <r>
    <x v="4"/>
    <x v="0"/>
    <x v="0"/>
    <x v="1"/>
    <x v="1"/>
    <x v="1"/>
    <x v="1"/>
    <n v="24855"/>
    <s v="806012958"/>
    <s v="IPS SALUD DEL CARIBE S.A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8"/>
    <x v="8"/>
    <x v="0"/>
    <x v="0"/>
    <x v="0"/>
    <x v="0"/>
    <s v="806012958"/>
    <s v="IPS SALUD DEL CARIB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611 - FVA-366624 - FVA-366630 - FVA-366633"/>
    <n v="2900"/>
    <n v="0"/>
    <n v="2900"/>
    <x v="0"/>
    <x v="0"/>
    <x v="0"/>
    <n v="2900"/>
    <n v="0"/>
    <n v="2900"/>
    <x v="0"/>
    <x v="0"/>
    <x v="0"/>
    <n v="2900"/>
    <n v="0"/>
    <n v="2900"/>
    <x v="0"/>
    <x v="0"/>
    <x v="0"/>
    <x v="0"/>
    <x v="0"/>
  </r>
  <r>
    <x v="4"/>
    <x v="0"/>
    <x v="0"/>
    <x v="1"/>
    <x v="1"/>
    <x v="1"/>
    <x v="1"/>
    <n v="24859"/>
    <s v="890102508"/>
    <s v="SALES INMOBILIARIA S.A."/>
    <s v="20190813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0102508"/>
    <s v="SALES INMOBILIAR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8004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4"/>
    <x v="4"/>
    <x v="1"/>
    <x v="1"/>
    <n v="20950"/>
    <s v="890200050"/>
    <s v="ARDISA S.A.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7"/>
    <x v="7"/>
    <x v="0"/>
    <x v="0"/>
    <x v="0"/>
    <x v="0"/>
    <s v="890200050"/>
    <s v="ARDIS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 FACT367833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4"/>
    <x v="0"/>
    <x v="0"/>
    <x v="5"/>
    <x v="5"/>
    <x v="1"/>
    <x v="1"/>
    <n v="47507"/>
    <s v="1509246"/>
    <s v="MORALES SANTACRUZ JESUS ANTONIO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4"/>
    <x v="0"/>
    <x v="0"/>
    <x v="5"/>
    <x v="5"/>
    <x v="1"/>
    <x v="1"/>
    <n v="47512"/>
    <s v="890311006"/>
    <s v="FONDO DE EMPLEADOS DE LAS EMP.M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1006"/>
    <s v="FONDO DE EMPLEADOS DE LAS EMP.M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5"/>
    <x v="5"/>
    <x v="9"/>
    <x v="9"/>
    <n v="1364"/>
    <s v="890301278"/>
    <s v="COOPERATIVA DE TRABAJADORES  EMPRESAS  MUNICIPALES DE CALI"/>
    <s v="2019081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01278"/>
    <s v="COOPERATIVA DE TRABAJADORES  EMPRESAS  MUNICIPALES DE CALI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, DCTO 9% OK $140.832"/>
    <n v="140832"/>
    <n v="0"/>
    <n v="140832"/>
    <x v="0"/>
    <x v="0"/>
    <x v="0"/>
    <n v="140832"/>
    <n v="0"/>
    <n v="140832"/>
    <x v="0"/>
    <x v="0"/>
    <x v="0"/>
    <n v="140832"/>
    <n v="0"/>
    <n v="140832"/>
    <x v="0"/>
    <x v="0"/>
    <x v="0"/>
    <x v="0"/>
    <x v="0"/>
  </r>
  <r>
    <x v="4"/>
    <x v="0"/>
    <x v="0"/>
    <x v="2"/>
    <x v="2"/>
    <x v="9"/>
    <x v="9"/>
    <n v="1631"/>
    <s v="860069284"/>
    <s v="AGROCAMPO S.A."/>
    <s v="201908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069284"/>
    <s v="AGROCAMPO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LIENTE DESCUENTA EL 9 % POR PAGO DE AÑO ANTICIPADO."/>
    <n v="542165"/>
    <n v="0"/>
    <n v="542165"/>
    <x v="0"/>
    <x v="0"/>
    <x v="0"/>
    <n v="542165"/>
    <n v="0"/>
    <n v="542165"/>
    <x v="0"/>
    <x v="0"/>
    <x v="0"/>
    <n v="542165"/>
    <n v="0"/>
    <n v="542165"/>
    <x v="0"/>
    <x v="0"/>
    <x v="0"/>
    <x v="0"/>
    <x v="0"/>
  </r>
  <r>
    <x v="4"/>
    <x v="0"/>
    <x v="0"/>
    <x v="5"/>
    <x v="5"/>
    <x v="1"/>
    <x v="1"/>
    <n v="47630"/>
    <s v="900008839"/>
    <s v="CENTROS COMERCIALES DEL CAFE S.A.S.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08839"/>
    <s v="CENTROS COMERCIALES DEL CAFE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0519"/>
    <n v="0"/>
    <n v="10519"/>
    <x v="0"/>
    <x v="0"/>
    <x v="0"/>
    <n v="10519"/>
    <n v="0"/>
    <n v="10519"/>
    <x v="0"/>
    <x v="0"/>
    <x v="0"/>
    <n v="10519"/>
    <n v="0"/>
    <n v="10519"/>
    <x v="0"/>
    <x v="0"/>
    <x v="0"/>
    <x v="0"/>
    <x v="0"/>
  </r>
  <r>
    <x v="4"/>
    <x v="0"/>
    <x v="0"/>
    <x v="5"/>
    <x v="5"/>
    <x v="9"/>
    <x v="9"/>
    <n v="1372"/>
    <s v="900035068"/>
    <s v="LAMINAS Y CORTES INDUSTRIALES S.A"/>
    <s v="201908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35068"/>
    <s v="LAMINAS Y CORTES INDUSTRIALES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ADO DCTO 9% $107.021"/>
    <n v="107021"/>
    <n v="0"/>
    <n v="107021"/>
    <x v="0"/>
    <x v="0"/>
    <x v="0"/>
    <n v="107021"/>
    <n v="0"/>
    <n v="107021"/>
    <x v="0"/>
    <x v="0"/>
    <x v="0"/>
    <n v="107021"/>
    <n v="0"/>
    <n v="107021"/>
    <x v="0"/>
    <x v="0"/>
    <x v="0"/>
    <x v="0"/>
    <x v="0"/>
  </r>
  <r>
    <x v="4"/>
    <x v="0"/>
    <x v="0"/>
    <x v="1"/>
    <x v="1"/>
    <x v="1"/>
    <x v="1"/>
    <n v="24928"/>
    <s v="802016306"/>
    <s v="EXPOCONSTRUCCION 43 Y CIA LTD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02016306"/>
    <s v="EXPOCONSTRUCCION 43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510 - FVA-367969"/>
    <n v="70"/>
    <n v="0"/>
    <n v="70"/>
    <x v="0"/>
    <x v="0"/>
    <x v="0"/>
    <n v="70"/>
    <n v="0"/>
    <n v="70"/>
    <x v="0"/>
    <x v="0"/>
    <x v="0"/>
    <n v="70"/>
    <n v="0"/>
    <n v="70"/>
    <x v="0"/>
    <x v="0"/>
    <x v="0"/>
    <x v="0"/>
    <x v="0"/>
  </r>
  <r>
    <x v="4"/>
    <x v="0"/>
    <x v="0"/>
    <x v="1"/>
    <x v="1"/>
    <x v="1"/>
    <x v="1"/>
    <n v="24941"/>
    <s v="32757237"/>
    <s v="MEDINA OLIVEROS FARATH DIVA"/>
    <s v="20190827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7930"/>
    <n v="442"/>
    <n v="0"/>
    <n v="442"/>
    <x v="0"/>
    <x v="0"/>
    <x v="0"/>
    <n v="442"/>
    <n v="0"/>
    <n v="442"/>
    <x v="0"/>
    <x v="0"/>
    <x v="0"/>
    <n v="442"/>
    <n v="0"/>
    <n v="442"/>
    <x v="0"/>
    <x v="0"/>
    <x v="0"/>
    <x v="0"/>
    <x v="0"/>
  </r>
  <r>
    <x v="3"/>
    <x v="0"/>
    <x v="0"/>
    <x v="5"/>
    <x v="5"/>
    <x v="9"/>
    <x v="9"/>
    <n v="1343"/>
    <s v="805011901"/>
    <s v="LASKIN S.A."/>
    <s v="2019072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5011901"/>
    <s v="LASKIN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ÑO ANTICIPDO, DESCUENTO 9% %1.547.813"/>
    <n v="1547813"/>
    <n v="0"/>
    <n v="1547813"/>
    <x v="0"/>
    <x v="0"/>
    <x v="0"/>
    <n v="1547813"/>
    <n v="0"/>
    <n v="1547813"/>
    <x v="0"/>
    <x v="0"/>
    <x v="0"/>
    <n v="1547813"/>
    <n v="0"/>
    <n v="1547813"/>
    <x v="0"/>
    <x v="0"/>
    <x v="0"/>
    <x v="0"/>
    <x v="0"/>
  </r>
  <r>
    <x v="3"/>
    <x v="0"/>
    <x v="0"/>
    <x v="5"/>
    <x v="5"/>
    <x v="1"/>
    <x v="1"/>
    <n v="47386"/>
    <s v="1509246"/>
    <s v="MORALES SANTACRUZ JESUS ANTONIO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1509246"/>
    <s v="MORALES SANTACRUZ JESUS ANTONI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123"/>
    <n v="0"/>
    <n v="123"/>
    <x v="0"/>
    <x v="0"/>
    <x v="0"/>
    <n v="123"/>
    <n v="0"/>
    <n v="123"/>
    <x v="0"/>
    <x v="0"/>
    <x v="0"/>
    <n v="123"/>
    <n v="0"/>
    <n v="123"/>
    <x v="0"/>
    <x v="0"/>
    <x v="0"/>
    <x v="0"/>
    <x v="0"/>
  </r>
  <r>
    <x v="3"/>
    <x v="0"/>
    <x v="0"/>
    <x v="5"/>
    <x v="5"/>
    <x v="1"/>
    <x v="1"/>
    <n v="47387"/>
    <s v="890318490"/>
    <s v="FERRETERIA TUBERIAS S.A.S."/>
    <s v="20190729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90318490"/>
    <s v="FERRETERIA TUBERIAS S.A.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136"/>
    <n v="0"/>
    <n v="136"/>
    <x v="0"/>
    <x v="0"/>
    <x v="0"/>
    <n v="136"/>
    <n v="0"/>
    <n v="136"/>
    <x v="0"/>
    <x v="0"/>
    <x v="0"/>
    <n v="136"/>
    <n v="0"/>
    <n v="136"/>
    <x v="0"/>
    <x v="0"/>
    <x v="0"/>
    <x v="0"/>
    <x v="0"/>
  </r>
  <r>
    <x v="3"/>
    <x v="0"/>
    <x v="0"/>
    <x v="5"/>
    <x v="5"/>
    <x v="1"/>
    <x v="1"/>
    <n v="47401"/>
    <s v="860037900"/>
    <s v="CONSTRUCTORA  BOLIVAR  CALI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."/>
    <n v="9677"/>
    <n v="0"/>
    <n v="9677"/>
    <x v="0"/>
    <x v="0"/>
    <x v="0"/>
    <n v="9677"/>
    <n v="0"/>
    <n v="9677"/>
    <x v="0"/>
    <x v="0"/>
    <x v="0"/>
    <n v="9677"/>
    <n v="0"/>
    <n v="9677"/>
    <x v="0"/>
    <x v="0"/>
    <x v="0"/>
    <x v="0"/>
    <x v="0"/>
  </r>
  <r>
    <x v="4"/>
    <x v="0"/>
    <x v="0"/>
    <x v="5"/>
    <x v="5"/>
    <x v="1"/>
    <x v="1"/>
    <n v="47702"/>
    <s v="860037900"/>
    <s v="CONSTRUCTORA  BOLIVAR  CALI S.A"/>
    <s v="2019083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91"/>
    <n v="0"/>
    <n v="6191"/>
    <x v="0"/>
    <x v="0"/>
    <x v="0"/>
    <n v="6191"/>
    <n v="0"/>
    <n v="6191"/>
    <x v="0"/>
    <x v="0"/>
    <x v="0"/>
    <n v="6191"/>
    <n v="0"/>
    <n v="6191"/>
    <x v="0"/>
    <x v="0"/>
    <x v="0"/>
    <x v="0"/>
    <x v="0"/>
  </r>
  <r>
    <x v="2"/>
    <x v="0"/>
    <x v="0"/>
    <x v="5"/>
    <x v="5"/>
    <x v="1"/>
    <x v="1"/>
    <n v="47109"/>
    <s v="900077291"/>
    <s v="INVERSIONES BENAVIDES SOLARTE SCS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900077291"/>
    <s v="INVERSIONES BENAVIDES SOLARTE SC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."/>
    <n v="14000"/>
    <n v="0"/>
    <n v="14000"/>
    <x v="0"/>
    <x v="0"/>
    <x v="0"/>
    <n v="14000"/>
    <n v="0"/>
    <n v="14000"/>
    <x v="0"/>
    <x v="0"/>
    <x v="0"/>
    <n v="14000"/>
    <n v="0"/>
    <n v="14000"/>
    <x v="0"/>
    <x v="0"/>
    <x v="0"/>
    <x v="0"/>
    <x v="0"/>
  </r>
  <r>
    <x v="2"/>
    <x v="0"/>
    <x v="0"/>
    <x v="5"/>
    <x v="5"/>
    <x v="1"/>
    <x v="1"/>
    <n v="47112"/>
    <s v="800254270"/>
    <s v="SOLVAY PEROXIDOS DE COLOMBIA SAS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254270"/>
    <s v="SOLVAY PEROXIDOS DE COLOMBIA SA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62608, REPORTA CLIENTE."/>
    <n v="1440"/>
    <n v="0"/>
    <n v="1440"/>
    <x v="0"/>
    <x v="0"/>
    <x v="0"/>
    <n v="1440"/>
    <n v="0"/>
    <n v="1440"/>
    <x v="0"/>
    <x v="0"/>
    <x v="0"/>
    <n v="1440"/>
    <n v="0"/>
    <n v="1440"/>
    <x v="0"/>
    <x v="0"/>
    <x v="0"/>
    <x v="0"/>
    <x v="0"/>
  </r>
  <r>
    <x v="3"/>
    <x v="0"/>
    <x v="0"/>
    <x v="5"/>
    <x v="5"/>
    <x v="1"/>
    <x v="1"/>
    <n v="47222"/>
    <s v="800054863"/>
    <s v="HEMISFERIO TOURS Y CIA LTDA"/>
    <s v="20190715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00054863"/>
    <s v="HEMISFERIO TOURS Y CIA LTD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7363"/>
    <n v="0"/>
    <n v="7363"/>
    <x v="0"/>
    <x v="0"/>
    <x v="0"/>
    <n v="7363"/>
    <n v="0"/>
    <n v="7363"/>
    <x v="0"/>
    <x v="0"/>
    <x v="0"/>
    <n v="7363"/>
    <n v="0"/>
    <n v="7363"/>
    <x v="0"/>
    <x v="0"/>
    <x v="0"/>
    <x v="0"/>
    <x v="0"/>
  </r>
  <r>
    <x v="3"/>
    <x v="0"/>
    <x v="0"/>
    <x v="0"/>
    <x v="0"/>
    <x v="9"/>
    <x v="9"/>
    <n v="9"/>
    <s v="813011577"/>
    <s v="CLINICA UROS SA"/>
    <s v="20190722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13011577"/>
    <s v="CLINICA UROS S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CION CUENTA EN ABOGADO SE LES OTORGA UN DESCUENTO POR PAGO TOTAL DE LA DEUDA"/>
    <n v="256236"/>
    <n v="0"/>
    <n v="256236"/>
    <x v="0"/>
    <x v="0"/>
    <x v="0"/>
    <n v="256236"/>
    <n v="0"/>
    <n v="256236"/>
    <x v="0"/>
    <x v="0"/>
    <x v="0"/>
    <n v="256236"/>
    <n v="0"/>
    <n v="256236"/>
    <x v="0"/>
    <x v="0"/>
    <x v="0"/>
    <x v="0"/>
    <x v="0"/>
  </r>
  <r>
    <x v="3"/>
    <x v="0"/>
    <x v="0"/>
    <x v="1"/>
    <x v="1"/>
    <x v="1"/>
    <x v="1"/>
    <n v="24777"/>
    <s v="891000692"/>
    <s v="CORP. UNIVERSITARIA DEL SINU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891000692"/>
    <s v="CORP. UNIVERSITARIA DEL SIN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98._x000d__x000a_se realiza ajuste de $11.000 pesos faltantes que no cancelo el cliente por error en en los digitos al contabilizar la factura._x000d__x000a_aprobado por Johadys de Paz."/>
    <n v="11000"/>
    <n v="0"/>
    <n v="11000"/>
    <x v="0"/>
    <x v="0"/>
    <x v="0"/>
    <n v="11000"/>
    <n v="0"/>
    <n v="11000"/>
    <x v="0"/>
    <x v="0"/>
    <x v="0"/>
    <n v="11000"/>
    <n v="0"/>
    <n v="11000"/>
    <x v="0"/>
    <x v="0"/>
    <x v="0"/>
    <x v="0"/>
    <x v="0"/>
  </r>
  <r>
    <x v="3"/>
    <x v="0"/>
    <x v="0"/>
    <x v="1"/>
    <x v="1"/>
    <x v="1"/>
    <x v="1"/>
    <n v="24782"/>
    <s v="901166073"/>
    <s v="CENTRO COMERCIAL NUESTRO MONTERIA"/>
    <s v="20190724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1166073"/>
    <s v="CENTRO COMERCIAL NUESTRO MONTER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6472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9"/>
    <x v="9"/>
    <n v="10"/>
    <s v="860534912"/>
    <s v="CENTRO COMERCIAL GALERIAS - PROPIEDAD HORIZONTAL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860534912"/>
    <s v="CENTRO COMERCIAL GALERIAS - PROPIEDAD HORIZONT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ARTERA  EN ABOGADO SE LE HACE UN DESCUENTO POR VALOR DE $ 300.592 , POR CANCELACION TOTAL DE LA DEUDA"/>
    <n v="300592"/>
    <n v="0"/>
    <n v="300592"/>
    <x v="0"/>
    <x v="0"/>
    <x v="0"/>
    <n v="300592"/>
    <n v="0"/>
    <n v="300592"/>
    <x v="0"/>
    <x v="0"/>
    <x v="0"/>
    <n v="300592"/>
    <n v="0"/>
    <n v="300592"/>
    <x v="0"/>
    <x v="0"/>
    <x v="0"/>
    <x v="0"/>
    <x v="0"/>
  </r>
  <r>
    <x v="2"/>
    <x v="0"/>
    <x v="0"/>
    <x v="5"/>
    <x v="5"/>
    <x v="1"/>
    <x v="1"/>
    <n v="47086"/>
    <s v="860037900"/>
    <s v="CONSTRUCTORA  BOLIVAR  CALI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60037900"/>
    <s v="CONSTRUCTORA  BOLIVAR  CALI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6179"/>
    <n v="0"/>
    <n v="6179"/>
    <x v="0"/>
    <x v="0"/>
    <x v="0"/>
    <n v="6179"/>
    <n v="0"/>
    <n v="6179"/>
    <x v="0"/>
    <x v="0"/>
    <x v="0"/>
    <n v="6179"/>
    <n v="0"/>
    <n v="6179"/>
    <x v="0"/>
    <x v="0"/>
    <x v="0"/>
    <x v="0"/>
    <x v="0"/>
  </r>
  <r>
    <x v="2"/>
    <x v="0"/>
    <x v="0"/>
    <x v="5"/>
    <x v="5"/>
    <x v="1"/>
    <x v="1"/>
    <n v="47088"/>
    <s v="815000677"/>
    <s v="SUPERSERVICIOS DEL ORIENTE DEL VALLE S.A"/>
    <s v="201906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0"/>
    <x v="0"/>
    <x v="0"/>
    <x v="0"/>
    <x v="0"/>
    <x v="0"/>
    <s v="815000677"/>
    <s v="SUPERSERVICIOS DEL ORIENTE DEL VALLE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"/>
    <n v="241"/>
    <n v="0"/>
    <n v="241"/>
    <x v="0"/>
    <x v="0"/>
    <x v="0"/>
    <n v="241"/>
    <n v="0"/>
    <n v="241"/>
    <x v="0"/>
    <x v="0"/>
    <x v="0"/>
    <n v="241"/>
    <n v="0"/>
    <n v="241"/>
    <x v="0"/>
    <x v="0"/>
    <x v="0"/>
    <x v="0"/>
    <x v="0"/>
  </r>
  <r>
    <x v="3"/>
    <x v="0"/>
    <x v="0"/>
    <x v="1"/>
    <x v="1"/>
    <x v="1"/>
    <x v="1"/>
    <n v="24818"/>
    <s v="32757237"/>
    <s v="MEDINA OLIVEROS FARATH DIV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32757237"/>
    <s v="MEDINA OLIVEROS FARATH DIV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A-364958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1"/>
    <x v="1"/>
    <x v="1"/>
    <x v="1"/>
    <n v="24826"/>
    <s v="900061516"/>
    <s v="MUEBLES JAMAR S.A"/>
    <s v="20190730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2"/>
    <x v="2"/>
    <x v="0"/>
    <x v="0"/>
    <x v="0"/>
    <x v="0"/>
    <s v="900061516"/>
    <s v="MUEBLES JAMAR S.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ANCELA FACTURA FV5-794 - FV5-795"/>
    <n v="2"/>
    <n v="0"/>
    <n v="2"/>
    <x v="0"/>
    <x v="0"/>
    <x v="0"/>
    <n v="2"/>
    <n v="0"/>
    <n v="2"/>
    <x v="0"/>
    <x v="0"/>
    <x v="0"/>
    <n v="2"/>
    <n v="0"/>
    <n v="2"/>
    <x v="0"/>
    <x v="0"/>
    <x v="0"/>
    <x v="0"/>
    <x v="0"/>
  </r>
  <r>
    <x v="3"/>
    <x v="0"/>
    <x v="0"/>
    <x v="2"/>
    <x v="2"/>
    <x v="9"/>
    <x v="9"/>
    <n v="1599"/>
    <s v="900210981"/>
    <s v="CORPORACION HOSPITALARIA JUAN CIUDAD"/>
    <s v="20190711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4"/>
    <x v="4"/>
    <x v="0"/>
    <x v="0"/>
    <x v="0"/>
    <x v="0"/>
    <s v="900210981"/>
    <s v="CORPORACION HOSPITALARIA JUAN CIUD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OR NEGOCIACION ENTRE LAS PARTES SE BRINDA UN DESCUENTO FINANCIERO DE 10 % POR PAGO DE AÑO ANTICIPADO $ 9.068.904 Y RTE/ICA $ 876.056"/>
    <n v="9068904"/>
    <n v="0"/>
    <n v="9068904"/>
    <x v="0"/>
    <x v="0"/>
    <x v="0"/>
    <n v="9068904"/>
    <n v="0"/>
    <n v="9068904"/>
    <x v="0"/>
    <x v="0"/>
    <x v="0"/>
    <n v="9068904"/>
    <n v="0"/>
    <n v="9068904"/>
    <x v="0"/>
    <x v="0"/>
    <x v="0"/>
    <x v="0"/>
    <x v="0"/>
  </r>
  <r>
    <x v="3"/>
    <x v="0"/>
    <x v="0"/>
    <x v="0"/>
    <x v="0"/>
    <x v="1"/>
    <x v="1"/>
    <n v="2418"/>
    <s v="900017447"/>
    <s v="FALABELLA DE COLOMBIA S A"/>
    <s v="20190716"/>
    <x v="11"/>
    <x v="0"/>
    <x v="11"/>
    <x v="0"/>
    <x v="0"/>
    <x v="0"/>
    <x v="0"/>
    <x v="0"/>
    <x v="2"/>
    <x v="2"/>
    <x v="9"/>
    <x v="9"/>
    <x v="11"/>
    <x v="11"/>
    <x v="11"/>
    <x v="11"/>
    <x v="11"/>
    <x v="11"/>
    <x v="11"/>
    <x v="11"/>
    <x v="1"/>
    <x v="1"/>
    <x v="1"/>
    <x v="1"/>
    <x v="1"/>
    <x v="1"/>
    <s v="900017447"/>
    <s v="FALABELLA DE COLOMBIA S 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OR RETEGARANTIAS"/>
    <n v="0"/>
    <n v="30001"/>
    <n v="-30001"/>
    <x v="0"/>
    <x v="0"/>
    <x v="0"/>
    <n v="0"/>
    <n v="30001"/>
    <n v="-30001"/>
    <x v="0"/>
    <x v="0"/>
    <x v="0"/>
    <n v="0"/>
    <n v="30001"/>
    <n v="-3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0300.46"/>
    <n v="0"/>
    <n v="260300.46"/>
    <x v="0"/>
    <x v="0"/>
    <x v="0"/>
    <n v="260300.46"/>
    <n v="0"/>
    <n v="260300.46"/>
    <x v="0"/>
    <x v="0"/>
    <x v="0"/>
    <n v="260300.46"/>
    <n v="0"/>
    <n v="260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S A TERCEROS"/>
    <n v="77989.679999999993"/>
    <n v="0"/>
    <n v="77989.680000000008"/>
    <x v="0"/>
    <x v="0"/>
    <x v="0"/>
    <n v="77989.679999999993"/>
    <n v="0"/>
    <n v="77989.680000000008"/>
    <x v="0"/>
    <x v="0"/>
    <x v="0"/>
    <n v="77989.679999999993"/>
    <n v="0"/>
    <n v="77989.68000000000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B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3"/>
    <n v="0"/>
    <n v="51483"/>
    <x v="0"/>
    <x v="0"/>
    <x v="0"/>
    <n v="51483"/>
    <n v="0"/>
    <n v="51483"/>
    <x v="0"/>
    <x v="0"/>
    <x v="0"/>
    <n v="51483"/>
    <n v="0"/>
    <n v="51483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95408.28"/>
    <n v="0"/>
    <n v="95408.28"/>
    <x v="0"/>
    <x v="0"/>
    <x v="0"/>
    <n v="95408.28"/>
    <n v="0"/>
    <n v="95408.28"/>
    <x v="0"/>
    <x v="0"/>
    <x v="0"/>
    <n v="95408.28"/>
    <n v="0"/>
    <n v="95408.2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7"/>
    <x v="0"/>
    <x v="0"/>
    <x v="0"/>
    <x v="0"/>
    <x v="2"/>
    <x v="2"/>
    <n v="20088"/>
    <s v="860002964"/>
    <s v="BANCO DE BOGOT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DEL 2018"/>
    <n v="42819.39"/>
    <n v="0"/>
    <n v="42819.39"/>
    <x v="0"/>
    <x v="0"/>
    <x v="0"/>
    <n v="42819.39"/>
    <n v="0"/>
    <n v="42819.39"/>
    <x v="0"/>
    <x v="0"/>
    <x v="0"/>
    <n v="42819.39"/>
    <n v="0"/>
    <n v="42819.39"/>
    <x v="0"/>
    <x v="0"/>
    <x v="0"/>
    <x v="0"/>
    <x v="0"/>
  </r>
  <r>
    <x v="7"/>
    <x v="0"/>
    <x v="0"/>
    <x v="0"/>
    <x v="0"/>
    <x v="2"/>
    <x v="2"/>
    <n v="2008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DE CONCILIACION BANCARIA POR IVA YA PRESENTADO"/>
    <n v="0"/>
    <n v="150000"/>
    <n v="-150000"/>
    <x v="0"/>
    <x v="0"/>
    <x v="0"/>
    <n v="0"/>
    <n v="150000"/>
    <n v="-150000"/>
    <x v="0"/>
    <x v="0"/>
    <x v="0"/>
    <n v="0"/>
    <n v="150000"/>
    <n v="-150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6000"/>
    <n v="0"/>
    <n v="36000"/>
    <x v="0"/>
    <x v="0"/>
    <x v="0"/>
    <n v="36000"/>
    <n v="0"/>
    <n v="36000"/>
    <x v="0"/>
    <x v="0"/>
    <x v="0"/>
    <n v="36000"/>
    <n v="0"/>
    <n v="3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25006"/>
    <n v="0"/>
    <n v="425006"/>
    <x v="0"/>
    <x v="0"/>
    <x v="0"/>
    <n v="425006"/>
    <n v="0"/>
    <n v="425006"/>
    <x v="0"/>
    <x v="0"/>
    <x v="0"/>
    <n v="425006"/>
    <n v="0"/>
    <n v="425006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7182"/>
    <n v="0"/>
    <n v="7182"/>
    <x v="0"/>
    <x v="0"/>
    <x v="0"/>
    <n v="7182"/>
    <n v="0"/>
    <n v="7182"/>
    <x v="0"/>
    <x v="0"/>
    <x v="0"/>
    <n v="7182"/>
    <n v="0"/>
    <n v="7182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7"/>
    <x v="0"/>
    <x v="0"/>
    <x v="0"/>
    <x v="0"/>
    <x v="8"/>
    <x v="8"/>
    <n v="3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364.58"/>
    <n v="0"/>
    <n v="1364.58"/>
    <x v="0"/>
    <x v="0"/>
    <x v="0"/>
    <n v="1364.58"/>
    <n v="0"/>
    <n v="1364.58"/>
    <x v="0"/>
    <x v="0"/>
    <x v="0"/>
    <n v="1364.58"/>
    <n v="0"/>
    <n v="1364.58"/>
    <x v="0"/>
    <x v="0"/>
    <x v="0"/>
    <x v="0"/>
    <x v="0"/>
  </r>
  <r>
    <x v="7"/>
    <x v="0"/>
    <x v="0"/>
    <x v="0"/>
    <x v="0"/>
    <x v="2"/>
    <x v="2"/>
    <n v="20092"/>
    <s v="890300279"/>
    <s v="BANCO DE OCCIDENTE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DE GASTO BANCARRIO APLICADO DE MAS"/>
    <n v="0"/>
    <n v="1011206"/>
    <n v="-1011206"/>
    <x v="0"/>
    <x v="0"/>
    <x v="0"/>
    <n v="0"/>
    <n v="1011206"/>
    <n v="-1011206"/>
    <x v="0"/>
    <x v="0"/>
    <x v="0"/>
    <n v="0"/>
    <n v="1011206"/>
    <n v="-1011206"/>
    <x v="0"/>
    <x v="0"/>
    <x v="0"/>
    <x v="0"/>
    <x v="0"/>
  </r>
  <r>
    <x v="7"/>
    <x v="0"/>
    <x v="0"/>
    <x v="0"/>
    <x v="0"/>
    <x v="2"/>
    <x v="2"/>
    <n v="20093"/>
    <s v="900406150"/>
    <s v="BANCO COOMEV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ABRIL BANCOOMEVA"/>
    <n v="118232"/>
    <n v="0"/>
    <n v="118232"/>
    <x v="0"/>
    <x v="0"/>
    <x v="0"/>
    <n v="118232"/>
    <n v="0"/>
    <n v="118232"/>
    <x v="0"/>
    <x v="0"/>
    <x v="0"/>
    <n v="118232"/>
    <n v="0"/>
    <n v="118232"/>
    <x v="0"/>
    <x v="0"/>
    <x v="0"/>
    <x v="0"/>
    <x v="0"/>
  </r>
  <r>
    <x v="7"/>
    <x v="0"/>
    <x v="0"/>
    <x v="0"/>
    <x v="0"/>
    <x v="2"/>
    <x v="2"/>
    <n v="20048"/>
    <s v="440000000330"/>
    <s v="BANCOLOMBIA CAYMAN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BRIL 2019 - trm 3247.72"/>
    <n v="354001.48"/>
    <n v="0"/>
    <n v="354001.48"/>
    <x v="0"/>
    <x v="0"/>
    <x v="0"/>
    <n v="354001.48"/>
    <n v="0"/>
    <n v="354001.48"/>
    <x v="0"/>
    <x v="0"/>
    <x v="0"/>
    <n v="354001.48"/>
    <n v="0"/>
    <n v="354001.48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7"/>
    <x v="0"/>
    <x v="0"/>
    <x v="0"/>
    <x v="0"/>
    <x v="2"/>
    <x v="2"/>
    <n v="20067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DIFERENCIA EN CENTAVOS PAGO DE TARJETA DE CREDITO"/>
    <n v="0.33"/>
    <n v="0"/>
    <n v="0.33"/>
    <x v="0"/>
    <x v="0"/>
    <x v="0"/>
    <n v="0.33"/>
    <n v="0"/>
    <n v="0.33"/>
    <x v="0"/>
    <x v="0"/>
    <x v="0"/>
    <n v="0.33"/>
    <n v="0"/>
    <n v="0.33"/>
    <x v="0"/>
    <x v="0"/>
    <x v="0"/>
    <x v="0"/>
    <x v="0"/>
  </r>
  <r>
    <x v="1"/>
    <x v="0"/>
    <x v="0"/>
    <x v="0"/>
    <x v="0"/>
    <x v="2"/>
    <x v="2"/>
    <n v="19648"/>
    <s v="891480030"/>
    <s v="MUNICIPIO DE PEREIRA"/>
    <s v="20190213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6"/>
    <x v="6"/>
    <x v="0"/>
    <x v="0"/>
    <x v="0"/>
    <x v="0"/>
    <s v="891480030"/>
    <s v="MUNICIPIO DE PEREIR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IMP IND Y COMER ANUAL PEREIRA 2018"/>
    <n v="1000"/>
    <n v="0"/>
    <n v="1000"/>
    <x v="0"/>
    <x v="0"/>
    <x v="0"/>
    <n v="1000"/>
    <n v="0"/>
    <n v="1000"/>
    <x v="0"/>
    <x v="0"/>
    <x v="0"/>
    <n v="1000"/>
    <n v="0"/>
    <n v="1000"/>
    <x v="0"/>
    <x v="0"/>
    <x v="0"/>
    <x v="0"/>
    <x v="0"/>
  </r>
  <r>
    <x v="6"/>
    <x v="0"/>
    <x v="0"/>
    <x v="0"/>
    <x v="0"/>
    <x v="2"/>
    <x v="2"/>
    <n v="20157"/>
    <s v="890903938"/>
    <s v="BANCOLOMBIA S.A."/>
    <s v="20190509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434 MAL APLICADA"/>
    <n v="1897888"/>
    <n v="0"/>
    <n v="1897888"/>
    <x v="0"/>
    <x v="0"/>
    <x v="0"/>
    <n v="1897888"/>
    <n v="0"/>
    <n v="1897888"/>
    <x v="0"/>
    <x v="0"/>
    <x v="0"/>
    <n v="1897888"/>
    <n v="0"/>
    <n v="1897888"/>
    <x v="0"/>
    <x v="0"/>
    <x v="0"/>
    <x v="0"/>
    <x v="0"/>
  </r>
  <r>
    <x v="6"/>
    <x v="0"/>
    <x v="0"/>
    <x v="0"/>
    <x v="0"/>
    <x v="2"/>
    <x v="2"/>
    <n v="20277"/>
    <s v="890903407"/>
    <s v="SEGUROS GENERALES SURAMERICANA S.A"/>
    <s v="20190531"/>
    <x v="16"/>
    <x v="0"/>
    <x v="16"/>
    <x v="0"/>
    <x v="0"/>
    <x v="0"/>
    <x v="0"/>
    <x v="0"/>
    <x v="0"/>
    <x v="0"/>
    <x v="0"/>
    <x v="0"/>
    <x v="16"/>
    <x v="16"/>
    <x v="16"/>
    <x v="16"/>
    <x v="16"/>
    <x v="16"/>
    <x v="16"/>
    <x v="16"/>
    <x v="1"/>
    <x v="1"/>
    <x v="1"/>
    <x v="1"/>
    <x v="1"/>
    <x v="1"/>
    <s v="99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CUENTAS POR ERROR EN CENTRO DE OPERACION"/>
    <n v="58175"/>
    <n v="0"/>
    <n v="58175"/>
    <x v="0"/>
    <x v="0"/>
    <x v="0"/>
    <n v="58175"/>
    <n v="0"/>
    <n v="58175"/>
    <x v="0"/>
    <x v="0"/>
    <x v="0"/>
    <n v="58175"/>
    <n v="0"/>
    <n v="58175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67896"/>
    <n v="0"/>
    <n v="67896"/>
    <x v="0"/>
    <x v="0"/>
    <x v="0"/>
    <n v="67896"/>
    <n v="0"/>
    <n v="67896"/>
    <x v="0"/>
    <x v="0"/>
    <x v="0"/>
    <n v="67896"/>
    <n v="0"/>
    <n v="67896"/>
    <x v="0"/>
    <x v="0"/>
    <x v="0"/>
    <x v="0"/>
    <x v="0"/>
  </r>
  <r>
    <x v="7"/>
    <x v="0"/>
    <x v="0"/>
    <x v="0"/>
    <x v="0"/>
    <x v="2"/>
    <x v="2"/>
    <n v="20077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7"/>
    <x v="0"/>
    <x v="0"/>
    <x v="0"/>
    <x v="0"/>
    <x v="2"/>
    <x v="2"/>
    <n v="20078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- MANEJO TARJETAS CAJA MENOR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"/>
    <n v="0"/>
    <n v="3557"/>
    <x v="0"/>
    <x v="0"/>
    <x v="0"/>
    <n v="3557"/>
    <n v="0"/>
    <n v="3557"/>
    <x v="0"/>
    <x v="0"/>
    <x v="0"/>
    <n v="3557"/>
    <n v="0"/>
    <n v="3557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"/>
    <n v="0"/>
    <n v="2804"/>
    <x v="0"/>
    <x v="0"/>
    <x v="0"/>
    <n v="2804"/>
    <n v="0"/>
    <n v="2804"/>
    <x v="0"/>
    <x v="0"/>
    <x v="0"/>
    <n v="2804"/>
    <n v="0"/>
    <n v="2804"/>
    <x v="0"/>
    <x v="0"/>
    <x v="0"/>
    <x v="0"/>
    <x v="0"/>
  </r>
  <r>
    <x v="7"/>
    <x v="0"/>
    <x v="0"/>
    <x v="0"/>
    <x v="0"/>
    <x v="8"/>
    <x v="8"/>
    <n v="373"/>
    <s v="860007660"/>
    <s v="HELM BANK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58800"/>
    <n v="0"/>
    <n v="358800"/>
    <x v="0"/>
    <x v="0"/>
    <x v="0"/>
    <n v="358800"/>
    <n v="0"/>
    <n v="358800"/>
    <x v="0"/>
    <x v="0"/>
    <x v="0"/>
    <n v="358800"/>
    <n v="0"/>
    <n v="3588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53698"/>
    <n v="0"/>
    <n v="53698"/>
    <x v="0"/>
    <x v="0"/>
    <x v="0"/>
    <n v="53698"/>
    <n v="0"/>
    <n v="53698"/>
    <x v="0"/>
    <x v="0"/>
    <x v="0"/>
    <n v="53698"/>
    <n v="0"/>
    <n v="53698"/>
    <x v="0"/>
    <x v="0"/>
    <x v="0"/>
    <x v="0"/>
    <x v="0"/>
  </r>
  <r>
    <x v="6"/>
    <x v="0"/>
    <x v="0"/>
    <x v="0"/>
    <x v="0"/>
    <x v="11"/>
    <x v="11"/>
    <n v="26193"/>
    <s v="4519543"/>
    <s v="GARCIA CASTAÑO FREDY JHOVANNY"/>
    <s v="201905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4 + gastos bancarios"/>
    <n v="2800"/>
    <n v="0"/>
    <n v="2800"/>
    <x v="0"/>
    <x v="0"/>
    <x v="0"/>
    <n v="2800"/>
    <n v="0"/>
    <n v="2800"/>
    <x v="0"/>
    <x v="0"/>
    <x v="0"/>
    <n v="2800"/>
    <n v="0"/>
    <n v="2800"/>
    <x v="0"/>
    <x v="0"/>
    <x v="0"/>
    <x v="0"/>
    <x v="0"/>
  </r>
  <r>
    <x v="6"/>
    <x v="0"/>
    <x v="0"/>
    <x v="0"/>
    <x v="0"/>
    <x v="2"/>
    <x v="2"/>
    <n v="20090"/>
    <s v="890903938"/>
    <s v="BANCOLOMBIA S.A."/>
    <s v="201905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SE REVERSA NI 20088  ( IVA DE CONCILACION BANCARIA )"/>
    <n v="150000"/>
    <n v="0"/>
    <n v="150000"/>
    <x v="0"/>
    <x v="0"/>
    <x v="0"/>
    <n v="150000"/>
    <n v="0"/>
    <n v="150000"/>
    <x v="0"/>
    <x v="0"/>
    <x v="0"/>
    <n v="150000"/>
    <n v="0"/>
    <n v="150000"/>
    <x v="0"/>
    <x v="0"/>
    <x v="0"/>
    <x v="0"/>
    <x v="0"/>
  </r>
  <r>
    <x v="6"/>
    <x v="0"/>
    <x v="0"/>
    <x v="0"/>
    <x v="0"/>
    <x v="11"/>
    <x v="11"/>
    <n v="26225"/>
    <s v="71631400"/>
    <s v="CARRASQUILLA PIZARRO MARCO ANTONI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5 + GASTOS BANCARIOS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6"/>
    <x v="0"/>
    <x v="0"/>
    <x v="0"/>
    <x v="0"/>
    <x v="11"/>
    <x v="11"/>
    <n v="26226"/>
    <s v="31908098"/>
    <s v="LOPEZ GARCIA MARIA DEL SOCORRO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2 + GASTOS BANCARIOS"/>
    <n v="7520"/>
    <n v="0"/>
    <n v="7520"/>
    <x v="0"/>
    <x v="0"/>
    <x v="0"/>
    <n v="7520"/>
    <n v="0"/>
    <n v="7520"/>
    <x v="0"/>
    <x v="0"/>
    <x v="0"/>
    <n v="7520"/>
    <n v="0"/>
    <n v="7520"/>
    <x v="0"/>
    <x v="0"/>
    <x v="0"/>
    <x v="0"/>
    <x v="0"/>
  </r>
  <r>
    <x v="6"/>
    <x v="0"/>
    <x v="0"/>
    <x v="0"/>
    <x v="0"/>
    <x v="11"/>
    <x v="11"/>
    <n v="26227"/>
    <s v="1018441067"/>
    <s v="ALONSO GUTIERREZ YINNETH CATALIN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 + GASTOS BANCARIOS"/>
    <n v="11584"/>
    <n v="0"/>
    <n v="11584"/>
    <x v="0"/>
    <x v="0"/>
    <x v="0"/>
    <n v="11584"/>
    <n v="0"/>
    <n v="11584"/>
    <x v="0"/>
    <x v="0"/>
    <x v="0"/>
    <n v="11584"/>
    <n v="0"/>
    <n v="11584"/>
    <x v="0"/>
    <x v="0"/>
    <x v="0"/>
    <x v="0"/>
    <x v="0"/>
  </r>
  <r>
    <x v="0"/>
    <x v="0"/>
    <x v="0"/>
    <x v="0"/>
    <x v="0"/>
    <x v="2"/>
    <x v="2"/>
    <n v="19609"/>
    <s v="440000000330"/>
    <s v="BANCOLOMBIA CAYMAN"/>
    <s v="201901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CUENTA COMPENSACION - ENERO 2019 (TRM 3163.46)"/>
    <n v="521559.65"/>
    <n v="0"/>
    <n v="521559.65"/>
    <x v="0"/>
    <x v="0"/>
    <x v="0"/>
    <n v="521559.65"/>
    <n v="0"/>
    <n v="521559.65"/>
    <x v="0"/>
    <x v="0"/>
    <x v="0"/>
    <n v="521559.65"/>
    <n v="0"/>
    <n v="521559.65"/>
    <x v="0"/>
    <x v="0"/>
    <x v="0"/>
    <x v="0"/>
    <x v="0"/>
  </r>
  <r>
    <x v="1"/>
    <x v="0"/>
    <x v="0"/>
    <x v="0"/>
    <x v="0"/>
    <x v="2"/>
    <x v="2"/>
    <n v="19760"/>
    <s v="890903938"/>
    <s v="BANCOLOMBIA S.A."/>
    <s v="20190228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BANCOLOMBIA  - FEB 2019"/>
    <n v="44999.7"/>
    <n v="0"/>
    <n v="44999.700000000004"/>
    <x v="0"/>
    <x v="0"/>
    <x v="0"/>
    <n v="44999.7"/>
    <n v="0"/>
    <n v="44999.700000000004"/>
    <x v="0"/>
    <x v="0"/>
    <x v="0"/>
    <n v="44999.7"/>
    <n v="0"/>
    <n v="44999.700000000004"/>
    <x v="0"/>
    <x v="0"/>
    <x v="0"/>
    <x v="0"/>
    <x v="0"/>
  </r>
  <r>
    <x v="5"/>
    <x v="0"/>
    <x v="0"/>
    <x v="0"/>
    <x v="0"/>
    <x v="2"/>
    <x v="2"/>
    <n v="19921"/>
    <s v="440000000330"/>
    <s v="BANCOLOMBIA CAYMAN"/>
    <s v="201903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ONES CUENTA DE COMPENSACION- MARZO 2019"/>
    <n v="257157.99"/>
    <n v="0"/>
    <n v="257157.99000000002"/>
    <x v="0"/>
    <x v="0"/>
    <x v="0"/>
    <n v="257157.99"/>
    <n v="0"/>
    <n v="257157.99000000002"/>
    <x v="0"/>
    <x v="0"/>
    <x v="0"/>
    <n v="257157.99"/>
    <n v="0"/>
    <n v="257157.99000000002"/>
    <x v="0"/>
    <x v="0"/>
    <x v="0"/>
    <x v="0"/>
    <x v="0"/>
  </r>
  <r>
    <x v="5"/>
    <x v="0"/>
    <x v="0"/>
    <x v="0"/>
    <x v="0"/>
    <x v="2"/>
    <x v="2"/>
    <n v="19933"/>
    <s v="890903938"/>
    <s v="BANCOLOMBIA S.A."/>
    <s v="201903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MARZO 2019"/>
    <n v="64298.84"/>
    <n v="0"/>
    <n v="64298.840000000004"/>
    <x v="0"/>
    <x v="0"/>
    <x v="0"/>
    <n v="64298.84"/>
    <n v="0"/>
    <n v="64298.840000000004"/>
    <x v="0"/>
    <x v="0"/>
    <x v="0"/>
    <n v="64298.84"/>
    <n v="0"/>
    <n v="64298.840000000004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7"/>
    <x v="0"/>
    <x v="0"/>
    <x v="0"/>
    <x v="0"/>
    <x v="2"/>
    <x v="2"/>
    <n v="20079"/>
    <s v="890903938"/>
    <s v="BANCOLOMBIA S.A."/>
    <s v="201904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 DE VALORES EN CONCILIACION BANCOLOMBIA DE ABRIL DE 2019"/>
    <n v="13400"/>
    <n v="0"/>
    <n v="13400"/>
    <x v="0"/>
    <x v="0"/>
    <x v="0"/>
    <n v="13400"/>
    <n v="0"/>
    <n v="13400"/>
    <x v="0"/>
    <x v="0"/>
    <x v="0"/>
    <n v="13400"/>
    <n v="0"/>
    <n v="13400"/>
    <x v="0"/>
    <x v="0"/>
    <x v="0"/>
    <x v="0"/>
    <x v="0"/>
  </r>
  <r>
    <x v="2"/>
    <x v="0"/>
    <x v="0"/>
    <x v="0"/>
    <x v="0"/>
    <x v="2"/>
    <x v="2"/>
    <n v="20394"/>
    <s v="440000000330"/>
    <s v="BANCOLOMBIA CAYMAN"/>
    <s v="20190630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JUNIO 2019- CUENTA COMPENSACION  (TRM 3205.67)"/>
    <n v="349225.69"/>
    <n v="0"/>
    <n v="349225.69"/>
    <x v="0"/>
    <x v="0"/>
    <x v="0"/>
    <n v="349225.69"/>
    <n v="0"/>
    <n v="349225.69"/>
    <x v="0"/>
    <x v="0"/>
    <x v="0"/>
    <n v="349225.69"/>
    <n v="0"/>
    <n v="349225.69"/>
    <x v="0"/>
    <x v="0"/>
    <x v="0"/>
    <x v="0"/>
    <x v="0"/>
  </r>
  <r>
    <x v="3"/>
    <x v="0"/>
    <x v="0"/>
    <x v="0"/>
    <x v="0"/>
    <x v="2"/>
    <x v="2"/>
    <n v="20570"/>
    <s v="440000000330"/>
    <s v="BANCOLOMBIA CAYMAN"/>
    <s v="201907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0"/>
    <x v="0"/>
    <x v="0"/>
    <x v="0"/>
    <x v="0"/>
    <x v="0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AYMAN - COMISIONES MES DE JULIO ( TRM 3296,85)"/>
    <n v="728406.04"/>
    <n v="0"/>
    <n v="728406.04"/>
    <x v="0"/>
    <x v="0"/>
    <x v="0"/>
    <n v="728406.04"/>
    <n v="0"/>
    <n v="728406.04"/>
    <x v="0"/>
    <x v="0"/>
    <x v="0"/>
    <n v="728406.04"/>
    <n v="0"/>
    <n v="728406.04"/>
    <x v="0"/>
    <x v="0"/>
    <x v="0"/>
    <x v="0"/>
    <x v="0"/>
  </r>
  <r>
    <x v="4"/>
    <x v="0"/>
    <x v="0"/>
    <x v="0"/>
    <x v="0"/>
    <x v="2"/>
    <x v="2"/>
    <n v="20692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AGOSTO - COMISION EV4  LTDA"/>
    <n v="839345.14"/>
    <n v="0"/>
    <n v="839345.14"/>
    <x v="0"/>
    <x v="0"/>
    <x v="0"/>
    <n v="839345.14"/>
    <n v="0"/>
    <n v="839345.14"/>
    <x v="0"/>
    <x v="0"/>
    <x v="0"/>
    <n v="839345.14"/>
    <n v="0"/>
    <n v="839345.14"/>
    <x v="0"/>
    <x v="0"/>
    <x v="0"/>
    <x v="0"/>
    <x v="0"/>
  </r>
  <r>
    <x v="4"/>
    <x v="0"/>
    <x v="0"/>
    <x v="0"/>
    <x v="0"/>
    <x v="2"/>
    <x v="2"/>
    <n v="20693"/>
    <s v="890903938"/>
    <s v="BANCOLOMBIA S.A."/>
    <s v="201908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487484.73"/>
    <n v="0"/>
    <n v="487484.73"/>
    <x v="0"/>
    <x v="0"/>
    <x v="0"/>
    <n v="487484.73"/>
    <n v="0"/>
    <n v="487484.73"/>
    <x v="0"/>
    <x v="0"/>
    <x v="0"/>
    <n v="487484.73"/>
    <n v="0"/>
    <n v="487484.73"/>
    <x v="0"/>
    <x v="0"/>
    <x v="0"/>
    <x v="0"/>
    <x v="0"/>
  </r>
  <r>
    <x v="0"/>
    <x v="0"/>
    <x v="0"/>
    <x v="0"/>
    <x v="0"/>
    <x v="2"/>
    <x v="2"/>
    <n v="19416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AV VILLAS"/>
    <n v="641215"/>
    <n v="0"/>
    <n v="641215"/>
    <x v="0"/>
    <x v="0"/>
    <x v="0"/>
    <n v="641215"/>
    <n v="0"/>
    <n v="641215"/>
    <x v="0"/>
    <x v="0"/>
    <x v="0"/>
    <n v="641215"/>
    <n v="0"/>
    <n v="641215"/>
    <x v="0"/>
    <x v="0"/>
    <x v="0"/>
    <x v="0"/>
    <x v="0"/>
  </r>
  <r>
    <x v="0"/>
    <x v="0"/>
    <x v="0"/>
    <x v="0"/>
    <x v="0"/>
    <x v="2"/>
    <x v="2"/>
    <n v="19418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AV VILLAS"/>
    <n v="744412"/>
    <n v="0"/>
    <n v="744412"/>
    <x v="0"/>
    <x v="0"/>
    <x v="0"/>
    <n v="744412"/>
    <n v="0"/>
    <n v="744412"/>
    <x v="0"/>
    <x v="0"/>
    <x v="0"/>
    <n v="744412"/>
    <n v="0"/>
    <n v="744412"/>
    <x v="0"/>
    <x v="0"/>
    <x v="0"/>
    <x v="0"/>
    <x v="0"/>
  </r>
  <r>
    <x v="0"/>
    <x v="0"/>
    <x v="0"/>
    <x v="0"/>
    <x v="0"/>
    <x v="2"/>
    <x v="2"/>
    <n v="19419"/>
    <s v="860035827"/>
    <s v="BANCO AV VILLAS"/>
    <s v="201901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V VILLAS"/>
    <n v="434677"/>
    <n v="0"/>
    <n v="434677"/>
    <x v="0"/>
    <x v="0"/>
    <x v="0"/>
    <n v="434677"/>
    <n v="0"/>
    <n v="434677"/>
    <x v="0"/>
    <x v="0"/>
    <x v="0"/>
    <n v="434677"/>
    <n v="0"/>
    <n v="434677"/>
    <x v="0"/>
    <x v="0"/>
    <x v="0"/>
    <x v="0"/>
    <x v="0"/>
  </r>
  <r>
    <x v="0"/>
    <x v="0"/>
    <x v="0"/>
    <x v="0"/>
    <x v="0"/>
    <x v="2"/>
    <x v="2"/>
    <n v="19443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422-1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444"/>
    <s v="890300279"/>
    <s v="BANCO DE OCCIDENTE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 PAGO OBLIGACION 3957-8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447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49"/>
    <n v="786309.83"/>
    <n v="0"/>
    <n v="786309.83000000007"/>
    <x v="0"/>
    <x v="0"/>
    <x v="0"/>
    <n v="786309.83"/>
    <n v="0"/>
    <n v="786309.83000000007"/>
    <x v="0"/>
    <x v="0"/>
    <x v="0"/>
    <n v="786309.83"/>
    <n v="0"/>
    <n v="786309.83000000007"/>
    <x v="0"/>
    <x v="0"/>
    <x v="0"/>
    <x v="0"/>
    <x v="0"/>
  </r>
  <r>
    <x v="0"/>
    <x v="0"/>
    <x v="0"/>
    <x v="0"/>
    <x v="0"/>
    <x v="2"/>
    <x v="2"/>
    <n v="19448"/>
    <s v="860002964"/>
    <s v="BANCO DE BOGOTA S.A."/>
    <s v="2019011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PAGO OBLIGACION 3912"/>
    <n v="176493.89"/>
    <n v="0"/>
    <n v="176493.89"/>
    <x v="0"/>
    <x v="0"/>
    <x v="0"/>
    <n v="176493.89"/>
    <n v="0"/>
    <n v="176493.89"/>
    <x v="0"/>
    <x v="0"/>
    <x v="0"/>
    <n v="176493.89"/>
    <n v="0"/>
    <n v="176493.89"/>
    <x v="0"/>
    <x v="0"/>
    <x v="0"/>
    <x v="0"/>
    <x v="0"/>
  </r>
  <r>
    <x v="0"/>
    <x v="0"/>
    <x v="0"/>
    <x v="0"/>
    <x v="0"/>
    <x v="2"/>
    <x v="2"/>
    <n v="19552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450-00  BANCOLOMBIA"/>
    <n v="238606"/>
    <n v="0"/>
    <n v="238606"/>
    <x v="0"/>
    <x v="0"/>
    <x v="0"/>
    <n v="238606"/>
    <n v="0"/>
    <n v="238606"/>
    <x v="0"/>
    <x v="0"/>
    <x v="0"/>
    <n v="238606"/>
    <n v="0"/>
    <n v="238606"/>
    <x v="0"/>
    <x v="0"/>
    <x v="0"/>
    <x v="0"/>
    <x v="0"/>
  </r>
  <r>
    <x v="0"/>
    <x v="0"/>
    <x v="0"/>
    <x v="0"/>
    <x v="0"/>
    <x v="2"/>
    <x v="2"/>
    <n v="19553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MES DE ENERO DEL 2018- OBLIGACION  195962"/>
    <n v="315503"/>
    <n v="0"/>
    <n v="315503"/>
    <x v="0"/>
    <x v="0"/>
    <x v="0"/>
    <n v="315503"/>
    <n v="0"/>
    <n v="315503"/>
    <x v="0"/>
    <x v="0"/>
    <x v="0"/>
    <n v="315503"/>
    <n v="0"/>
    <n v="315503"/>
    <x v="0"/>
    <x v="0"/>
    <x v="0"/>
    <x v="0"/>
    <x v="0"/>
  </r>
  <r>
    <x v="0"/>
    <x v="0"/>
    <x v="0"/>
    <x v="0"/>
    <x v="0"/>
    <x v="2"/>
    <x v="2"/>
    <n v="19554"/>
    <s v="890903938"/>
    <s v="BANCOLOMBIA S.A."/>
    <s v="201901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CUOTA MES DE ENERO"/>
    <n v="70998"/>
    <n v="0"/>
    <n v="70998"/>
    <x v="0"/>
    <x v="0"/>
    <x v="0"/>
    <n v="70998"/>
    <n v="0"/>
    <n v="70998"/>
    <x v="0"/>
    <x v="0"/>
    <x v="0"/>
    <n v="70998"/>
    <n v="0"/>
    <n v="70998"/>
    <x v="0"/>
    <x v="0"/>
    <x v="0"/>
    <x v="0"/>
    <x v="0"/>
  </r>
  <r>
    <x v="0"/>
    <x v="0"/>
    <x v="0"/>
    <x v="0"/>
    <x v="0"/>
    <x v="2"/>
    <x v="2"/>
    <n v="19613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"/>
    <n v="1042149"/>
    <n v="0"/>
    <n v="1042149"/>
    <x v="0"/>
    <x v="0"/>
    <x v="0"/>
    <n v="1042149"/>
    <n v="0"/>
    <n v="1042149"/>
    <x v="0"/>
    <x v="0"/>
    <x v="0"/>
    <n v="1042149"/>
    <n v="0"/>
    <n v="1042149"/>
    <x v="0"/>
    <x v="0"/>
    <x v="0"/>
    <x v="0"/>
    <x v="0"/>
  </r>
  <r>
    <x v="0"/>
    <x v="0"/>
    <x v="0"/>
    <x v="0"/>
    <x v="0"/>
    <x v="2"/>
    <x v="2"/>
    <n v="19599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 BANCOLOMBIA"/>
    <n v="2746275"/>
    <n v="0"/>
    <n v="2746275"/>
    <x v="0"/>
    <x v="0"/>
    <x v="0"/>
    <n v="2746275"/>
    <n v="0"/>
    <n v="2746275"/>
    <x v="0"/>
    <x v="0"/>
    <x v="0"/>
    <n v="2746275"/>
    <n v="0"/>
    <n v="2746275"/>
    <x v="0"/>
    <x v="0"/>
    <x v="0"/>
    <x v="0"/>
    <x v="0"/>
  </r>
  <r>
    <x v="0"/>
    <x v="0"/>
    <x v="0"/>
    <x v="0"/>
    <x v="0"/>
    <x v="2"/>
    <x v="2"/>
    <n v="19600"/>
    <s v="890903938"/>
    <s v="BANCOLOMBIA S.A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598 BANCOLOMBIA"/>
    <n v="62500"/>
    <n v="0"/>
    <n v="62500"/>
    <x v="0"/>
    <x v="0"/>
    <x v="0"/>
    <n v="62500"/>
    <n v="0"/>
    <n v="62500"/>
    <x v="0"/>
    <x v="0"/>
    <x v="0"/>
    <n v="62500"/>
    <n v="0"/>
    <n v="62500"/>
    <x v="0"/>
    <x v="0"/>
    <x v="0"/>
    <x v="0"/>
    <x v="0"/>
  </r>
  <r>
    <x v="0"/>
    <x v="0"/>
    <x v="0"/>
    <x v="0"/>
    <x v="0"/>
    <x v="2"/>
    <x v="2"/>
    <n v="19628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4221 BANCO DE OCCIDENTE ( CUOTA DOBLE EN ENERO 2019)"/>
    <n v="176196"/>
    <n v="0"/>
    <n v="176196"/>
    <x v="0"/>
    <x v="0"/>
    <x v="0"/>
    <n v="176196"/>
    <n v="0"/>
    <n v="176196"/>
    <x v="0"/>
    <x v="0"/>
    <x v="0"/>
    <n v="176196"/>
    <n v="0"/>
    <n v="176196"/>
    <x v="0"/>
    <x v="0"/>
    <x v="0"/>
    <x v="0"/>
    <x v="0"/>
  </r>
  <r>
    <x v="0"/>
    <x v="0"/>
    <x v="0"/>
    <x v="0"/>
    <x v="0"/>
    <x v="2"/>
    <x v="2"/>
    <n v="19629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0"/>
    <x v="0"/>
    <x v="0"/>
    <x v="0"/>
    <x v="0"/>
    <x v="2"/>
    <x v="2"/>
    <n v="19632"/>
    <s v="890300279"/>
    <s v="BANCO DE OCCIDENTE."/>
    <s v="201901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8  BANCO DE OCCIDENTE ( CUOTA X 2 DOBLE EN ENERO 2019)"/>
    <n v="811915"/>
    <n v="0"/>
    <n v="811915"/>
    <x v="0"/>
    <x v="0"/>
    <x v="0"/>
    <n v="811915"/>
    <n v="0"/>
    <n v="811915"/>
    <x v="0"/>
    <x v="0"/>
    <x v="0"/>
    <n v="811915"/>
    <n v="0"/>
    <n v="811915"/>
    <x v="0"/>
    <x v="0"/>
    <x v="0"/>
    <x v="0"/>
    <x v="0"/>
  </r>
  <r>
    <x v="1"/>
    <x v="0"/>
    <x v="0"/>
    <x v="0"/>
    <x v="0"/>
    <x v="2"/>
    <x v="2"/>
    <n v="19602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527366 -7"/>
    <n v="1362153"/>
    <n v="0"/>
    <n v="1362153"/>
    <x v="0"/>
    <x v="0"/>
    <x v="0"/>
    <n v="1362153"/>
    <n v="0"/>
    <n v="1362153"/>
    <x v="0"/>
    <x v="0"/>
    <x v="0"/>
    <n v="1362153"/>
    <n v="0"/>
    <n v="1362153"/>
    <x v="0"/>
    <x v="0"/>
    <x v="0"/>
    <x v="0"/>
    <x v="0"/>
  </r>
  <r>
    <x v="1"/>
    <x v="0"/>
    <x v="0"/>
    <x v="0"/>
    <x v="0"/>
    <x v="2"/>
    <x v="2"/>
    <n v="19603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459791-4 -7"/>
    <n v="814729"/>
    <n v="0"/>
    <n v="814729"/>
    <x v="0"/>
    <x v="0"/>
    <x v="0"/>
    <n v="814729"/>
    <n v="0"/>
    <n v="814729"/>
    <x v="0"/>
    <x v="0"/>
    <x v="0"/>
    <n v="814729"/>
    <n v="0"/>
    <n v="814729"/>
    <x v="0"/>
    <x v="0"/>
    <x v="0"/>
    <x v="0"/>
    <x v="0"/>
  </r>
  <r>
    <x v="1"/>
    <x v="0"/>
    <x v="0"/>
    <x v="0"/>
    <x v="0"/>
    <x v="2"/>
    <x v="2"/>
    <n v="19605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277483-7"/>
    <n v="365269"/>
    <n v="0"/>
    <n v="365269"/>
    <x v="0"/>
    <x v="0"/>
    <x v="0"/>
    <n v="365269"/>
    <n v="0"/>
    <n v="365269"/>
    <x v="0"/>
    <x v="0"/>
    <x v="0"/>
    <n v="365269"/>
    <n v="0"/>
    <n v="365269"/>
    <x v="0"/>
    <x v="0"/>
    <x v="0"/>
    <x v="0"/>
    <x v="0"/>
  </r>
  <r>
    <x v="1"/>
    <x v="0"/>
    <x v="0"/>
    <x v="0"/>
    <x v="0"/>
    <x v="2"/>
    <x v="2"/>
    <n v="19597"/>
    <s v="860035827"/>
    <s v="BANCO AV VILLAS"/>
    <s v="201902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8138-3 AV VILLAS"/>
    <n v="32322"/>
    <n v="0"/>
    <n v="32322"/>
    <x v="0"/>
    <x v="0"/>
    <x v="0"/>
    <n v="32322"/>
    <n v="0"/>
    <n v="32322"/>
    <x v="0"/>
    <x v="0"/>
    <x v="0"/>
    <n v="32322"/>
    <n v="0"/>
    <n v="32322"/>
    <x v="0"/>
    <x v="0"/>
    <x v="0"/>
    <x v="0"/>
    <x v="0"/>
  </r>
  <r>
    <x v="1"/>
    <x v="0"/>
    <x v="0"/>
    <x v="0"/>
    <x v="0"/>
    <x v="2"/>
    <x v="2"/>
    <n v="19614"/>
    <s v="860002964"/>
    <s v="BANCO DE BOGOT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3912 BANCO DE BOGOTA"/>
    <n v="162543.9"/>
    <n v="0"/>
    <n v="162543.9"/>
    <x v="0"/>
    <x v="0"/>
    <x v="0"/>
    <n v="162543.9"/>
    <n v="0"/>
    <n v="162543.9"/>
    <x v="0"/>
    <x v="0"/>
    <x v="0"/>
    <n v="162543.9"/>
    <n v="0"/>
    <n v="162543.9"/>
    <x v="0"/>
    <x v="0"/>
    <x v="0"/>
    <x v="0"/>
    <x v="0"/>
  </r>
  <r>
    <x v="1"/>
    <x v="0"/>
    <x v="0"/>
    <x v="0"/>
    <x v="0"/>
    <x v="2"/>
    <x v="2"/>
    <n v="19616"/>
    <s v="890903938"/>
    <s v="BANCOLOMBIA S.A."/>
    <s v="201902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88263  BANCOLOMBIA"/>
    <n v="2618389"/>
    <n v="0"/>
    <n v="2618389"/>
    <x v="0"/>
    <x v="0"/>
    <x v="0"/>
    <n v="2618389"/>
    <n v="0"/>
    <n v="2618389"/>
    <x v="0"/>
    <x v="0"/>
    <x v="0"/>
    <n v="2618389"/>
    <n v="0"/>
    <n v="2618389"/>
    <x v="0"/>
    <x v="0"/>
    <x v="0"/>
    <x v="0"/>
    <x v="0"/>
  </r>
  <r>
    <x v="1"/>
    <x v="0"/>
    <x v="0"/>
    <x v="0"/>
    <x v="0"/>
    <x v="2"/>
    <x v="2"/>
    <n v="19652"/>
    <s v="860007660"/>
    <s v="HELM BANK S.A."/>
    <s v="201902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4225 HELM BANCK- GASTO DE AMAZON DENNY SANCHEZ"/>
    <n v="18395.36"/>
    <n v="0"/>
    <n v="18395.36"/>
    <x v="0"/>
    <x v="0"/>
    <x v="0"/>
    <n v="18395.36"/>
    <n v="0"/>
    <n v="18395.36"/>
    <x v="0"/>
    <x v="0"/>
    <x v="0"/>
    <n v="18395.36"/>
    <n v="0"/>
    <n v="18395.36"/>
    <x v="0"/>
    <x v="0"/>
    <x v="0"/>
    <x v="0"/>
    <x v="0"/>
  </r>
  <r>
    <x v="1"/>
    <x v="0"/>
    <x v="0"/>
    <x v="0"/>
    <x v="0"/>
    <x v="2"/>
    <x v="2"/>
    <n v="19666"/>
    <s v="890903938"/>
    <s v="BANCOLOMBIA S.A."/>
    <s v="2019021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 CUOTA 26"/>
    <n v="304422"/>
    <n v="0"/>
    <n v="304422"/>
    <x v="0"/>
    <x v="0"/>
    <x v="0"/>
    <n v="304422"/>
    <n v="0"/>
    <n v="304422"/>
    <x v="0"/>
    <x v="0"/>
    <x v="0"/>
    <n v="304422"/>
    <n v="0"/>
    <n v="304422"/>
    <x v="0"/>
    <x v="0"/>
    <x v="0"/>
    <x v="0"/>
    <x v="0"/>
  </r>
  <r>
    <x v="1"/>
    <x v="0"/>
    <x v="0"/>
    <x v="0"/>
    <x v="0"/>
    <x v="12"/>
    <x v="12"/>
    <n v="6883"/>
    <s v="860035827"/>
    <s v="BANCO AV VILLAS"/>
    <s v="201902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002527366-7"/>
    <n v="9800"/>
    <n v="0"/>
    <n v="9800"/>
    <x v="0"/>
    <x v="0"/>
    <x v="0"/>
    <n v="9800"/>
    <n v="0"/>
    <n v="9800"/>
    <x v="0"/>
    <x v="0"/>
    <x v="0"/>
    <n v="9800"/>
    <n v="0"/>
    <n v="9800"/>
    <x v="0"/>
    <x v="0"/>
    <x v="0"/>
    <x v="0"/>
    <x v="0"/>
  </r>
  <r>
    <x v="1"/>
    <x v="0"/>
    <x v="0"/>
    <x v="0"/>
    <x v="0"/>
    <x v="2"/>
    <x v="2"/>
    <n v="19763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CUOTA FEB CREDITO CESANTIAS -"/>
    <n v="31717.31"/>
    <n v="0"/>
    <n v="31717.31"/>
    <x v="0"/>
    <x v="0"/>
    <x v="0"/>
    <n v="31717.31"/>
    <n v="0"/>
    <n v="31717.31"/>
    <x v="0"/>
    <x v="0"/>
    <x v="0"/>
    <n v="31717.31"/>
    <n v="0"/>
    <n v="31717.31"/>
    <x v="0"/>
    <x v="0"/>
    <x v="0"/>
    <x v="0"/>
    <x v="0"/>
  </r>
  <r>
    <x v="1"/>
    <x v="0"/>
    <x v="0"/>
    <x v="0"/>
    <x v="0"/>
    <x v="2"/>
    <x v="2"/>
    <n v="19764"/>
    <s v="890903938"/>
    <s v="BANCOLOMBIA S.A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FEB CREDITO 9670084268"/>
    <n v="1006853"/>
    <n v="0"/>
    <n v="1006853"/>
    <x v="0"/>
    <x v="0"/>
    <x v="0"/>
    <n v="1006853"/>
    <n v="0"/>
    <n v="1006853"/>
    <x v="0"/>
    <x v="0"/>
    <x v="0"/>
    <n v="1006853"/>
    <n v="0"/>
    <n v="1006853"/>
    <x v="0"/>
    <x v="0"/>
    <x v="0"/>
    <x v="0"/>
    <x v="0"/>
  </r>
  <r>
    <x v="1"/>
    <x v="0"/>
    <x v="0"/>
    <x v="0"/>
    <x v="0"/>
    <x v="2"/>
    <x v="2"/>
    <n v="19774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NI 19662 - SE CORRIGEN CUENTAS CONTABLES"/>
    <n v="0"/>
    <n v="811915"/>
    <n v="-811915"/>
    <x v="0"/>
    <x v="0"/>
    <x v="0"/>
    <n v="0"/>
    <n v="811915"/>
    <n v="-811915"/>
    <x v="0"/>
    <x v="0"/>
    <x v="0"/>
    <n v="0"/>
    <n v="811915"/>
    <n v="-811915"/>
    <x v="0"/>
    <x v="0"/>
    <x v="0"/>
    <x v="0"/>
    <x v="0"/>
  </r>
  <r>
    <x v="1"/>
    <x v="0"/>
    <x v="0"/>
    <x v="0"/>
    <x v="0"/>
    <x v="2"/>
    <x v="2"/>
    <n v="19776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- FEB 2019"/>
    <n v="775198"/>
    <n v="0"/>
    <n v="775198"/>
    <x v="0"/>
    <x v="0"/>
    <x v="0"/>
    <n v="775198"/>
    <n v="0"/>
    <n v="775198"/>
    <x v="0"/>
    <x v="0"/>
    <x v="0"/>
    <n v="775198"/>
    <n v="0"/>
    <n v="775198"/>
    <x v="0"/>
    <x v="0"/>
    <x v="0"/>
    <x v="0"/>
    <x v="0"/>
  </r>
  <r>
    <x v="1"/>
    <x v="0"/>
    <x v="0"/>
    <x v="0"/>
    <x v="0"/>
    <x v="2"/>
    <x v="2"/>
    <n v="19777"/>
    <s v="890300279"/>
    <s v="BANCO DE OCCIDENTE."/>
    <s v="2019022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LEASIGN 180-124073- FEB 2019"/>
    <n v="267844"/>
    <n v="0"/>
    <n v="267844"/>
    <x v="0"/>
    <x v="0"/>
    <x v="0"/>
    <n v="267844"/>
    <n v="0"/>
    <n v="267844"/>
    <x v="0"/>
    <x v="0"/>
    <x v="0"/>
    <n v="267844"/>
    <n v="0"/>
    <n v="267844"/>
    <x v="0"/>
    <x v="0"/>
    <x v="0"/>
    <x v="0"/>
    <x v="0"/>
  </r>
  <r>
    <x v="5"/>
    <x v="0"/>
    <x v="0"/>
    <x v="0"/>
    <x v="0"/>
    <x v="2"/>
    <x v="2"/>
    <n v="19804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957-8"/>
    <n v="728074"/>
    <n v="0"/>
    <n v="728074"/>
    <x v="0"/>
    <x v="0"/>
    <x v="0"/>
    <n v="728074"/>
    <n v="0"/>
    <n v="728074"/>
    <x v="0"/>
    <x v="0"/>
    <x v="0"/>
    <n v="728074"/>
    <n v="0"/>
    <n v="728074"/>
    <x v="0"/>
    <x v="0"/>
    <x v="0"/>
    <x v="0"/>
    <x v="0"/>
  </r>
  <r>
    <x v="6"/>
    <x v="0"/>
    <x v="0"/>
    <x v="0"/>
    <x v="0"/>
    <x v="11"/>
    <x v="11"/>
    <n v="26223"/>
    <s v="1036930909"/>
    <s v="ALZATE SANCHEZ NATACHA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11"/>
    <x v="11"/>
    <n v="26224"/>
    <s v="1045717933"/>
    <s v="PALMA GUTIERREZ KETTY JANETH"/>
    <s v="2019051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 + GASTOS BANCARI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2"/>
    <x v="2"/>
    <n v="20256"/>
    <s v="440000000330"/>
    <s v="BANCOLOMBIA CAYMAN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2019 (TRM 3357.82)"/>
    <n v="836097.18"/>
    <n v="0"/>
    <n v="836097.18"/>
    <x v="0"/>
    <x v="0"/>
    <x v="0"/>
    <n v="836097.18"/>
    <n v="0"/>
    <n v="836097.18"/>
    <x v="0"/>
    <x v="0"/>
    <x v="0"/>
    <n v="836097.18"/>
    <n v="0"/>
    <n v="836097.18"/>
    <x v="0"/>
    <x v="0"/>
    <x v="0"/>
    <x v="0"/>
    <x v="0"/>
  </r>
  <r>
    <x v="6"/>
    <x v="0"/>
    <x v="0"/>
    <x v="0"/>
    <x v="0"/>
    <x v="2"/>
    <x v="2"/>
    <n v="20257"/>
    <s v="444444477"/>
    <s v="EV4 LIMITED"/>
    <s v="20190531"/>
    <x v="17"/>
    <x v="0"/>
    <x v="17"/>
    <x v="0"/>
    <x v="0"/>
    <x v="0"/>
    <x v="0"/>
    <x v="0"/>
    <x v="2"/>
    <x v="2"/>
    <x v="13"/>
    <x v="12"/>
    <x v="17"/>
    <x v="17"/>
    <x v="17"/>
    <x v="17"/>
    <x v="17"/>
    <x v="17"/>
    <x v="17"/>
    <x v="17"/>
    <x v="1"/>
    <x v="1"/>
    <x v="1"/>
    <x v="1"/>
    <x v="1"/>
    <x v="1"/>
    <s v="444444477"/>
    <s v="EV4 LIMITE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PAYPAL  -PAGO FC SI-9109 EV4 LIMITED (USD 3515  - TRM 3464.18)  OCA 1466"/>
    <n v="608861"/>
    <n v="0"/>
    <n v="608861"/>
    <x v="0"/>
    <x v="0"/>
    <x v="0"/>
    <n v="608861"/>
    <n v="0"/>
    <n v="608861"/>
    <x v="0"/>
    <x v="0"/>
    <x v="0"/>
    <n v="608861"/>
    <n v="0"/>
    <n v="608861"/>
    <x v="0"/>
    <x v="0"/>
    <x v="0"/>
    <x v="0"/>
    <x v="0"/>
  </r>
  <r>
    <x v="0"/>
    <x v="0"/>
    <x v="0"/>
    <x v="0"/>
    <x v="0"/>
    <x v="2"/>
    <x v="2"/>
    <n v="19526"/>
    <s v="860002964"/>
    <s v="BANCO DE BOGOTA S.A."/>
    <s v="201901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  - PAGO CREDITO ROTATIVO"/>
    <n v="2578009.7200000002"/>
    <n v="0"/>
    <n v="2578009.7199999997"/>
    <x v="0"/>
    <x v="0"/>
    <x v="0"/>
    <n v="2578009.7200000002"/>
    <n v="0"/>
    <n v="2578009.7199999997"/>
    <x v="0"/>
    <x v="0"/>
    <x v="0"/>
    <n v="2578009.7200000002"/>
    <n v="0"/>
    <n v="2578009.7199999997"/>
    <x v="0"/>
    <x v="0"/>
    <x v="0"/>
    <x v="0"/>
    <x v="0"/>
  </r>
  <r>
    <x v="1"/>
    <x v="0"/>
    <x v="0"/>
    <x v="0"/>
    <x v="0"/>
    <x v="2"/>
    <x v="2"/>
    <n v="19636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8580  BANCO DE OCCIDENTE CUOTA 1 DE 36"/>
    <n v="278630"/>
    <n v="0"/>
    <n v="278630"/>
    <x v="0"/>
    <x v="0"/>
    <x v="0"/>
    <n v="278630"/>
    <n v="0"/>
    <n v="278630"/>
    <x v="0"/>
    <x v="0"/>
    <x v="0"/>
    <n v="278630"/>
    <n v="0"/>
    <n v="278630"/>
    <x v="0"/>
    <x v="0"/>
    <x v="0"/>
    <x v="0"/>
    <x v="0"/>
  </r>
  <r>
    <x v="1"/>
    <x v="0"/>
    <x v="0"/>
    <x v="0"/>
    <x v="0"/>
    <x v="2"/>
    <x v="2"/>
    <n v="19637"/>
    <s v="890300279"/>
    <s v="BANCO DE OCCIDENTE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241-4  BANCO DE OCIDENTE"/>
    <n v="78490"/>
    <n v="0"/>
    <n v="78490"/>
    <x v="0"/>
    <x v="0"/>
    <x v="0"/>
    <n v="78490"/>
    <n v="0"/>
    <n v="78490"/>
    <x v="0"/>
    <x v="0"/>
    <x v="0"/>
    <n v="78490"/>
    <n v="0"/>
    <n v="78490"/>
    <x v="0"/>
    <x v="0"/>
    <x v="0"/>
    <x v="0"/>
    <x v="0"/>
  </r>
  <r>
    <x v="1"/>
    <x v="0"/>
    <x v="0"/>
    <x v="0"/>
    <x v="0"/>
    <x v="2"/>
    <x v="2"/>
    <n v="19638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231025"/>
    <n v="0"/>
    <n v="231025"/>
    <x v="0"/>
    <x v="0"/>
    <x v="0"/>
    <n v="231025"/>
    <n v="0"/>
    <n v="231025"/>
    <x v="0"/>
    <x v="0"/>
    <x v="0"/>
    <n v="231025"/>
    <n v="0"/>
    <n v="231025"/>
    <x v="0"/>
    <x v="0"/>
    <x v="0"/>
    <x v="0"/>
    <x v="0"/>
  </r>
  <r>
    <x v="1"/>
    <x v="0"/>
    <x v="0"/>
    <x v="0"/>
    <x v="0"/>
    <x v="2"/>
    <x v="2"/>
    <n v="19639"/>
    <s v="890903938"/>
    <s v="BANCOLOMBIA S.A."/>
    <s v="201902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68019"/>
    <n v="0"/>
    <n v="68019"/>
    <x v="0"/>
    <x v="0"/>
    <x v="0"/>
    <n v="68019"/>
    <n v="0"/>
    <n v="68019"/>
    <x v="0"/>
    <x v="0"/>
    <x v="0"/>
    <n v="68019"/>
    <n v="0"/>
    <n v="68019"/>
    <x v="0"/>
    <x v="0"/>
    <x v="0"/>
    <x v="0"/>
    <x v="0"/>
  </r>
  <r>
    <x v="1"/>
    <x v="0"/>
    <x v="0"/>
    <x v="0"/>
    <x v="0"/>
    <x v="2"/>
    <x v="2"/>
    <n v="19716"/>
    <s v="860002964"/>
    <s v="BANCO DE BOGOTA S.A."/>
    <s v="201902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BOGOTA CUOTA FEBRERO"/>
    <n v="386815.36"/>
    <n v="0"/>
    <n v="386815.36"/>
    <x v="0"/>
    <x v="0"/>
    <x v="0"/>
    <n v="386815.36"/>
    <n v="0"/>
    <n v="386815.36"/>
    <x v="0"/>
    <x v="0"/>
    <x v="0"/>
    <n v="386815.36"/>
    <n v="0"/>
    <n v="386815.36"/>
    <x v="0"/>
    <x v="0"/>
    <x v="0"/>
    <x v="0"/>
    <x v="0"/>
  </r>
  <r>
    <x v="5"/>
    <x v="0"/>
    <x v="0"/>
    <x v="0"/>
    <x v="0"/>
    <x v="2"/>
    <x v="2"/>
    <n v="19795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59791-4"/>
    <n v="767761"/>
    <n v="0"/>
    <n v="767761"/>
    <x v="0"/>
    <x v="0"/>
    <x v="0"/>
    <n v="767761"/>
    <n v="0"/>
    <n v="767761"/>
    <x v="0"/>
    <x v="0"/>
    <x v="0"/>
    <n v="767761"/>
    <n v="0"/>
    <n v="767761"/>
    <x v="0"/>
    <x v="0"/>
    <x v="0"/>
    <x v="0"/>
    <x v="0"/>
  </r>
  <r>
    <x v="5"/>
    <x v="0"/>
    <x v="0"/>
    <x v="0"/>
    <x v="0"/>
    <x v="2"/>
    <x v="2"/>
    <n v="19796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565906-3"/>
    <n v="610745"/>
    <n v="0"/>
    <n v="610745"/>
    <x v="0"/>
    <x v="0"/>
    <x v="0"/>
    <n v="610745"/>
    <n v="0"/>
    <n v="610745"/>
    <x v="0"/>
    <x v="0"/>
    <x v="0"/>
    <n v="610745"/>
    <n v="0"/>
    <n v="610745"/>
    <x v="0"/>
    <x v="0"/>
    <x v="0"/>
    <x v="0"/>
    <x v="0"/>
  </r>
  <r>
    <x v="5"/>
    <x v="0"/>
    <x v="0"/>
    <x v="0"/>
    <x v="0"/>
    <x v="2"/>
    <x v="2"/>
    <n v="19797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- CUOTA CREDITO 002460520-1"/>
    <n v="763089"/>
    <n v="0"/>
    <n v="763089"/>
    <x v="0"/>
    <x v="0"/>
    <x v="0"/>
    <n v="763089"/>
    <n v="0"/>
    <n v="763089"/>
    <x v="0"/>
    <x v="0"/>
    <x v="0"/>
    <n v="763089"/>
    <n v="0"/>
    <n v="763089"/>
    <x v="0"/>
    <x v="0"/>
    <x v="0"/>
    <x v="0"/>
    <x v="0"/>
  </r>
  <r>
    <x v="5"/>
    <x v="0"/>
    <x v="0"/>
    <x v="0"/>
    <x v="0"/>
    <x v="2"/>
    <x v="2"/>
    <n v="19798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943912"/>
    <n v="146026.43"/>
    <n v="0"/>
    <n v="146026.43"/>
    <x v="0"/>
    <x v="0"/>
    <x v="0"/>
    <n v="146026.43"/>
    <n v="0"/>
    <n v="146026.43"/>
    <x v="0"/>
    <x v="0"/>
    <x v="0"/>
    <n v="146026.43"/>
    <n v="0"/>
    <n v="146026.43"/>
    <x v="0"/>
    <x v="0"/>
    <x v="0"/>
    <x v="0"/>
    <x v="0"/>
  </r>
  <r>
    <x v="5"/>
    <x v="0"/>
    <x v="0"/>
    <x v="0"/>
    <x v="0"/>
    <x v="2"/>
    <x v="2"/>
    <n v="19799"/>
    <s v="860002964"/>
    <s v="BANCO DE BOGOT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BOGOTA- CUOTA CREDITO 358659284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5"/>
    <x v="0"/>
    <x v="0"/>
    <x v="0"/>
    <x v="0"/>
    <x v="2"/>
    <x v="2"/>
    <n v="19800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CREDITO 13422-1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5"/>
    <x v="0"/>
    <x v="0"/>
    <x v="0"/>
    <x v="0"/>
    <x v="2"/>
    <x v="2"/>
    <n v="19801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4073 CUOTA 9/36"/>
    <n v="216028"/>
    <n v="0"/>
    <n v="216028"/>
    <x v="0"/>
    <x v="0"/>
    <x v="0"/>
    <n v="216028"/>
    <n v="0"/>
    <n v="216028"/>
    <x v="0"/>
    <x v="0"/>
    <x v="0"/>
    <n v="216028"/>
    <n v="0"/>
    <n v="216028"/>
    <x v="0"/>
    <x v="0"/>
    <x v="0"/>
    <x v="0"/>
    <x v="0"/>
  </r>
  <r>
    <x v="5"/>
    <x v="0"/>
    <x v="0"/>
    <x v="0"/>
    <x v="0"/>
    <x v="2"/>
    <x v="2"/>
    <n v="19802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REDITO 13241-4"/>
    <n v="0"/>
    <n v="133529"/>
    <n v="-133529"/>
    <x v="0"/>
    <x v="0"/>
    <x v="0"/>
    <n v="0"/>
    <n v="133529"/>
    <n v="-133529"/>
    <x v="0"/>
    <x v="0"/>
    <x v="0"/>
    <n v="0"/>
    <n v="133529"/>
    <n v="-133529"/>
    <x v="0"/>
    <x v="0"/>
    <x v="0"/>
    <x v="0"/>
    <x v="0"/>
  </r>
  <r>
    <x v="5"/>
    <x v="0"/>
    <x v="0"/>
    <x v="0"/>
    <x v="0"/>
    <x v="2"/>
    <x v="2"/>
    <n v="19803"/>
    <s v="890300279"/>
    <s v="BANCO DE OCCIDENTE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DE OCCIDENTE- CUOTA LEASING 180-128580 CUOTA 2/36"/>
    <n v="272480"/>
    <n v="0"/>
    <n v="272480"/>
    <x v="0"/>
    <x v="0"/>
    <x v="0"/>
    <n v="272480"/>
    <n v="0"/>
    <n v="272480"/>
    <x v="0"/>
    <x v="0"/>
    <x v="0"/>
    <n v="272480"/>
    <n v="0"/>
    <n v="272480"/>
    <x v="0"/>
    <x v="0"/>
    <x v="0"/>
    <x v="0"/>
    <x v="0"/>
  </r>
  <r>
    <x v="0"/>
    <x v="0"/>
    <x v="0"/>
    <x v="0"/>
    <x v="0"/>
    <x v="2"/>
    <x v="2"/>
    <n v="19396"/>
    <s v="860035827"/>
    <s v="BANCO AV VILLAS"/>
    <s v="201901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OBLIG 78138-3 CUOTA MES DE ENERO 2019"/>
    <n v="76777"/>
    <n v="0"/>
    <n v="76777"/>
    <x v="0"/>
    <x v="0"/>
    <x v="0"/>
    <n v="76777"/>
    <n v="0"/>
    <n v="76777"/>
    <x v="0"/>
    <x v="0"/>
    <x v="0"/>
    <n v="76777"/>
    <n v="0"/>
    <n v="76777"/>
    <x v="0"/>
    <x v="0"/>
    <x v="0"/>
    <x v="0"/>
    <x v="0"/>
  </r>
  <r>
    <x v="5"/>
    <x v="0"/>
    <x v="0"/>
    <x v="0"/>
    <x v="0"/>
    <x v="2"/>
    <x v="2"/>
    <n v="19806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8263"/>
    <n v="2484725"/>
    <n v="0"/>
    <n v="2484725"/>
    <x v="0"/>
    <x v="0"/>
    <x v="0"/>
    <n v="2484725"/>
    <n v="0"/>
    <n v="2484725"/>
    <x v="0"/>
    <x v="0"/>
    <x v="0"/>
    <n v="2484725"/>
    <n v="0"/>
    <n v="2484725"/>
    <x v="0"/>
    <x v="0"/>
    <x v="0"/>
    <x v="0"/>
    <x v="0"/>
  </r>
  <r>
    <x v="5"/>
    <x v="0"/>
    <x v="0"/>
    <x v="0"/>
    <x v="0"/>
    <x v="2"/>
    <x v="2"/>
    <n v="19807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5738"/>
    <n v="413612"/>
    <n v="0"/>
    <n v="413612"/>
    <x v="0"/>
    <x v="0"/>
    <x v="0"/>
    <n v="413612"/>
    <n v="0"/>
    <n v="413612"/>
    <x v="0"/>
    <x v="0"/>
    <x v="0"/>
    <n v="413612"/>
    <n v="0"/>
    <n v="413612"/>
    <x v="0"/>
    <x v="0"/>
    <x v="0"/>
    <x v="0"/>
    <x v="0"/>
  </r>
  <r>
    <x v="5"/>
    <x v="0"/>
    <x v="0"/>
    <x v="0"/>
    <x v="0"/>
    <x v="2"/>
    <x v="2"/>
    <n v="19808"/>
    <s v="890903938"/>
    <s v="BANCOLOMBIA S.A.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- CUOTA CREDITO 84268"/>
    <n v="957944"/>
    <n v="0"/>
    <n v="957944"/>
    <x v="0"/>
    <x v="0"/>
    <x v="0"/>
    <n v="957944"/>
    <n v="0"/>
    <n v="957944"/>
    <x v="0"/>
    <x v="0"/>
    <x v="0"/>
    <n v="957944"/>
    <n v="0"/>
    <n v="957944"/>
    <x v="0"/>
    <x v="0"/>
    <x v="0"/>
    <x v="0"/>
    <x v="0"/>
  </r>
  <r>
    <x v="5"/>
    <x v="0"/>
    <x v="0"/>
    <x v="0"/>
    <x v="0"/>
    <x v="2"/>
    <x v="2"/>
    <n v="19809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277483-7"/>
    <n v="3068251"/>
    <n v="0"/>
    <n v="3068251"/>
    <x v="0"/>
    <x v="0"/>
    <x v="0"/>
    <n v="3068251"/>
    <n v="0"/>
    <n v="3068251"/>
    <x v="0"/>
    <x v="0"/>
    <x v="0"/>
    <n v="3068251"/>
    <n v="0"/>
    <n v="3068251"/>
    <x v="0"/>
    <x v="0"/>
    <x v="0"/>
    <x v="0"/>
    <x v="0"/>
  </r>
  <r>
    <x v="5"/>
    <x v="0"/>
    <x v="0"/>
    <x v="0"/>
    <x v="0"/>
    <x v="2"/>
    <x v="2"/>
    <n v="19810"/>
    <s v="860035827"/>
    <s v="BANCO AV VILLAS"/>
    <s v="201903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- CUOTA CREDITO 2527366-7"/>
    <n v="1323134"/>
    <n v="0"/>
    <n v="1323134"/>
    <x v="0"/>
    <x v="0"/>
    <x v="0"/>
    <n v="1323134"/>
    <n v="0"/>
    <n v="1323134"/>
    <x v="0"/>
    <x v="0"/>
    <x v="0"/>
    <n v="1323134"/>
    <n v="0"/>
    <n v="1323134"/>
    <x v="0"/>
    <x v="0"/>
    <x v="0"/>
    <x v="0"/>
    <x v="0"/>
  </r>
  <r>
    <x v="5"/>
    <x v="0"/>
    <x v="0"/>
    <x v="0"/>
    <x v="0"/>
    <x v="2"/>
    <x v="2"/>
    <n v="19844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0  BANCOLOMBIA"/>
    <n v="223372"/>
    <n v="0"/>
    <n v="223372"/>
    <x v="0"/>
    <x v="0"/>
    <x v="0"/>
    <n v="223372"/>
    <n v="0"/>
    <n v="223372"/>
    <x v="0"/>
    <x v="0"/>
    <x v="0"/>
    <n v="223372"/>
    <n v="0"/>
    <n v="223372"/>
    <x v="0"/>
    <x v="0"/>
    <x v="0"/>
    <x v="0"/>
    <x v="0"/>
  </r>
  <r>
    <x v="5"/>
    <x v="0"/>
    <x v="0"/>
    <x v="0"/>
    <x v="0"/>
    <x v="2"/>
    <x v="2"/>
    <n v="19845"/>
    <s v="890903938"/>
    <s v="BANCOLOMBIA S.A."/>
    <s v="2019031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BANCOLOMBIA  CUOTA 35"/>
    <n v="64751"/>
    <n v="0"/>
    <n v="64751"/>
    <x v="0"/>
    <x v="0"/>
    <x v="0"/>
    <n v="64751"/>
    <n v="0"/>
    <n v="64751"/>
    <x v="0"/>
    <x v="0"/>
    <x v="0"/>
    <n v="64751"/>
    <n v="0"/>
    <n v="64751"/>
    <x v="0"/>
    <x v="0"/>
    <x v="0"/>
    <x v="0"/>
    <x v="0"/>
  </r>
  <r>
    <x v="5"/>
    <x v="0"/>
    <x v="0"/>
    <x v="0"/>
    <x v="0"/>
    <x v="2"/>
    <x v="2"/>
    <n v="19900"/>
    <s v="890903938"/>
    <s v="BANCOLOMBIA S.A."/>
    <s v="201903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27"/>
    <n v="293229"/>
    <n v="0"/>
    <n v="293229"/>
    <x v="0"/>
    <x v="0"/>
    <x v="0"/>
    <n v="293229"/>
    <n v="0"/>
    <n v="293229"/>
    <x v="0"/>
    <x v="0"/>
    <x v="0"/>
    <n v="293229"/>
    <n v="0"/>
    <n v="293229"/>
    <x v="0"/>
    <x v="0"/>
    <x v="0"/>
    <x v="0"/>
    <x v="0"/>
  </r>
  <r>
    <x v="5"/>
    <x v="0"/>
    <x v="0"/>
    <x v="0"/>
    <x v="0"/>
    <x v="2"/>
    <x v="2"/>
    <n v="19924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4"/>
    <x v="4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- PAGO DE ALOJAMIENTO CLUB 100"/>
    <n v="131130"/>
    <n v="0"/>
    <n v="131130"/>
    <x v="0"/>
    <x v="0"/>
    <x v="0"/>
    <n v="131130"/>
    <n v="0"/>
    <n v="131130"/>
    <x v="0"/>
    <x v="0"/>
    <x v="0"/>
    <n v="131130"/>
    <n v="0"/>
    <n v="131130"/>
    <x v="0"/>
    <x v="0"/>
    <x v="0"/>
    <x v="0"/>
    <x v="0"/>
  </r>
  <r>
    <x v="5"/>
    <x v="0"/>
    <x v="0"/>
    <x v="0"/>
    <x v="0"/>
    <x v="2"/>
    <x v="2"/>
    <n v="19927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BANCOLOMBIA 2581 DOLARES TARJETA DE CREDITO"/>
    <n v="4103.51"/>
    <n v="0"/>
    <n v="4103.51"/>
    <x v="0"/>
    <x v="0"/>
    <x v="0"/>
    <n v="4103.51"/>
    <n v="0"/>
    <n v="4103.51"/>
    <x v="0"/>
    <x v="0"/>
    <x v="0"/>
    <n v="4103.51"/>
    <n v="0"/>
    <n v="4103.51"/>
    <x v="0"/>
    <x v="0"/>
    <x v="0"/>
    <x v="0"/>
    <x v="0"/>
  </r>
  <r>
    <x v="5"/>
    <x v="0"/>
    <x v="0"/>
    <x v="0"/>
    <x v="0"/>
    <x v="2"/>
    <x v="2"/>
    <n v="19931"/>
    <s v="890903938"/>
    <s v="BANCOLOMBIA S.A."/>
    <s v="201903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DOLARES"/>
    <n v="0"/>
    <n v="162828.67000000001"/>
    <n v="-162828.67000000001"/>
    <x v="0"/>
    <x v="0"/>
    <x v="0"/>
    <n v="0"/>
    <n v="162828.67000000001"/>
    <n v="-162828.67000000001"/>
    <x v="0"/>
    <x v="0"/>
    <x v="0"/>
    <n v="0"/>
    <n v="162828.67000000001"/>
    <n v="-162828.67000000001"/>
    <x v="0"/>
    <x v="0"/>
    <x v="0"/>
    <x v="0"/>
    <x v="0"/>
  </r>
  <r>
    <x v="7"/>
    <x v="0"/>
    <x v="0"/>
    <x v="0"/>
    <x v="0"/>
    <x v="2"/>
    <x v="2"/>
    <n v="19937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2997662"/>
    <n v="0"/>
    <n v="2997662"/>
    <x v="0"/>
    <x v="0"/>
    <x v="0"/>
    <n v="2997662"/>
    <n v="0"/>
    <n v="2997662"/>
    <x v="0"/>
    <x v="0"/>
    <x v="0"/>
    <n v="2997662"/>
    <n v="0"/>
    <n v="2997662"/>
    <x v="0"/>
    <x v="0"/>
    <x v="0"/>
    <x v="0"/>
    <x v="0"/>
  </r>
  <r>
    <x v="7"/>
    <x v="0"/>
    <x v="0"/>
    <x v="0"/>
    <x v="0"/>
    <x v="2"/>
    <x v="2"/>
    <n v="19938"/>
    <s v="860035827"/>
    <s v="BANCO AV VILLAS"/>
    <s v="201904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66-7  AV VILLAS"/>
    <n v="1299742"/>
    <n v="0"/>
    <n v="1299742"/>
    <x v="0"/>
    <x v="0"/>
    <x v="0"/>
    <n v="1299742"/>
    <n v="0"/>
    <n v="1299742"/>
    <x v="0"/>
    <x v="0"/>
    <x v="0"/>
    <n v="1299742"/>
    <n v="0"/>
    <n v="1299742"/>
    <x v="0"/>
    <x v="0"/>
    <x v="0"/>
    <x v="0"/>
    <x v="0"/>
  </r>
  <r>
    <x v="7"/>
    <x v="0"/>
    <x v="0"/>
    <x v="0"/>
    <x v="0"/>
    <x v="13"/>
    <x v="13"/>
    <n v="135"/>
    <s v="29873536"/>
    <s v="ZUÑIGA CEBALLOS CLAUDIA MARIA"/>
    <s v="201904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 AV VILLAS -INTERESSES PRESTAMOS"/>
    <n v="6251"/>
    <n v="0"/>
    <n v="6251"/>
    <x v="0"/>
    <x v="0"/>
    <x v="0"/>
    <n v="6251"/>
    <n v="0"/>
    <n v="6251"/>
    <x v="0"/>
    <x v="0"/>
    <x v="0"/>
    <n v="6251"/>
    <n v="0"/>
    <n v="6251"/>
    <x v="0"/>
    <x v="0"/>
    <x v="0"/>
    <x v="0"/>
    <x v="0"/>
  </r>
  <r>
    <x v="7"/>
    <x v="0"/>
    <x v="0"/>
    <x v="0"/>
    <x v="0"/>
    <x v="2"/>
    <x v="2"/>
    <n v="19954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205450 BANCOLOMBIA CUOTA 16"/>
    <n v="226179"/>
    <n v="0"/>
    <n v="226179"/>
    <x v="0"/>
    <x v="0"/>
    <x v="0"/>
    <n v="226179"/>
    <n v="0"/>
    <n v="226179"/>
    <x v="0"/>
    <x v="0"/>
    <x v="0"/>
    <n v="226179"/>
    <n v="0"/>
    <n v="226179"/>
    <x v="0"/>
    <x v="0"/>
    <x v="0"/>
    <x v="0"/>
    <x v="0"/>
  </r>
  <r>
    <x v="7"/>
    <x v="0"/>
    <x v="0"/>
    <x v="0"/>
    <x v="0"/>
    <x v="2"/>
    <x v="2"/>
    <n v="19956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87498 BANCOLOMBIA CUOTA 36"/>
    <n v="61444"/>
    <n v="0"/>
    <n v="61444"/>
    <x v="0"/>
    <x v="0"/>
    <x v="0"/>
    <n v="61444"/>
    <n v="0"/>
    <n v="61444"/>
    <x v="0"/>
    <x v="0"/>
    <x v="0"/>
    <n v="61444"/>
    <n v="0"/>
    <n v="61444"/>
    <x v="0"/>
    <x v="0"/>
    <x v="0"/>
    <x v="0"/>
    <x v="0"/>
  </r>
  <r>
    <x v="7"/>
    <x v="0"/>
    <x v="0"/>
    <x v="0"/>
    <x v="0"/>
    <x v="2"/>
    <x v="2"/>
    <n v="19957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195962 BANCOLOMBIA CUOTA 28"/>
    <n v="281922"/>
    <n v="0"/>
    <n v="281922"/>
    <x v="0"/>
    <x v="0"/>
    <x v="0"/>
    <n v="281922"/>
    <n v="0"/>
    <n v="281922"/>
    <x v="0"/>
    <x v="0"/>
    <x v="0"/>
    <n v="281922"/>
    <n v="0"/>
    <n v="281922"/>
    <x v="0"/>
    <x v="0"/>
    <x v="0"/>
    <x v="0"/>
    <x v="0"/>
  </r>
  <r>
    <x v="7"/>
    <x v="0"/>
    <x v="0"/>
    <x v="0"/>
    <x v="0"/>
    <x v="2"/>
    <x v="2"/>
    <n v="19961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032798.28"/>
    <n v="0"/>
    <n v="1032798.28"/>
    <x v="0"/>
    <x v="0"/>
    <x v="0"/>
    <n v="1032798.28"/>
    <n v="0"/>
    <n v="1032798.28"/>
    <x v="0"/>
    <x v="0"/>
    <x v="0"/>
    <n v="1032798.28"/>
    <n v="0"/>
    <n v="1032798.28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67829"/>
    <n v="0"/>
    <n v="367829"/>
    <x v="0"/>
    <x v="0"/>
    <x v="0"/>
    <n v="367829"/>
    <n v="0"/>
    <n v="367829"/>
    <x v="0"/>
    <x v="0"/>
    <x v="0"/>
    <n v="367829"/>
    <n v="0"/>
    <n v="367829"/>
    <x v="0"/>
    <x v="0"/>
    <x v="0"/>
    <x v="0"/>
    <x v="0"/>
  </r>
  <r>
    <x v="7"/>
    <x v="0"/>
    <x v="0"/>
    <x v="0"/>
    <x v="0"/>
    <x v="2"/>
    <x v="2"/>
    <n v="19962"/>
    <s v="860002964"/>
    <s v="BANCO DE BOGOT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284 BANCO DE BOGOTA"/>
    <n v="345540.88"/>
    <n v="0"/>
    <n v="345540.88"/>
    <x v="0"/>
    <x v="0"/>
    <x v="0"/>
    <n v="345540.88"/>
    <n v="0"/>
    <n v="345540.88"/>
    <x v="0"/>
    <x v="0"/>
    <x v="0"/>
    <n v="345540.88"/>
    <n v="0"/>
    <n v="345540.88"/>
    <x v="0"/>
    <x v="0"/>
    <x v="0"/>
    <x v="0"/>
    <x v="0"/>
  </r>
  <r>
    <x v="7"/>
    <x v="0"/>
    <x v="0"/>
    <x v="0"/>
    <x v="0"/>
    <x v="2"/>
    <x v="2"/>
    <n v="19964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AV VILLAS"/>
    <n v="569638"/>
    <n v="0"/>
    <n v="569638"/>
    <x v="0"/>
    <x v="0"/>
    <x v="0"/>
    <n v="569638"/>
    <n v="0"/>
    <n v="569638"/>
    <x v="0"/>
    <x v="0"/>
    <x v="0"/>
    <n v="569638"/>
    <n v="0"/>
    <n v="569638"/>
    <x v="0"/>
    <x v="0"/>
    <x v="0"/>
    <x v="0"/>
    <x v="0"/>
  </r>
  <r>
    <x v="7"/>
    <x v="0"/>
    <x v="0"/>
    <x v="0"/>
    <x v="0"/>
    <x v="2"/>
    <x v="2"/>
    <n v="19965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AV VILLAS"/>
    <n v="728011"/>
    <n v="0"/>
    <n v="728011"/>
    <x v="0"/>
    <x v="0"/>
    <x v="0"/>
    <n v="728011"/>
    <n v="0"/>
    <n v="728011"/>
    <x v="0"/>
    <x v="0"/>
    <x v="0"/>
    <n v="728011"/>
    <n v="0"/>
    <n v="728011"/>
    <x v="0"/>
    <x v="0"/>
    <x v="0"/>
    <x v="0"/>
    <x v="0"/>
  </r>
  <r>
    <x v="7"/>
    <x v="0"/>
    <x v="0"/>
    <x v="0"/>
    <x v="0"/>
    <x v="2"/>
    <x v="2"/>
    <n v="19966"/>
    <s v="860035827"/>
    <s v="BANCO AV VILLAS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791-4 AV VILLAS"/>
    <n v="729437"/>
    <n v="0"/>
    <n v="729437"/>
    <x v="0"/>
    <x v="0"/>
    <x v="0"/>
    <n v="729437"/>
    <n v="0"/>
    <n v="729437"/>
    <x v="0"/>
    <x v="0"/>
    <x v="0"/>
    <n v="729437"/>
    <n v="0"/>
    <n v="729437"/>
    <x v="0"/>
    <x v="0"/>
    <x v="0"/>
    <x v="0"/>
    <x v="0"/>
  </r>
  <r>
    <x v="7"/>
    <x v="0"/>
    <x v="0"/>
    <x v="0"/>
    <x v="0"/>
    <x v="2"/>
    <x v="2"/>
    <n v="19969"/>
    <s v="890903938"/>
    <s v="BANCOLOMBIA S.A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2341075"/>
    <n v="0"/>
    <n v="2341075"/>
    <x v="0"/>
    <x v="0"/>
    <x v="0"/>
    <n v="2341075"/>
    <n v="0"/>
    <n v="2341075"/>
    <x v="0"/>
    <x v="0"/>
    <x v="0"/>
    <n v="2341075"/>
    <n v="0"/>
    <n v="2341075"/>
    <x v="0"/>
    <x v="0"/>
    <x v="0"/>
    <x v="0"/>
    <x v="0"/>
  </r>
  <r>
    <x v="7"/>
    <x v="0"/>
    <x v="0"/>
    <x v="0"/>
    <x v="0"/>
    <x v="2"/>
    <x v="2"/>
    <n v="19970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3422-1  BANCO DE OCCIDENTE"/>
    <n v="146717"/>
    <n v="0"/>
    <n v="146717"/>
    <x v="0"/>
    <x v="0"/>
    <x v="0"/>
    <n v="146717"/>
    <n v="0"/>
    <n v="146717"/>
    <x v="0"/>
    <x v="0"/>
    <x v="0"/>
    <n v="146717"/>
    <n v="0"/>
    <n v="146717"/>
    <x v="0"/>
    <x v="0"/>
    <x v="0"/>
    <x v="0"/>
    <x v="0"/>
  </r>
  <r>
    <x v="7"/>
    <x v="0"/>
    <x v="0"/>
    <x v="0"/>
    <x v="0"/>
    <x v="2"/>
    <x v="2"/>
    <n v="19972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28580 BANCO DE OCCIDENTE"/>
    <n v="266463"/>
    <n v="0"/>
    <n v="266463"/>
    <x v="0"/>
    <x v="0"/>
    <x v="0"/>
    <n v="266463"/>
    <n v="0"/>
    <n v="266463"/>
    <x v="0"/>
    <x v="0"/>
    <x v="0"/>
    <n v="266463"/>
    <n v="0"/>
    <n v="266463"/>
    <x v="0"/>
    <x v="0"/>
    <x v="0"/>
    <x v="0"/>
    <x v="0"/>
  </r>
  <r>
    <x v="7"/>
    <x v="0"/>
    <x v="0"/>
    <x v="0"/>
    <x v="0"/>
    <x v="2"/>
    <x v="2"/>
    <n v="19973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681427"/>
    <n v="0"/>
    <n v="681427"/>
    <x v="0"/>
    <x v="0"/>
    <x v="0"/>
    <n v="681427"/>
    <n v="0"/>
    <n v="681427"/>
    <x v="0"/>
    <x v="0"/>
    <x v="0"/>
    <n v="681427"/>
    <n v="0"/>
    <n v="681427"/>
    <x v="0"/>
    <x v="0"/>
    <x v="0"/>
    <x v="0"/>
    <x v="0"/>
  </r>
  <r>
    <x v="7"/>
    <x v="0"/>
    <x v="0"/>
    <x v="0"/>
    <x v="0"/>
    <x v="2"/>
    <x v="2"/>
    <n v="19974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LIGACION 13957-8  BANCO DE OCCIDENTE"/>
    <n v="0"/>
    <n v="146717"/>
    <n v="-146717"/>
    <x v="0"/>
    <x v="0"/>
    <x v="0"/>
    <n v="0"/>
    <n v="146717"/>
    <n v="-146717"/>
    <x v="0"/>
    <x v="0"/>
    <x v="0"/>
    <n v="0"/>
    <n v="146717"/>
    <n v="-146717"/>
    <x v="0"/>
    <x v="0"/>
    <x v="0"/>
    <x v="0"/>
    <x v="0"/>
  </r>
  <r>
    <x v="7"/>
    <x v="0"/>
    <x v="0"/>
    <x v="0"/>
    <x v="0"/>
    <x v="2"/>
    <x v="2"/>
    <n v="19975"/>
    <s v="890300279"/>
    <s v="BANCO DE OCCIDENTE."/>
    <s v="201904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117424"/>
    <n v="0"/>
    <n v="117424"/>
    <x v="0"/>
    <x v="0"/>
    <x v="0"/>
    <n v="117424"/>
    <n v="0"/>
    <n v="117424"/>
    <x v="0"/>
    <x v="0"/>
    <x v="0"/>
    <n v="117424"/>
    <n v="0"/>
    <n v="117424"/>
    <x v="0"/>
    <x v="0"/>
    <x v="0"/>
    <x v="0"/>
    <x v="0"/>
  </r>
  <r>
    <x v="7"/>
    <x v="0"/>
    <x v="0"/>
    <x v="0"/>
    <x v="0"/>
    <x v="2"/>
    <x v="2"/>
    <n v="20040"/>
    <s v="860007660"/>
    <s v="HELM BANK S.A."/>
    <s v="201904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HELM BANK- INTERES CREDITO ROTATIVO"/>
    <n v="1418552"/>
    <n v="0"/>
    <n v="1418552"/>
    <x v="0"/>
    <x v="0"/>
    <x v="0"/>
    <n v="1418552"/>
    <n v="0"/>
    <n v="1418552"/>
    <x v="0"/>
    <x v="0"/>
    <x v="0"/>
    <n v="1418552"/>
    <n v="0"/>
    <n v="1418552"/>
    <x v="0"/>
    <x v="0"/>
    <x v="0"/>
    <x v="0"/>
    <x v="0"/>
  </r>
  <r>
    <x v="7"/>
    <x v="0"/>
    <x v="0"/>
    <x v="0"/>
    <x v="0"/>
    <x v="2"/>
    <x v="2"/>
    <n v="20068"/>
    <s v="860007660"/>
    <s v="HELM BANK S.A."/>
    <s v="201904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BONO A ROTATIVO HELM BANK"/>
    <n v="40690.379999999997"/>
    <n v="0"/>
    <n v="40690.379999999997"/>
    <x v="0"/>
    <x v="0"/>
    <x v="0"/>
    <n v="40690.379999999997"/>
    <n v="0"/>
    <n v="40690.379999999997"/>
    <x v="0"/>
    <x v="0"/>
    <x v="0"/>
    <n v="40690.379999999997"/>
    <n v="0"/>
    <n v="40690.379999999997"/>
    <x v="0"/>
    <x v="0"/>
    <x v="0"/>
    <x v="0"/>
    <x v="0"/>
  </r>
  <r>
    <x v="6"/>
    <x v="0"/>
    <x v="0"/>
    <x v="0"/>
    <x v="0"/>
    <x v="2"/>
    <x v="2"/>
    <n v="20095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 CUOTA 37"/>
    <n v="58430"/>
    <n v="0"/>
    <n v="58430"/>
    <x v="0"/>
    <x v="0"/>
    <x v="0"/>
    <n v="58430"/>
    <n v="0"/>
    <n v="58430"/>
    <x v="0"/>
    <x v="0"/>
    <x v="0"/>
    <n v="58430"/>
    <n v="0"/>
    <n v="58430"/>
    <x v="0"/>
    <x v="0"/>
    <x v="0"/>
    <x v="0"/>
    <x v="0"/>
  </r>
  <r>
    <x v="6"/>
    <x v="0"/>
    <x v="0"/>
    <x v="0"/>
    <x v="0"/>
    <x v="2"/>
    <x v="2"/>
    <n v="20096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 CUOTA 37"/>
    <n v="211250"/>
    <n v="0"/>
    <n v="211250"/>
    <x v="0"/>
    <x v="0"/>
    <x v="0"/>
    <n v="211250"/>
    <n v="0"/>
    <n v="211250"/>
    <x v="0"/>
    <x v="0"/>
    <x v="0"/>
    <n v="211250"/>
    <n v="0"/>
    <n v="211250"/>
    <x v="0"/>
    <x v="0"/>
    <x v="0"/>
    <x v="0"/>
    <x v="0"/>
  </r>
  <r>
    <x v="6"/>
    <x v="0"/>
    <x v="0"/>
    <x v="0"/>
    <x v="0"/>
    <x v="2"/>
    <x v="2"/>
    <n v="20097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5738  BANCOLOMBIA CUOTA 37"/>
    <n v="344173"/>
    <n v="0"/>
    <n v="344173"/>
    <x v="0"/>
    <x v="0"/>
    <x v="0"/>
    <n v="344173"/>
    <n v="0"/>
    <n v="344173"/>
    <x v="0"/>
    <x v="0"/>
    <x v="0"/>
    <n v="344173"/>
    <n v="0"/>
    <n v="344173"/>
    <x v="0"/>
    <x v="0"/>
    <x v="0"/>
    <x v="0"/>
    <x v="0"/>
  </r>
  <r>
    <x v="6"/>
    <x v="0"/>
    <x v="0"/>
    <x v="0"/>
    <x v="0"/>
    <x v="2"/>
    <x v="2"/>
    <n v="20098"/>
    <s v="890903938"/>
    <s v="BANCOLOMBI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BANCOLOMBIA CUOTA 37"/>
    <n v="857841"/>
    <n v="0"/>
    <n v="857841"/>
    <x v="0"/>
    <x v="0"/>
    <x v="0"/>
    <n v="857841"/>
    <n v="0"/>
    <n v="857841"/>
    <x v="0"/>
    <x v="0"/>
    <x v="0"/>
    <n v="857841"/>
    <n v="0"/>
    <n v="857841"/>
    <x v="0"/>
    <x v="0"/>
    <x v="0"/>
    <x v="0"/>
    <x v="0"/>
  </r>
  <r>
    <x v="6"/>
    <x v="0"/>
    <x v="0"/>
    <x v="0"/>
    <x v="0"/>
    <x v="2"/>
    <x v="2"/>
    <n v="20103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03722"/>
    <n v="0"/>
    <n v="203722"/>
    <x v="0"/>
    <x v="0"/>
    <x v="0"/>
    <n v="203722"/>
    <n v="0"/>
    <n v="203722"/>
    <x v="0"/>
    <x v="0"/>
    <x v="0"/>
    <n v="203722"/>
    <n v="0"/>
    <n v="203722"/>
    <x v="0"/>
    <x v="0"/>
    <x v="0"/>
    <x v="0"/>
    <x v="0"/>
  </r>
  <r>
    <x v="6"/>
    <x v="0"/>
    <x v="0"/>
    <x v="0"/>
    <x v="0"/>
    <x v="2"/>
    <x v="2"/>
    <n v="20104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4073  BANCO DE OCCIDENTE"/>
    <n v="260402"/>
    <n v="0"/>
    <n v="260402"/>
    <x v="0"/>
    <x v="0"/>
    <x v="0"/>
    <n v="260402"/>
    <n v="0"/>
    <n v="260402"/>
    <x v="0"/>
    <x v="0"/>
    <x v="0"/>
    <n v="260402"/>
    <n v="0"/>
    <n v="260402"/>
    <x v="0"/>
    <x v="0"/>
    <x v="0"/>
    <x v="0"/>
    <x v="0"/>
  </r>
  <r>
    <x v="6"/>
    <x v="0"/>
    <x v="0"/>
    <x v="0"/>
    <x v="0"/>
    <x v="2"/>
    <x v="2"/>
    <n v="20112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AV VILLAS"/>
    <n v="670238"/>
    <n v="0"/>
    <n v="670238"/>
    <x v="0"/>
    <x v="0"/>
    <x v="0"/>
    <n v="670238"/>
    <n v="0"/>
    <n v="670238"/>
    <x v="0"/>
    <x v="0"/>
    <x v="0"/>
    <n v="670238"/>
    <n v="0"/>
    <n v="670238"/>
    <x v="0"/>
    <x v="0"/>
    <x v="0"/>
    <x v="0"/>
    <x v="0"/>
  </r>
  <r>
    <x v="6"/>
    <x v="0"/>
    <x v="0"/>
    <x v="0"/>
    <x v="0"/>
    <x v="11"/>
    <x v="11"/>
    <n v="26218"/>
    <s v="1098657994"/>
    <s v="HERNANDEZ ROJAS JOHN EDISON"/>
    <s v="201905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3+ GASTOS BANCARIOS"/>
    <n v="6768"/>
    <n v="0"/>
    <n v="6768"/>
    <x v="0"/>
    <x v="0"/>
    <x v="0"/>
    <n v="6768"/>
    <n v="0"/>
    <n v="6768"/>
    <x v="0"/>
    <x v="0"/>
    <x v="0"/>
    <n v="6768"/>
    <n v="0"/>
    <n v="6768"/>
    <x v="0"/>
    <x v="0"/>
    <x v="0"/>
    <x v="0"/>
    <x v="0"/>
  </r>
  <r>
    <x v="7"/>
    <x v="0"/>
    <x v="0"/>
    <x v="0"/>
    <x v="0"/>
    <x v="2"/>
    <x v="2"/>
    <n v="19952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AI"/>
    <n v="917340"/>
    <n v="0"/>
    <n v="917340"/>
    <x v="0"/>
    <x v="0"/>
    <x v="0"/>
    <n v="917340"/>
    <n v="0"/>
    <n v="917340"/>
    <x v="0"/>
    <x v="0"/>
    <x v="0"/>
    <n v="917340"/>
    <n v="0"/>
    <n v="917340"/>
    <x v="0"/>
    <x v="0"/>
    <x v="0"/>
    <x v="0"/>
    <x v="0"/>
  </r>
  <r>
    <x v="7"/>
    <x v="0"/>
    <x v="0"/>
    <x v="0"/>
    <x v="0"/>
    <x v="2"/>
    <x v="2"/>
    <n v="19953"/>
    <s v="890903938"/>
    <s v="BANCOLOMBIA S.A."/>
    <s v="201904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85738 BANCOLOMBIA"/>
    <n v="386396"/>
    <n v="0"/>
    <n v="386396"/>
    <x v="0"/>
    <x v="0"/>
    <x v="0"/>
    <n v="386396"/>
    <n v="0"/>
    <n v="386396"/>
    <x v="0"/>
    <x v="0"/>
    <x v="0"/>
    <n v="386396"/>
    <n v="0"/>
    <n v="386396"/>
    <x v="0"/>
    <x v="0"/>
    <x v="0"/>
    <x v="0"/>
    <x v="0"/>
  </r>
  <r>
    <x v="7"/>
    <x v="0"/>
    <x v="0"/>
    <x v="0"/>
    <x v="0"/>
    <x v="2"/>
    <x v="2"/>
    <n v="19990"/>
    <s v="860007660"/>
    <s v="HELM BANK S.A."/>
    <s v="201904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E CREDITO MES DE MARZO HELM"/>
    <n v="211023.33"/>
    <n v="0"/>
    <n v="211023.33000000002"/>
    <x v="0"/>
    <x v="0"/>
    <x v="0"/>
    <n v="211023.33"/>
    <n v="0"/>
    <n v="211023.33000000002"/>
    <x v="0"/>
    <x v="0"/>
    <x v="0"/>
    <n v="211023.33"/>
    <n v="0"/>
    <n v="211023.33000000002"/>
    <x v="0"/>
    <x v="0"/>
    <x v="0"/>
    <x v="0"/>
    <x v="0"/>
  </r>
  <r>
    <x v="6"/>
    <x v="0"/>
    <x v="0"/>
    <x v="0"/>
    <x v="0"/>
    <x v="2"/>
    <x v="2"/>
    <n v="20106"/>
    <s v="890300279"/>
    <s v="BANCO DE OCCIDENTE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BANCO DE OCCIDENTE"/>
    <n v="640986"/>
    <n v="0"/>
    <n v="640986"/>
    <x v="0"/>
    <x v="0"/>
    <x v="0"/>
    <n v="640986"/>
    <n v="0"/>
    <n v="640986"/>
    <x v="0"/>
    <x v="0"/>
    <x v="0"/>
    <n v="640986"/>
    <n v="0"/>
    <n v="640986"/>
    <x v="0"/>
    <x v="0"/>
    <x v="0"/>
    <x v="0"/>
    <x v="0"/>
  </r>
  <r>
    <x v="6"/>
    <x v="0"/>
    <x v="0"/>
    <x v="0"/>
    <x v="0"/>
    <x v="2"/>
    <x v="2"/>
    <n v="20108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83-7  AV VILLAS"/>
    <n v="153224"/>
    <n v="0"/>
    <n v="153224"/>
    <x v="0"/>
    <x v="0"/>
    <x v="0"/>
    <n v="153224"/>
    <n v="0"/>
    <n v="153224"/>
    <x v="0"/>
    <x v="0"/>
    <x v="0"/>
    <n v="153224"/>
    <n v="0"/>
    <n v="153224"/>
    <x v="0"/>
    <x v="0"/>
    <x v="0"/>
    <x v="0"/>
    <x v="0"/>
  </r>
  <r>
    <x v="6"/>
    <x v="0"/>
    <x v="0"/>
    <x v="0"/>
    <x v="0"/>
    <x v="2"/>
    <x v="2"/>
    <n v="20109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25183"/>
    <n v="0"/>
    <n v="1225183"/>
    <x v="0"/>
    <x v="0"/>
    <x v="0"/>
    <n v="1225183"/>
    <n v="0"/>
    <n v="1225183"/>
    <x v="0"/>
    <x v="0"/>
    <x v="0"/>
    <n v="1225183"/>
    <n v="0"/>
    <n v="1225183"/>
    <x v="0"/>
    <x v="0"/>
    <x v="0"/>
    <x v="0"/>
    <x v="0"/>
  </r>
  <r>
    <x v="6"/>
    <x v="0"/>
    <x v="0"/>
    <x v="0"/>
    <x v="0"/>
    <x v="2"/>
    <x v="2"/>
    <n v="20110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73683"/>
    <n v="0"/>
    <n v="673683"/>
    <x v="0"/>
    <x v="0"/>
    <x v="0"/>
    <n v="673683"/>
    <n v="0"/>
    <n v="673683"/>
    <x v="0"/>
    <x v="0"/>
    <x v="0"/>
    <n v="673683"/>
    <n v="0"/>
    <n v="673683"/>
    <x v="0"/>
    <x v="0"/>
    <x v="0"/>
    <x v="0"/>
    <x v="0"/>
  </r>
  <r>
    <x v="6"/>
    <x v="0"/>
    <x v="0"/>
    <x v="0"/>
    <x v="0"/>
    <x v="2"/>
    <x v="2"/>
    <n v="20113"/>
    <s v="860035827"/>
    <s v="BANCO AV VILLAS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AV VILLAS"/>
    <n v="506107"/>
    <n v="0"/>
    <n v="506107"/>
    <x v="0"/>
    <x v="0"/>
    <x v="0"/>
    <n v="506107"/>
    <n v="0"/>
    <n v="506107"/>
    <x v="0"/>
    <x v="0"/>
    <x v="0"/>
    <n v="506107"/>
    <n v="0"/>
    <n v="506107"/>
    <x v="0"/>
    <x v="0"/>
    <x v="0"/>
    <x v="0"/>
    <x v="0"/>
  </r>
  <r>
    <x v="6"/>
    <x v="0"/>
    <x v="0"/>
    <x v="0"/>
    <x v="0"/>
    <x v="2"/>
    <x v="2"/>
    <n v="20115"/>
    <s v="860002964"/>
    <s v="BANCO DE BOGOTA S.A."/>
    <s v="2019050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113070.51"/>
    <n v="0"/>
    <n v="113070.51000000001"/>
    <x v="0"/>
    <x v="0"/>
    <x v="0"/>
    <n v="113070.51"/>
    <n v="0"/>
    <n v="113070.51000000001"/>
    <x v="0"/>
    <x v="0"/>
    <x v="0"/>
    <n v="113070.51"/>
    <n v="0"/>
    <n v="113070.51000000001"/>
    <x v="0"/>
    <x v="0"/>
    <x v="0"/>
    <x v="0"/>
    <x v="0"/>
  </r>
  <r>
    <x v="6"/>
    <x v="0"/>
    <x v="0"/>
    <x v="0"/>
    <x v="0"/>
    <x v="2"/>
    <x v="2"/>
    <n v="20159"/>
    <s v="890903938"/>
    <s v="BANCOLOMBIA S.A."/>
    <s v="201905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ANCOLOMBIA OBLIGACION 8263"/>
    <n v="2223174"/>
    <n v="0"/>
    <n v="2223174"/>
    <x v="0"/>
    <x v="0"/>
    <x v="0"/>
    <n v="2223174"/>
    <n v="0"/>
    <n v="2223174"/>
    <x v="0"/>
    <x v="0"/>
    <x v="0"/>
    <n v="2223174"/>
    <n v="0"/>
    <n v="2223174"/>
    <x v="0"/>
    <x v="0"/>
    <x v="0"/>
    <x v="0"/>
    <x v="0"/>
  </r>
  <r>
    <x v="6"/>
    <x v="0"/>
    <x v="0"/>
    <x v="0"/>
    <x v="0"/>
    <x v="2"/>
    <x v="2"/>
    <n v="20211"/>
    <s v="860002964"/>
    <s v="BANCO DE BOGOTA S.A."/>
    <s v="2019052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659284   BANCO DE BOGOTA"/>
    <n v="328522.71999999997"/>
    <n v="0"/>
    <n v="328522.72000000003"/>
    <x v="0"/>
    <x v="0"/>
    <x v="0"/>
    <n v="328522.71999999997"/>
    <n v="0"/>
    <n v="328522.72000000003"/>
    <x v="0"/>
    <x v="0"/>
    <x v="0"/>
    <n v="328522.71999999997"/>
    <n v="0"/>
    <n v="328522.72000000003"/>
    <x v="0"/>
    <x v="0"/>
    <x v="0"/>
    <x v="0"/>
    <x v="0"/>
  </r>
  <r>
    <x v="6"/>
    <x v="0"/>
    <x v="0"/>
    <x v="0"/>
    <x v="0"/>
    <x v="2"/>
    <x v="2"/>
    <n v="20275"/>
    <s v="890903938"/>
    <s v="BANCOLOMBIA S.A."/>
    <s v="201905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195962- CUOTA 29"/>
    <n v="270500"/>
    <n v="0"/>
    <n v="270500"/>
    <x v="0"/>
    <x v="0"/>
    <x v="0"/>
    <n v="270500"/>
    <n v="0"/>
    <n v="270500"/>
    <x v="0"/>
    <x v="0"/>
    <x v="0"/>
    <n v="270500"/>
    <n v="0"/>
    <n v="270500"/>
    <x v="0"/>
    <x v="0"/>
    <x v="0"/>
    <x v="0"/>
    <x v="0"/>
  </r>
  <r>
    <x v="6"/>
    <x v="0"/>
    <x v="0"/>
    <x v="0"/>
    <x v="0"/>
    <x v="2"/>
    <x v="2"/>
    <n v="20235"/>
    <s v="890300279"/>
    <s v="BANCO DE OCCIDENTE."/>
    <s v="201905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BANCO DE OCCIDENTE"/>
    <n v="58687"/>
    <n v="0"/>
    <n v="58687"/>
    <x v="0"/>
    <x v="0"/>
    <x v="0"/>
    <n v="58687"/>
    <n v="0"/>
    <n v="58687"/>
    <x v="0"/>
    <x v="0"/>
    <x v="0"/>
    <n v="58687"/>
    <n v="0"/>
    <n v="58687"/>
    <x v="0"/>
    <x v="0"/>
    <x v="0"/>
    <x v="0"/>
    <x v="0"/>
  </r>
  <r>
    <x v="2"/>
    <x v="0"/>
    <x v="0"/>
    <x v="0"/>
    <x v="0"/>
    <x v="2"/>
    <x v="2"/>
    <n v="20316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NTABILIZACION CUOTA DE BCO DE OCCIDENTE- PENDIENTES DE MARZO 2019"/>
    <n v="88038"/>
    <n v="0"/>
    <n v="88038"/>
    <x v="0"/>
    <x v="0"/>
    <x v="0"/>
    <n v="88038"/>
    <n v="0"/>
    <n v="88038"/>
    <x v="0"/>
    <x v="0"/>
    <x v="0"/>
    <n v="88038"/>
    <n v="0"/>
    <n v="88038"/>
    <x v="0"/>
    <x v="0"/>
    <x v="0"/>
    <x v="0"/>
    <x v="0"/>
  </r>
  <r>
    <x v="2"/>
    <x v="0"/>
    <x v="0"/>
    <x v="0"/>
    <x v="0"/>
    <x v="2"/>
    <x v="2"/>
    <n v="20323"/>
    <s v="890300279"/>
    <s v="BANCO DE OCCIDENTE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VR ABONADO DE MAS EN CAPITAL SE LLEVA A INTERESES- LEASING OCCIDENTE 124073"/>
    <n v="0"/>
    <n v="399179"/>
    <n v="-399179"/>
    <x v="0"/>
    <x v="0"/>
    <x v="0"/>
    <n v="0"/>
    <n v="399179"/>
    <n v="-399179"/>
    <x v="0"/>
    <x v="0"/>
    <x v="0"/>
    <n v="0"/>
    <n v="399179"/>
    <n v="-399179"/>
    <x v="0"/>
    <x v="0"/>
    <x v="0"/>
    <x v="0"/>
    <x v="0"/>
  </r>
  <r>
    <x v="2"/>
    <x v="0"/>
    <x v="0"/>
    <x v="0"/>
    <x v="0"/>
    <x v="2"/>
    <x v="2"/>
    <n v="20272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52841"/>
    <n v="0"/>
    <n v="452841"/>
    <x v="0"/>
    <x v="0"/>
    <x v="0"/>
    <n v="452841"/>
    <n v="0"/>
    <n v="452841"/>
    <x v="0"/>
    <x v="0"/>
    <x v="0"/>
    <n v="452841"/>
    <n v="0"/>
    <n v="452841"/>
    <x v="0"/>
    <x v="0"/>
    <x v="0"/>
    <x v="0"/>
    <x v="0"/>
  </r>
  <r>
    <x v="2"/>
    <x v="0"/>
    <x v="0"/>
    <x v="0"/>
    <x v="0"/>
    <x v="2"/>
    <x v="2"/>
    <n v="20273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628013"/>
    <n v="0"/>
    <n v="628013"/>
    <x v="0"/>
    <x v="0"/>
    <x v="0"/>
    <n v="628013"/>
    <n v="0"/>
    <n v="628013"/>
    <x v="0"/>
    <x v="0"/>
    <x v="0"/>
    <n v="628013"/>
    <n v="0"/>
    <n v="628013"/>
    <x v="0"/>
    <x v="0"/>
    <x v="0"/>
    <x v="0"/>
    <x v="0"/>
  </r>
  <r>
    <x v="2"/>
    <x v="0"/>
    <x v="0"/>
    <x v="0"/>
    <x v="0"/>
    <x v="2"/>
    <x v="2"/>
    <n v="20274"/>
    <s v="860035827"/>
    <s v="BANCO AV VILLAS"/>
    <s v="201906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0520-1   AV VILLAS"/>
    <n v="622874"/>
    <n v="0"/>
    <n v="622874"/>
    <x v="0"/>
    <x v="0"/>
    <x v="0"/>
    <n v="622874"/>
    <n v="0"/>
    <n v="622874"/>
    <x v="0"/>
    <x v="0"/>
    <x v="0"/>
    <n v="622874"/>
    <n v="0"/>
    <n v="622874"/>
    <x v="0"/>
    <x v="0"/>
    <x v="0"/>
    <x v="0"/>
    <x v="0"/>
  </r>
  <r>
    <x v="2"/>
    <x v="0"/>
    <x v="0"/>
    <x v="0"/>
    <x v="0"/>
    <x v="2"/>
    <x v="2"/>
    <n v="20302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7483-7 AV VILLAS"/>
    <n v="70015"/>
    <n v="0"/>
    <n v="70015"/>
    <x v="0"/>
    <x v="0"/>
    <x v="0"/>
    <n v="70015"/>
    <n v="0"/>
    <n v="70015"/>
    <x v="0"/>
    <x v="0"/>
    <x v="0"/>
    <n v="70015"/>
    <n v="0"/>
    <n v="70015"/>
    <x v="0"/>
    <x v="0"/>
    <x v="0"/>
    <x v="0"/>
    <x v="0"/>
  </r>
  <r>
    <x v="2"/>
    <x v="0"/>
    <x v="0"/>
    <x v="0"/>
    <x v="0"/>
    <x v="2"/>
    <x v="2"/>
    <n v="20303"/>
    <s v="860035827"/>
    <s v="BANCO AV VILLAS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7366-7  AV VILLAS"/>
    <n v="1201197"/>
    <n v="0"/>
    <n v="1201197"/>
    <x v="0"/>
    <x v="0"/>
    <x v="0"/>
    <n v="1201197"/>
    <n v="0"/>
    <n v="1201197"/>
    <x v="0"/>
    <x v="0"/>
    <x v="0"/>
    <n v="1201197"/>
    <n v="0"/>
    <n v="1201197"/>
    <x v="0"/>
    <x v="0"/>
    <x v="0"/>
    <x v="0"/>
    <x v="0"/>
  </r>
  <r>
    <x v="2"/>
    <x v="0"/>
    <x v="0"/>
    <x v="0"/>
    <x v="0"/>
    <x v="2"/>
    <x v="2"/>
    <n v="20304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  AV VILLAS"/>
    <n v="309302"/>
    <n v="0"/>
    <n v="309302"/>
    <x v="0"/>
    <x v="0"/>
    <x v="0"/>
    <n v="309302"/>
    <n v="0"/>
    <n v="309302"/>
    <x v="0"/>
    <x v="0"/>
    <x v="0"/>
    <n v="309302"/>
    <n v="0"/>
    <n v="309302"/>
    <x v="0"/>
    <x v="0"/>
    <x v="0"/>
    <x v="0"/>
    <x v="0"/>
  </r>
  <r>
    <x v="2"/>
    <x v="0"/>
    <x v="0"/>
    <x v="0"/>
    <x v="0"/>
    <x v="2"/>
    <x v="2"/>
    <n v="20321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307194.63"/>
    <n v="0"/>
    <n v="307194.63"/>
    <x v="0"/>
    <x v="0"/>
    <x v="0"/>
    <n v="307194.63"/>
    <n v="0"/>
    <n v="307194.63"/>
    <x v="0"/>
    <x v="0"/>
    <x v="0"/>
    <n v="307194.63"/>
    <n v="0"/>
    <n v="307194.63"/>
    <x v="0"/>
    <x v="0"/>
    <x v="0"/>
    <x v="0"/>
    <x v="0"/>
  </r>
  <r>
    <x v="2"/>
    <x v="0"/>
    <x v="0"/>
    <x v="0"/>
    <x v="0"/>
    <x v="2"/>
    <x v="2"/>
    <n v="20324"/>
    <s v="860035827"/>
    <s v="BANCO AV VILLAS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DE VALORES NO APLICADOS EN OBLIGACION FINANCIERA-"/>
    <n v="0"/>
    <n v="5574045"/>
    <n v="-5574045"/>
    <x v="0"/>
    <x v="0"/>
    <x v="0"/>
    <n v="0"/>
    <n v="5574045"/>
    <n v="-5574045"/>
    <x v="0"/>
    <x v="0"/>
    <x v="0"/>
    <n v="0"/>
    <n v="5574045"/>
    <n v="-5574045"/>
    <x v="0"/>
    <x v="0"/>
    <x v="0"/>
    <x v="0"/>
    <x v="0"/>
  </r>
  <r>
    <x v="2"/>
    <x v="0"/>
    <x v="0"/>
    <x v="0"/>
    <x v="0"/>
    <x v="2"/>
    <x v="2"/>
    <n v="20325"/>
    <s v="860002964"/>
    <s v="BANCO DE BOGOTA S.A."/>
    <s v="20190604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9"/>
    <x v="9"/>
    <x v="2"/>
    <x v="2"/>
    <x v="0"/>
    <x v="0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BCO BOGOTA- SE RECLASIFICA VR CUOTA E INTERES CUOTA OBLIGACION 9284"/>
    <n v="0"/>
    <n v="2083333"/>
    <n v="-2083333"/>
    <x v="0"/>
    <x v="0"/>
    <x v="0"/>
    <n v="0"/>
    <n v="2083333"/>
    <n v="-2083333"/>
    <x v="0"/>
    <x v="0"/>
    <x v="0"/>
    <n v="0"/>
    <n v="2083333"/>
    <n v="-2083333"/>
    <x v="0"/>
    <x v="0"/>
    <x v="0"/>
    <x v="0"/>
    <x v="0"/>
  </r>
  <r>
    <x v="2"/>
    <x v="0"/>
    <x v="0"/>
    <x v="0"/>
    <x v="0"/>
    <x v="2"/>
    <x v="2"/>
    <n v="20311"/>
    <s v="890903938"/>
    <s v="BANCOLOMBIA S.A."/>
    <s v="201906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0  BANCOLOMBIA"/>
    <n v="258959"/>
    <n v="0"/>
    <n v="258959"/>
    <x v="0"/>
    <x v="0"/>
    <x v="0"/>
    <n v="258959"/>
    <n v="0"/>
    <n v="258959"/>
    <x v="0"/>
    <x v="0"/>
    <x v="0"/>
    <n v="258959"/>
    <n v="0"/>
    <n v="258959"/>
    <x v="0"/>
    <x v="0"/>
    <x v="0"/>
    <x v="0"/>
    <x v="0"/>
  </r>
  <r>
    <x v="2"/>
    <x v="0"/>
    <x v="0"/>
    <x v="0"/>
    <x v="0"/>
    <x v="2"/>
    <x v="2"/>
    <n v="20317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422-1    BANCO DE OCCIDENTE"/>
    <n v="29305"/>
    <n v="0"/>
    <n v="29305"/>
    <x v="0"/>
    <x v="0"/>
    <x v="0"/>
    <n v="29305"/>
    <n v="0"/>
    <n v="29305"/>
    <x v="0"/>
    <x v="0"/>
    <x v="0"/>
    <n v="29305"/>
    <n v="0"/>
    <n v="29305"/>
    <x v="0"/>
    <x v="0"/>
    <x v="0"/>
    <x v="0"/>
    <x v="0"/>
  </r>
  <r>
    <x v="2"/>
    <x v="0"/>
    <x v="0"/>
    <x v="0"/>
    <x v="0"/>
    <x v="2"/>
    <x v="2"/>
    <n v="20318"/>
    <s v="890300279"/>
    <s v="BANCO DE OCCIDENTE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8    BANCO DE OCCIDENTE"/>
    <n v="593576"/>
    <n v="0"/>
    <n v="593576"/>
    <x v="0"/>
    <x v="0"/>
    <x v="0"/>
    <n v="593576"/>
    <n v="0"/>
    <n v="593576"/>
    <x v="0"/>
    <x v="0"/>
    <x v="0"/>
    <n v="593576"/>
    <n v="0"/>
    <n v="593576"/>
    <x v="0"/>
    <x v="0"/>
    <x v="0"/>
    <x v="0"/>
    <x v="0"/>
  </r>
  <r>
    <x v="2"/>
    <x v="0"/>
    <x v="0"/>
    <x v="0"/>
    <x v="0"/>
    <x v="2"/>
    <x v="2"/>
    <n v="20320"/>
    <s v="860002964"/>
    <s v="BANCO DE BOGOTA S.A."/>
    <s v="201906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96856.13"/>
    <n v="0"/>
    <n v="96856.13"/>
    <x v="0"/>
    <x v="0"/>
    <x v="0"/>
    <n v="96856.13"/>
    <n v="0"/>
    <n v="96856.13"/>
    <x v="0"/>
    <x v="0"/>
    <x v="0"/>
    <n v="96856.13"/>
    <n v="0"/>
    <n v="96856.13"/>
    <x v="0"/>
    <x v="0"/>
    <x v="0"/>
    <x v="0"/>
    <x v="0"/>
  </r>
  <r>
    <x v="2"/>
    <x v="0"/>
    <x v="0"/>
    <x v="0"/>
    <x v="0"/>
    <x v="2"/>
    <x v="2"/>
    <n v="20306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 BANCOLOMBIA"/>
    <n v="203317"/>
    <n v="0"/>
    <n v="203317"/>
    <x v="0"/>
    <x v="0"/>
    <x v="0"/>
    <n v="203317"/>
    <n v="0"/>
    <n v="203317"/>
    <x v="0"/>
    <x v="0"/>
    <x v="0"/>
    <n v="203317"/>
    <n v="0"/>
    <n v="203317"/>
    <x v="0"/>
    <x v="0"/>
    <x v="0"/>
    <x v="0"/>
    <x v="0"/>
  </r>
  <r>
    <x v="2"/>
    <x v="0"/>
    <x v="0"/>
    <x v="0"/>
    <x v="0"/>
    <x v="2"/>
    <x v="2"/>
    <n v="20307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   187498  BANCOLOMBIA"/>
    <n v="54724"/>
    <n v="0"/>
    <n v="54724"/>
    <x v="0"/>
    <x v="0"/>
    <x v="0"/>
    <n v="54724"/>
    <n v="0"/>
    <n v="54724"/>
    <x v="0"/>
    <x v="0"/>
    <x v="0"/>
    <n v="54724"/>
    <n v="0"/>
    <n v="54724"/>
    <x v="0"/>
    <x v="0"/>
    <x v="0"/>
    <x v="0"/>
    <x v="0"/>
  </r>
  <r>
    <x v="2"/>
    <x v="0"/>
    <x v="0"/>
    <x v="0"/>
    <x v="0"/>
    <x v="2"/>
    <x v="2"/>
    <n v="20308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4268 BANCOLOMBIA"/>
    <n v="809373"/>
    <n v="0"/>
    <n v="809373"/>
    <x v="0"/>
    <x v="0"/>
    <x v="0"/>
    <n v="809373"/>
    <n v="0"/>
    <n v="809373"/>
    <x v="0"/>
    <x v="0"/>
    <x v="0"/>
    <n v="809373"/>
    <n v="0"/>
    <n v="809373"/>
    <x v="0"/>
    <x v="0"/>
    <x v="0"/>
    <x v="0"/>
    <x v="0"/>
  </r>
  <r>
    <x v="2"/>
    <x v="0"/>
    <x v="0"/>
    <x v="0"/>
    <x v="0"/>
    <x v="2"/>
    <x v="2"/>
    <n v="20309"/>
    <s v="890903938"/>
    <s v="BANCOLOMBIA S.A."/>
    <s v="201906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8263 BANCOLOMBIA"/>
    <n v="2087823"/>
    <n v="0"/>
    <n v="2087823"/>
    <x v="0"/>
    <x v="0"/>
    <x v="0"/>
    <n v="2087823"/>
    <n v="0"/>
    <n v="2087823"/>
    <x v="0"/>
    <x v="0"/>
    <x v="0"/>
    <n v="2087823"/>
    <n v="0"/>
    <n v="2087823"/>
    <x v="0"/>
    <x v="0"/>
    <x v="0"/>
    <x v="0"/>
    <x v="0"/>
  </r>
  <r>
    <x v="2"/>
    <x v="0"/>
    <x v="0"/>
    <x v="0"/>
    <x v="0"/>
    <x v="2"/>
    <x v="2"/>
    <n v="20343"/>
    <s v="860007660"/>
    <s v="HELM BANK S.A."/>
    <s v="2019062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CREDITO ROTATIVO"/>
    <n v="1720095"/>
    <n v="0"/>
    <n v="1720095"/>
    <x v="0"/>
    <x v="0"/>
    <x v="0"/>
    <n v="1720095"/>
    <n v="0"/>
    <n v="1720095"/>
    <x v="0"/>
    <x v="0"/>
    <x v="0"/>
    <n v="1720095"/>
    <n v="0"/>
    <n v="1720095"/>
    <x v="0"/>
    <x v="0"/>
    <x v="0"/>
    <x v="0"/>
    <x v="0"/>
  </r>
  <r>
    <x v="2"/>
    <x v="0"/>
    <x v="0"/>
    <x v="0"/>
    <x v="0"/>
    <x v="2"/>
    <x v="2"/>
    <n v="20397"/>
    <s v="860007660"/>
    <s v="HELM BANK S.A."/>
    <s v="2019063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INTERES CREDITO ROTATIVO"/>
    <n v="593566.31999999995"/>
    <n v="0"/>
    <n v="593566.32000000007"/>
    <x v="0"/>
    <x v="0"/>
    <x v="0"/>
    <n v="593566.31999999995"/>
    <n v="0"/>
    <n v="593566.32000000007"/>
    <x v="0"/>
    <x v="0"/>
    <x v="0"/>
    <n v="593566.31999999995"/>
    <n v="0"/>
    <n v="593566.32000000007"/>
    <x v="0"/>
    <x v="0"/>
    <x v="0"/>
    <x v="0"/>
    <x v="0"/>
  </r>
  <r>
    <x v="3"/>
    <x v="0"/>
    <x v="0"/>
    <x v="0"/>
    <x v="0"/>
    <x v="2"/>
    <x v="2"/>
    <n v="20368"/>
    <s v="860002964"/>
    <s v="BANCO DE BOGOTA S.A."/>
    <s v="2019070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3"/>
    <x v="0"/>
    <x v="0"/>
    <x v="0"/>
    <x v="0"/>
    <x v="2"/>
    <x v="2"/>
    <n v="20400"/>
    <s v="890903938"/>
    <s v="BANCOLOMBIA S.A."/>
    <s v="20190705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OBLIGACION 205450 BANCOLOMBIA CUOTA 19"/>
    <n v="195056"/>
    <n v="0"/>
    <n v="195056"/>
    <x v="0"/>
    <x v="0"/>
    <x v="0"/>
    <n v="195056"/>
    <n v="0"/>
    <n v="195056"/>
    <x v="0"/>
    <x v="0"/>
    <x v="0"/>
    <n v="195056"/>
    <n v="0"/>
    <n v="195056"/>
    <x v="0"/>
    <x v="0"/>
    <x v="0"/>
    <x v="0"/>
    <x v="0"/>
  </r>
  <r>
    <x v="3"/>
    <x v="0"/>
    <x v="0"/>
    <x v="0"/>
    <x v="0"/>
    <x v="2"/>
    <x v="2"/>
    <n v="20449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63289"/>
    <n v="0"/>
    <n v="763289"/>
    <x v="0"/>
    <x v="0"/>
    <x v="0"/>
    <n v="763289"/>
    <n v="0"/>
    <n v="763289"/>
    <x v="0"/>
    <x v="0"/>
    <x v="0"/>
    <n v="763289"/>
    <n v="0"/>
    <n v="763289"/>
    <x v="0"/>
    <x v="0"/>
    <x v="0"/>
    <x v="0"/>
    <x v="0"/>
  </r>
  <r>
    <x v="3"/>
    <x v="0"/>
    <x v="0"/>
    <x v="0"/>
    <x v="0"/>
    <x v="2"/>
    <x v="2"/>
    <n v="20450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79393"/>
    <n v="0"/>
    <n v="279393"/>
    <x v="0"/>
    <x v="0"/>
    <x v="0"/>
    <n v="279393"/>
    <n v="0"/>
    <n v="279393"/>
    <x v="0"/>
    <x v="0"/>
    <x v="0"/>
    <n v="279393"/>
    <n v="0"/>
    <n v="279393"/>
    <x v="0"/>
    <x v="0"/>
    <x v="0"/>
    <x v="0"/>
    <x v="0"/>
  </r>
  <r>
    <x v="3"/>
    <x v="0"/>
    <x v="0"/>
    <x v="0"/>
    <x v="0"/>
    <x v="2"/>
    <x v="2"/>
    <n v="20451"/>
    <s v="890903938"/>
    <s v="BANCOLOMBIA S.A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950895"/>
    <n v="0"/>
    <n v="1950895"/>
    <x v="0"/>
    <x v="0"/>
    <x v="0"/>
    <n v="1950895"/>
    <n v="0"/>
    <n v="1950895"/>
    <x v="0"/>
    <x v="0"/>
    <x v="0"/>
    <n v="1950895"/>
    <n v="0"/>
    <n v="1950895"/>
    <x v="0"/>
    <x v="0"/>
    <x v="0"/>
    <x v="0"/>
    <x v="0"/>
  </r>
  <r>
    <x v="3"/>
    <x v="0"/>
    <x v="0"/>
    <x v="0"/>
    <x v="0"/>
    <x v="2"/>
    <x v="2"/>
    <n v="20453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80"/>
    <n v="246808"/>
    <n v="0"/>
    <n v="246808"/>
    <x v="0"/>
    <x v="0"/>
    <x v="0"/>
    <n v="246808"/>
    <n v="0"/>
    <n v="246808"/>
    <x v="0"/>
    <x v="0"/>
    <x v="0"/>
    <n v="246808"/>
    <n v="0"/>
    <n v="246808"/>
    <x v="0"/>
    <x v="0"/>
    <x v="0"/>
    <x v="0"/>
    <x v="0"/>
  </r>
  <r>
    <x v="3"/>
    <x v="0"/>
    <x v="0"/>
    <x v="0"/>
    <x v="0"/>
    <x v="2"/>
    <x v="2"/>
    <n v="20454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90552"/>
    <n v="0"/>
    <n v="590552"/>
    <x v="0"/>
    <x v="0"/>
    <x v="0"/>
    <n v="590552"/>
    <n v="0"/>
    <n v="590552"/>
    <x v="0"/>
    <x v="0"/>
    <x v="0"/>
    <n v="590552"/>
    <n v="0"/>
    <n v="590552"/>
    <x v="0"/>
    <x v="0"/>
    <x v="0"/>
    <x v="0"/>
    <x v="0"/>
  </r>
  <r>
    <x v="3"/>
    <x v="0"/>
    <x v="0"/>
    <x v="0"/>
    <x v="0"/>
    <x v="2"/>
    <x v="2"/>
    <n v="20456"/>
    <s v="860035827"/>
    <s v="BANCO AV VILLAS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5906-3  AV VILLAS"/>
    <n v="407082"/>
    <n v="0"/>
    <n v="407082"/>
    <x v="0"/>
    <x v="0"/>
    <x v="0"/>
    <n v="407082"/>
    <n v="0"/>
    <n v="407082"/>
    <x v="0"/>
    <x v="0"/>
    <x v="0"/>
    <n v="407082"/>
    <n v="0"/>
    <n v="407082"/>
    <x v="0"/>
    <x v="0"/>
    <x v="0"/>
    <x v="0"/>
    <x v="0"/>
  </r>
  <r>
    <x v="3"/>
    <x v="0"/>
    <x v="0"/>
    <x v="0"/>
    <x v="0"/>
    <x v="2"/>
    <x v="2"/>
    <n v="20457"/>
    <s v="890300279"/>
    <s v="BANCO DE OCCIDENTE."/>
    <s v="20190709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3957-8  OCCIDENTE"/>
    <n v="546835"/>
    <n v="0"/>
    <n v="546835"/>
    <x v="0"/>
    <x v="0"/>
    <x v="0"/>
    <n v="546835"/>
    <n v="0"/>
    <n v="546835"/>
    <x v="0"/>
    <x v="0"/>
    <x v="0"/>
    <n v="546835"/>
    <n v="0"/>
    <n v="546835"/>
    <x v="0"/>
    <x v="0"/>
    <x v="0"/>
    <x v="0"/>
    <x v="0"/>
  </r>
  <r>
    <x v="3"/>
    <x v="0"/>
    <x v="0"/>
    <x v="0"/>
    <x v="0"/>
    <x v="2"/>
    <x v="2"/>
    <n v="20464"/>
    <s v="860035827"/>
    <s v="BANCO AV VILLAS"/>
    <s v="2019071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70968"/>
    <n v="0"/>
    <n v="1170968"/>
    <x v="0"/>
    <x v="0"/>
    <x v="0"/>
    <n v="1170968"/>
    <n v="0"/>
    <n v="1170968"/>
    <x v="0"/>
    <x v="0"/>
    <x v="0"/>
    <n v="1170968"/>
    <n v="0"/>
    <n v="1170968"/>
    <x v="0"/>
    <x v="0"/>
    <x v="0"/>
    <x v="0"/>
    <x v="0"/>
  </r>
  <r>
    <x v="3"/>
    <x v="0"/>
    <x v="0"/>
    <x v="0"/>
    <x v="0"/>
    <x v="2"/>
    <x v="2"/>
    <n v="20470"/>
    <s v="890300279"/>
    <s v="BANCO DE OCCIDENTE."/>
    <s v="201907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128580  DEL MES DE JUNIO ATRARZADA"/>
    <n v="254219"/>
    <n v="0"/>
    <n v="254219"/>
    <x v="0"/>
    <x v="0"/>
    <x v="0"/>
    <n v="254219"/>
    <n v="0"/>
    <n v="254219"/>
    <x v="0"/>
    <x v="0"/>
    <x v="0"/>
    <n v="254219"/>
    <n v="0"/>
    <n v="254219"/>
    <x v="0"/>
    <x v="0"/>
    <x v="0"/>
    <x v="0"/>
    <x v="0"/>
  </r>
  <r>
    <x v="3"/>
    <x v="0"/>
    <x v="0"/>
    <x v="0"/>
    <x v="0"/>
    <x v="2"/>
    <x v="2"/>
    <n v="20495"/>
    <s v="860002964"/>
    <s v="BANCO DE BOGOTA S.A."/>
    <s v="20190717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BANCO DE  BOGOTA"/>
    <n v="286118.95"/>
    <n v="0"/>
    <n v="286118.95"/>
    <x v="0"/>
    <x v="0"/>
    <x v="0"/>
    <n v="286118.95"/>
    <n v="0"/>
    <n v="286118.95"/>
    <x v="0"/>
    <x v="0"/>
    <x v="0"/>
    <n v="286118.95"/>
    <n v="0"/>
    <n v="286118.95"/>
    <x v="0"/>
    <x v="0"/>
    <x v="0"/>
    <x v="0"/>
    <x v="0"/>
  </r>
  <r>
    <x v="3"/>
    <x v="0"/>
    <x v="0"/>
    <x v="0"/>
    <x v="0"/>
    <x v="2"/>
    <x v="2"/>
    <n v="20498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51613"/>
    <n v="0"/>
    <n v="51613"/>
    <x v="0"/>
    <x v="0"/>
    <x v="0"/>
    <n v="51613"/>
    <n v="0"/>
    <n v="51613"/>
    <x v="0"/>
    <x v="0"/>
    <x v="0"/>
    <n v="51613"/>
    <n v="0"/>
    <n v="51613"/>
    <x v="0"/>
    <x v="0"/>
    <x v="0"/>
    <x v="0"/>
    <x v="0"/>
  </r>
  <r>
    <x v="3"/>
    <x v="0"/>
    <x v="0"/>
    <x v="0"/>
    <x v="0"/>
    <x v="2"/>
    <x v="2"/>
    <n v="20499"/>
    <s v="890903938"/>
    <s v="BANCOLOMBIA S.A."/>
    <s v="2019071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BANCOLOMBIA"/>
    <n v="245087"/>
    <n v="0"/>
    <n v="245087"/>
    <x v="0"/>
    <x v="0"/>
    <x v="0"/>
    <n v="245087"/>
    <n v="0"/>
    <n v="245087"/>
    <x v="0"/>
    <x v="0"/>
    <x v="0"/>
    <n v="245087"/>
    <n v="0"/>
    <n v="245087"/>
    <x v="0"/>
    <x v="0"/>
    <x v="0"/>
    <x v="0"/>
    <x v="0"/>
  </r>
  <r>
    <x v="3"/>
    <x v="0"/>
    <x v="0"/>
    <x v="0"/>
    <x v="0"/>
    <x v="2"/>
    <x v="2"/>
    <n v="20594"/>
    <s v="860002964"/>
    <s v="BANCO DE BOGOTA S.A."/>
    <s v="20190731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BANCO DE BOGOTA"/>
    <n v="80911.78"/>
    <n v="0"/>
    <n v="80911.78"/>
    <x v="0"/>
    <x v="0"/>
    <x v="0"/>
    <n v="80911.78"/>
    <n v="0"/>
    <n v="80911.78"/>
    <x v="0"/>
    <x v="0"/>
    <x v="0"/>
    <n v="80911.78"/>
    <n v="0"/>
    <n v="80911.78"/>
    <x v="0"/>
    <x v="0"/>
    <x v="0"/>
    <x v="0"/>
    <x v="0"/>
  </r>
  <r>
    <x v="4"/>
    <x v="0"/>
    <x v="0"/>
    <x v="0"/>
    <x v="0"/>
    <x v="2"/>
    <x v="2"/>
    <n v="20578"/>
    <s v="860002964"/>
    <s v="BANCO DE BOGOT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12  CUOTA 21"/>
    <n v="64394.69"/>
    <n v="0"/>
    <n v="64394.69"/>
    <x v="0"/>
    <x v="0"/>
    <x v="0"/>
    <n v="64394.69"/>
    <n v="0"/>
    <n v="64394.69"/>
    <x v="0"/>
    <x v="0"/>
    <x v="0"/>
    <n v="64394.69"/>
    <n v="0"/>
    <n v="64394.69"/>
    <x v="0"/>
    <x v="0"/>
    <x v="0"/>
    <x v="0"/>
    <x v="0"/>
  </r>
  <r>
    <x v="4"/>
    <x v="0"/>
    <x v="0"/>
    <x v="0"/>
    <x v="0"/>
    <x v="2"/>
    <x v="2"/>
    <n v="20579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7366-7  AV VILLAS"/>
    <n v="1106599"/>
    <n v="0"/>
    <n v="1106599"/>
    <x v="0"/>
    <x v="0"/>
    <x v="0"/>
    <n v="1106599"/>
    <n v="0"/>
    <n v="1106599"/>
    <x v="0"/>
    <x v="0"/>
    <x v="0"/>
    <n v="1106599"/>
    <n v="0"/>
    <n v="1106599"/>
    <x v="0"/>
    <x v="0"/>
    <x v="0"/>
    <x v="0"/>
    <x v="0"/>
  </r>
  <r>
    <x v="4"/>
    <x v="0"/>
    <x v="0"/>
    <x v="0"/>
    <x v="0"/>
    <x v="2"/>
    <x v="2"/>
    <n v="20580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791-4  AV VILLAS"/>
    <n v="535809"/>
    <n v="0"/>
    <n v="535809"/>
    <x v="0"/>
    <x v="0"/>
    <x v="0"/>
    <n v="535809"/>
    <n v="0"/>
    <n v="535809"/>
    <x v="0"/>
    <x v="0"/>
    <x v="0"/>
    <n v="535809"/>
    <n v="0"/>
    <n v="535809"/>
    <x v="0"/>
    <x v="0"/>
    <x v="0"/>
    <x v="0"/>
    <x v="0"/>
  </r>
  <r>
    <x v="4"/>
    <x v="0"/>
    <x v="0"/>
    <x v="0"/>
    <x v="0"/>
    <x v="2"/>
    <x v="2"/>
    <n v="20581"/>
    <s v="860035827"/>
    <s v="BANCO AV VILLAS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906-3  AV VILLAS"/>
    <n v="345776"/>
    <n v="0"/>
    <n v="345776"/>
    <x v="0"/>
    <x v="0"/>
    <x v="0"/>
    <n v="345776"/>
    <n v="0"/>
    <n v="345776"/>
    <x v="0"/>
    <x v="0"/>
    <x v="0"/>
    <n v="345776"/>
    <n v="0"/>
    <n v="345776"/>
    <x v="0"/>
    <x v="0"/>
    <x v="0"/>
    <x v="0"/>
    <x v="0"/>
  </r>
  <r>
    <x v="4"/>
    <x v="0"/>
    <x v="0"/>
    <x v="0"/>
    <x v="0"/>
    <x v="2"/>
    <x v="2"/>
    <n v="20584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6259  mes de agosto del 2019"/>
    <n v="1494791"/>
    <n v="0"/>
    <n v="1494791"/>
    <x v="0"/>
    <x v="0"/>
    <x v="0"/>
    <n v="1494791"/>
    <n v="0"/>
    <n v="1494791"/>
    <x v="0"/>
    <x v="0"/>
    <x v="0"/>
    <n v="1494791"/>
    <n v="0"/>
    <n v="1494791"/>
    <x v="0"/>
    <x v="0"/>
    <x v="0"/>
    <x v="0"/>
    <x v="0"/>
  </r>
  <r>
    <x v="4"/>
    <x v="0"/>
    <x v="0"/>
    <x v="0"/>
    <x v="0"/>
    <x v="2"/>
    <x v="2"/>
    <n v="20585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738  bancolombia"/>
    <n v="239149"/>
    <n v="0"/>
    <n v="239149"/>
    <x v="0"/>
    <x v="0"/>
    <x v="0"/>
    <n v="239149"/>
    <n v="0"/>
    <n v="239149"/>
    <x v="0"/>
    <x v="0"/>
    <x v="0"/>
    <n v="239149"/>
    <n v="0"/>
    <n v="239149"/>
    <x v="0"/>
    <x v="0"/>
    <x v="0"/>
    <x v="0"/>
    <x v="0"/>
  </r>
  <r>
    <x v="4"/>
    <x v="0"/>
    <x v="0"/>
    <x v="0"/>
    <x v="0"/>
    <x v="2"/>
    <x v="2"/>
    <n v="20586"/>
    <s v="890903938"/>
    <s v="BANCOLOMBIA S.A."/>
    <s v="20190806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4268  bancolombia"/>
    <n v="711278"/>
    <n v="0"/>
    <n v="711278"/>
    <x v="0"/>
    <x v="0"/>
    <x v="0"/>
    <n v="711278"/>
    <n v="0"/>
    <n v="711278"/>
    <x v="0"/>
    <x v="0"/>
    <x v="0"/>
    <n v="711278"/>
    <n v="0"/>
    <n v="711278"/>
    <x v="0"/>
    <x v="0"/>
    <x v="0"/>
    <x v="0"/>
    <x v="0"/>
  </r>
  <r>
    <x v="4"/>
    <x v="0"/>
    <x v="0"/>
    <x v="0"/>
    <x v="0"/>
    <x v="2"/>
    <x v="2"/>
    <n v="20587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957- 8"/>
    <n v="511070"/>
    <n v="0"/>
    <n v="511070"/>
    <x v="0"/>
    <x v="0"/>
    <x v="0"/>
    <n v="511070"/>
    <n v="0"/>
    <n v="511070"/>
    <x v="0"/>
    <x v="0"/>
    <x v="0"/>
    <n v="511070"/>
    <n v="0"/>
    <n v="511070"/>
    <x v="0"/>
    <x v="0"/>
    <x v="0"/>
    <x v="0"/>
    <x v="0"/>
  </r>
  <r>
    <x v="4"/>
    <x v="0"/>
    <x v="0"/>
    <x v="0"/>
    <x v="0"/>
    <x v="2"/>
    <x v="2"/>
    <n v="20596"/>
    <s v="890300279"/>
    <s v="BANCO DE OCCIDENTE."/>
    <s v="20190808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2850   BANCO DE OCCIDENTE"/>
    <n v="241159"/>
    <n v="0"/>
    <n v="241159"/>
    <x v="0"/>
    <x v="0"/>
    <x v="0"/>
    <n v="241159"/>
    <n v="0"/>
    <n v="241159"/>
    <x v="0"/>
    <x v="0"/>
    <x v="0"/>
    <n v="241159"/>
    <n v="0"/>
    <n v="241159"/>
    <x v="0"/>
    <x v="0"/>
    <x v="0"/>
    <x v="0"/>
    <x v="0"/>
  </r>
  <r>
    <x v="4"/>
    <x v="0"/>
    <x v="0"/>
    <x v="0"/>
    <x v="0"/>
    <x v="2"/>
    <x v="2"/>
    <n v="20608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205450  BANCOLOMBIA"/>
    <n v="186999"/>
    <n v="0"/>
    <n v="186999"/>
    <x v="0"/>
    <x v="0"/>
    <x v="0"/>
    <n v="186999"/>
    <n v="0"/>
    <n v="186999"/>
    <x v="0"/>
    <x v="0"/>
    <x v="0"/>
    <n v="186999"/>
    <n v="0"/>
    <n v="186999"/>
    <x v="0"/>
    <x v="0"/>
    <x v="0"/>
    <x v="0"/>
    <x v="0"/>
  </r>
  <r>
    <x v="4"/>
    <x v="0"/>
    <x v="0"/>
    <x v="0"/>
    <x v="0"/>
    <x v="2"/>
    <x v="2"/>
    <n v="20609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87498  BANCOLOMBIA"/>
    <n v="47840"/>
    <n v="0"/>
    <n v="47840"/>
    <x v="0"/>
    <x v="0"/>
    <x v="0"/>
    <n v="47840"/>
    <n v="0"/>
    <n v="47840"/>
    <x v="0"/>
    <x v="0"/>
    <x v="0"/>
    <n v="47840"/>
    <n v="0"/>
    <n v="47840"/>
    <x v="0"/>
    <x v="0"/>
    <x v="0"/>
    <x v="0"/>
    <x v="0"/>
  </r>
  <r>
    <x v="4"/>
    <x v="0"/>
    <x v="0"/>
    <x v="0"/>
    <x v="0"/>
    <x v="2"/>
    <x v="2"/>
    <n v="20611"/>
    <s v="860002964"/>
    <s v="BANCO DE BOGOTA S.A."/>
    <s v="2019081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9284  BANCO DE BOGOTA"/>
    <n v="267816.62"/>
    <n v="0"/>
    <n v="267816.62"/>
    <x v="0"/>
    <x v="0"/>
    <x v="0"/>
    <n v="267816.62"/>
    <n v="0"/>
    <n v="267816.62"/>
    <x v="0"/>
    <x v="0"/>
    <x v="0"/>
    <n v="267816.62"/>
    <n v="0"/>
    <n v="267816.62"/>
    <x v="0"/>
    <x v="0"/>
    <x v="0"/>
    <x v="0"/>
    <x v="0"/>
  </r>
  <r>
    <x v="4"/>
    <x v="0"/>
    <x v="0"/>
    <x v="0"/>
    <x v="0"/>
    <x v="2"/>
    <x v="2"/>
    <n v="20641"/>
    <s v="860007660"/>
    <s v="HELM BANK S.A."/>
    <s v="20190820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HELM BANK - CREDITO ROTATIVO"/>
    <n v="1676732.31"/>
    <n v="0"/>
    <n v="1676732.31"/>
    <x v="0"/>
    <x v="0"/>
    <x v="0"/>
    <n v="1676732.31"/>
    <n v="0"/>
    <n v="1676732.31"/>
    <x v="0"/>
    <x v="0"/>
    <x v="0"/>
    <n v="1676732.31"/>
    <n v="0"/>
    <n v="1676732.31"/>
    <x v="0"/>
    <x v="0"/>
    <x v="0"/>
    <x v="0"/>
    <x v="0"/>
  </r>
  <r>
    <x v="6"/>
    <x v="0"/>
    <x v="0"/>
    <x v="0"/>
    <x v="0"/>
    <x v="2"/>
    <x v="2"/>
    <n v="20184"/>
    <s v="800242106"/>
    <s v="SODIMAC COLOMBIA S.A."/>
    <s v="201905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98479.74"/>
    <n v="0"/>
    <n v="98479.74"/>
    <x v="0"/>
    <x v="0"/>
    <x v="0"/>
    <n v="98479.74"/>
    <n v="0"/>
    <n v="98479.74"/>
    <x v="0"/>
    <x v="0"/>
    <x v="0"/>
    <n v="98479.74"/>
    <n v="0"/>
    <n v="98479.74"/>
    <x v="0"/>
    <x v="0"/>
    <x v="0"/>
    <x v="0"/>
    <x v="0"/>
  </r>
  <r>
    <x v="6"/>
    <x v="0"/>
    <x v="0"/>
    <x v="0"/>
    <x v="0"/>
    <x v="11"/>
    <x v="11"/>
    <n v="26301"/>
    <s v="1036930909"/>
    <s v="ALZATE SANCHEZ NATACHA"/>
    <s v="201905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8+ GASTOS BANCARIOS"/>
    <n v="11677"/>
    <n v="0"/>
    <n v="11677"/>
    <x v="0"/>
    <x v="0"/>
    <x v="0"/>
    <n v="11677"/>
    <n v="0"/>
    <n v="11677"/>
    <x v="0"/>
    <x v="0"/>
    <x v="0"/>
    <n v="11677"/>
    <n v="0"/>
    <n v="11677"/>
    <x v="0"/>
    <x v="0"/>
    <x v="0"/>
    <x v="0"/>
    <x v="0"/>
  </r>
  <r>
    <x v="6"/>
    <x v="0"/>
    <x v="0"/>
    <x v="0"/>
    <x v="0"/>
    <x v="11"/>
    <x v="11"/>
    <n v="26311"/>
    <s v="1045717933"/>
    <s v="PALMA GUTIERREZ KETTY JANETH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6+ GASTOS BANCARIOS"/>
    <n v="4353"/>
    <n v="0"/>
    <n v="4353"/>
    <x v="0"/>
    <x v="0"/>
    <x v="0"/>
    <n v="4353"/>
    <n v="0"/>
    <n v="4353"/>
    <x v="0"/>
    <x v="0"/>
    <x v="0"/>
    <n v="4353"/>
    <n v="0"/>
    <n v="4353"/>
    <x v="0"/>
    <x v="0"/>
    <x v="0"/>
    <x v="0"/>
    <x v="0"/>
  </r>
  <r>
    <x v="6"/>
    <x v="0"/>
    <x v="0"/>
    <x v="0"/>
    <x v="0"/>
    <x v="11"/>
    <x v="11"/>
    <n v="26312"/>
    <s v="31908098"/>
    <s v="LOPEZ GARCIA MARIA DEL SOCORRO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31908098"/>
    <s v="LOPEZ GARCIA MARIA DEL SOCORR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3"/>
    <n v="7588"/>
    <n v="0"/>
    <n v="7588"/>
    <x v="0"/>
    <x v="0"/>
    <x v="0"/>
    <n v="7588"/>
    <n v="0"/>
    <n v="7588"/>
    <x v="0"/>
    <x v="0"/>
    <x v="0"/>
    <n v="7588"/>
    <n v="0"/>
    <n v="7588"/>
    <x v="0"/>
    <x v="0"/>
    <x v="0"/>
    <x v="0"/>
    <x v="0"/>
  </r>
  <r>
    <x v="6"/>
    <x v="0"/>
    <x v="0"/>
    <x v="0"/>
    <x v="0"/>
    <x v="11"/>
    <x v="11"/>
    <n v="26313"/>
    <s v="29873536"/>
    <s v="ZUÑIGA CEBALLOS CLAUDIA MARIA"/>
    <s v="201905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6 + GASTOS BANCARIOS"/>
    <n v="7714"/>
    <n v="0"/>
    <n v="7714"/>
    <x v="0"/>
    <x v="0"/>
    <x v="0"/>
    <n v="7714"/>
    <n v="0"/>
    <n v="7714"/>
    <x v="0"/>
    <x v="0"/>
    <x v="0"/>
    <n v="7714"/>
    <n v="0"/>
    <n v="7714"/>
    <x v="0"/>
    <x v="0"/>
    <x v="0"/>
    <x v="0"/>
    <x v="0"/>
  </r>
  <r>
    <x v="4"/>
    <x v="0"/>
    <x v="0"/>
    <x v="0"/>
    <x v="0"/>
    <x v="2"/>
    <x v="2"/>
    <n v="20607"/>
    <s v="890903938"/>
    <s v="BANCOLOMBIA S.A."/>
    <s v="20190812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8263  bancolombia"/>
    <n v="1808800"/>
    <n v="0"/>
    <n v="1808800"/>
    <x v="0"/>
    <x v="0"/>
    <x v="0"/>
    <n v="1808800"/>
    <n v="0"/>
    <n v="1808800"/>
    <x v="0"/>
    <x v="0"/>
    <x v="0"/>
    <n v="1808800"/>
    <n v="0"/>
    <n v="1808800"/>
    <x v="0"/>
    <x v="0"/>
    <x v="0"/>
    <x v="0"/>
    <x v="0"/>
  </r>
  <r>
    <x v="4"/>
    <x v="0"/>
    <x v="0"/>
    <x v="0"/>
    <x v="0"/>
    <x v="2"/>
    <x v="2"/>
    <n v="20649"/>
    <s v="890903938"/>
    <s v="BANCOLOMBIA S.A."/>
    <s v="20190823"/>
    <x v="18"/>
    <x v="0"/>
    <x v="18"/>
    <x v="0"/>
    <x v="0"/>
    <x v="0"/>
    <x v="0"/>
    <x v="0"/>
    <x v="2"/>
    <x v="2"/>
    <x v="7"/>
    <x v="7"/>
    <x v="18"/>
    <x v="18"/>
    <x v="18"/>
    <x v="18"/>
    <x v="18"/>
    <x v="18"/>
    <x v="18"/>
    <x v="18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195962  CUOTA 32"/>
    <n v="233412"/>
    <n v="0"/>
    <n v="233412"/>
    <x v="0"/>
    <x v="0"/>
    <x v="0"/>
    <n v="233412"/>
    <n v="0"/>
    <n v="233412"/>
    <x v="0"/>
    <x v="0"/>
    <x v="0"/>
    <n v="233412"/>
    <n v="0"/>
    <n v="233412"/>
    <x v="0"/>
    <x v="0"/>
    <x v="0"/>
    <x v="0"/>
    <x v="0"/>
  </r>
  <r>
    <x v="6"/>
    <x v="0"/>
    <x v="0"/>
    <x v="0"/>
    <x v="0"/>
    <x v="11"/>
    <x v="11"/>
    <n v="26349"/>
    <s v="1018441067"/>
    <s v="ALONSO GUTIERREZ YINNETH CATALINA"/>
    <s v="2019052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9"/>
    <n v="12293"/>
    <n v="0"/>
    <n v="12293"/>
    <x v="0"/>
    <x v="0"/>
    <x v="0"/>
    <n v="12293"/>
    <n v="0"/>
    <n v="12293"/>
    <x v="0"/>
    <x v="0"/>
    <x v="0"/>
    <n v="12293"/>
    <n v="0"/>
    <n v="12293"/>
    <x v="0"/>
    <x v="0"/>
    <x v="0"/>
    <x v="0"/>
    <x v="0"/>
  </r>
  <r>
    <x v="6"/>
    <x v="0"/>
    <x v="0"/>
    <x v="0"/>
    <x v="0"/>
    <x v="11"/>
    <x v="11"/>
    <n v="26289"/>
    <s v="71631400"/>
    <s v="CARRASQUILLA PIZARRO MARCO ANTONIO"/>
    <s v="201905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36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11"/>
    <x v="11"/>
    <n v="26416"/>
    <s v="71631400"/>
    <s v="CARRASQUILLA PIZARRO MARCO ANTONIO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2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11"/>
    <x v="11"/>
    <n v="26417"/>
    <s v="1098657994"/>
    <s v="HERNANDEZ ROJAS JOHN EDISON"/>
    <s v="201905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98657994"/>
    <s v="HERNANDEZ ROJAS JOHN EDISO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0+GASTOS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31199.03999999998"/>
    <n v="0"/>
    <n v="331199.03999999998"/>
    <x v="0"/>
    <x v="0"/>
    <x v="0"/>
    <n v="331199.03999999998"/>
    <n v="0"/>
    <n v="331199.03999999998"/>
    <x v="0"/>
    <x v="0"/>
    <x v="0"/>
    <n v="331199.03999999998"/>
    <n v="0"/>
    <n v="331199.03999999998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023.48"/>
    <n v="0"/>
    <n v="54023.48"/>
    <x v="0"/>
    <x v="0"/>
    <x v="0"/>
    <n v="54023.48"/>
    <n v="0"/>
    <n v="54023.48"/>
    <x v="0"/>
    <x v="0"/>
    <x v="0"/>
    <n v="54023.48"/>
    <n v="0"/>
    <n v="54023.4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.2"/>
    <n v="0"/>
    <n v="3432.2000000000003"/>
    <x v="0"/>
    <x v="0"/>
    <x v="0"/>
    <n v="3432.2"/>
    <n v="0"/>
    <n v="3432.2000000000003"/>
    <x v="0"/>
    <x v="0"/>
    <x v="0"/>
    <n v="3432.2"/>
    <n v="0"/>
    <n v="3432.20000000000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3199.1"/>
    <n v="0"/>
    <n v="53199.1"/>
    <x v="0"/>
    <x v="0"/>
    <x v="0"/>
    <n v="53199.1"/>
    <n v="0"/>
    <n v="53199.1"/>
    <x v="0"/>
    <x v="0"/>
    <x v="0"/>
    <n v="53199.1"/>
    <n v="0"/>
    <n v="53199.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1054174"/>
    <n v="0"/>
    <n v="1054174"/>
    <x v="0"/>
    <x v="0"/>
    <x v="0"/>
    <n v="1054174"/>
    <n v="0"/>
    <n v="1054174"/>
    <x v="0"/>
    <x v="0"/>
    <x v="0"/>
    <n v="0"/>
    <n v="0"/>
    <n v="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306530"/>
    <n v="0"/>
    <n v="306530"/>
    <x v="0"/>
    <x v="0"/>
    <x v="0"/>
    <n v="306530"/>
    <n v="0"/>
    <n v="306530"/>
    <x v="0"/>
    <x v="0"/>
    <x v="0"/>
    <n v="306530"/>
    <n v="0"/>
    <n v="306530"/>
    <x v="0"/>
    <x v="0"/>
    <x v="0"/>
    <x v="0"/>
    <x v="0"/>
  </r>
  <r>
    <x v="0"/>
    <x v="0"/>
    <x v="0"/>
    <x v="0"/>
    <x v="0"/>
    <x v="6"/>
    <x v="6"/>
    <n v="55"/>
    <s v="860047239"/>
    <s v="MUSICAR S.A.S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ENERO DEL 2019"/>
    <n v="0"/>
    <n v="0"/>
    <n v="0"/>
    <x v="0"/>
    <x v="0"/>
    <x v="0"/>
    <n v="147862"/>
    <n v="0"/>
    <n v="147862"/>
    <x v="0"/>
    <x v="0"/>
    <x v="0"/>
    <n v="0"/>
    <n v="0"/>
    <n v="0"/>
    <x v="0"/>
    <x v="0"/>
    <x v="0"/>
    <x v="0"/>
    <x v="0"/>
  </r>
  <r>
    <x v="0"/>
    <x v="0"/>
    <x v="0"/>
    <x v="0"/>
    <x v="0"/>
    <x v="2"/>
    <x v="2"/>
    <n v="19608"/>
    <s v="PME001013J84"/>
    <s v="PANAMSAT DE MEXICO S DE RL DE CV"/>
    <s v="201901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PANAMSAT  - (USD 17586 ) TRM 3136.59"/>
    <n v="2891313.74"/>
    <n v="0"/>
    <n v="2891313.74"/>
    <x v="0"/>
    <x v="0"/>
    <x v="0"/>
    <n v="2891313.74"/>
    <n v="0"/>
    <n v="2891313.74"/>
    <x v="0"/>
    <x v="0"/>
    <x v="0"/>
    <n v="2891313.74"/>
    <n v="0"/>
    <n v="2891313.74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37586"/>
    <n v="0"/>
    <n v="37586"/>
    <x v="0"/>
    <x v="0"/>
    <x v="0"/>
    <n v="37586"/>
    <n v="0"/>
    <n v="37586"/>
    <x v="0"/>
    <x v="0"/>
    <x v="0"/>
    <n v="37586"/>
    <n v="0"/>
    <n v="37586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1117214"/>
    <n v="0"/>
    <n v="1117214"/>
    <x v="0"/>
    <x v="0"/>
    <x v="0"/>
    <n v="1117214"/>
    <n v="0"/>
    <n v="1117214"/>
    <x v="0"/>
    <x v="0"/>
    <x v="0"/>
    <n v="0"/>
    <n v="0"/>
    <n v="0"/>
    <x v="0"/>
    <x v="0"/>
    <x v="0"/>
    <x v="0"/>
    <x v="0"/>
  </r>
  <r>
    <x v="1"/>
    <x v="0"/>
    <x v="0"/>
    <x v="0"/>
    <x v="0"/>
    <x v="6"/>
    <x v="6"/>
    <n v="56"/>
    <s v="860047239"/>
    <s v="MUSICAR S.A.S"/>
    <s v="20190228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ROCESO DIF EN CAMBIO FEBRERO 2019"/>
    <n v="0"/>
    <n v="0"/>
    <n v="0"/>
    <x v="0"/>
    <x v="0"/>
    <x v="0"/>
    <n v="156705"/>
    <n v="0"/>
    <n v="156705"/>
    <x v="0"/>
    <x v="0"/>
    <x v="0"/>
    <n v="0"/>
    <n v="0"/>
    <n v="0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440198"/>
    <n v="0"/>
    <n v="440198"/>
    <x v="0"/>
    <x v="0"/>
    <x v="0"/>
    <n v="440198"/>
    <n v="0"/>
    <n v="440198"/>
    <x v="0"/>
    <x v="0"/>
    <x v="0"/>
    <n v="440198"/>
    <n v="0"/>
    <n v="44019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8"/>
    <n v="0"/>
    <n v="1910268"/>
    <x v="0"/>
    <x v="0"/>
    <x v="0"/>
    <n v="1910268"/>
    <n v="0"/>
    <n v="1910268"/>
    <x v="0"/>
    <x v="0"/>
    <x v="0"/>
    <n v="1910268"/>
    <n v="0"/>
    <n v="191026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807488"/>
    <n v="0"/>
    <n v="1807488"/>
    <x v="0"/>
    <x v="0"/>
    <x v="0"/>
    <n v="1807488"/>
    <n v="0"/>
    <n v="1807488"/>
    <x v="0"/>
    <x v="0"/>
    <x v="0"/>
    <n v="1807488"/>
    <n v="0"/>
    <n v="1807488"/>
    <x v="0"/>
    <x v="0"/>
    <x v="0"/>
    <x v="0"/>
    <x v="0"/>
  </r>
  <r>
    <x v="5"/>
    <x v="0"/>
    <x v="0"/>
    <x v="0"/>
    <x v="0"/>
    <x v="6"/>
    <x v="6"/>
    <n v="57"/>
    <s v="860047239"/>
    <s v="MUSICAR S.A.S"/>
    <s v="201903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RZO 2019"/>
    <n v="1910269"/>
    <n v="0"/>
    <n v="1910269"/>
    <x v="0"/>
    <x v="0"/>
    <x v="0"/>
    <n v="1910269"/>
    <n v="0"/>
    <n v="1910269"/>
    <x v="0"/>
    <x v="0"/>
    <x v="0"/>
    <n v="1910269"/>
    <n v="0"/>
    <n v="1910269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250793"/>
    <n v="0"/>
    <n v="250793"/>
    <x v="0"/>
    <x v="0"/>
    <x v="0"/>
    <n v="250793"/>
    <n v="0"/>
    <n v="250793"/>
    <x v="0"/>
    <x v="0"/>
    <x v="0"/>
    <n v="250793"/>
    <n v="0"/>
    <n v="250793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097936"/>
    <n v="0"/>
    <n v="1097936"/>
    <x v="0"/>
    <x v="0"/>
    <x v="0"/>
    <n v="1097936"/>
    <n v="0"/>
    <n v="1097936"/>
    <x v="0"/>
    <x v="0"/>
    <x v="0"/>
    <n v="1097936"/>
    <n v="0"/>
    <n v="1097936"/>
    <x v="0"/>
    <x v="0"/>
    <x v="0"/>
    <x v="0"/>
    <x v="0"/>
  </r>
  <r>
    <x v="7"/>
    <x v="0"/>
    <x v="0"/>
    <x v="0"/>
    <x v="0"/>
    <x v="6"/>
    <x v="6"/>
    <n v="58"/>
    <s v="860047239"/>
    <s v="MUSICAR S.A.S"/>
    <s v="201904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BRIL DEL 2018"/>
    <n v="1355477"/>
    <n v="0"/>
    <n v="1355477"/>
    <x v="0"/>
    <x v="0"/>
    <x v="0"/>
    <n v="1355477"/>
    <n v="0"/>
    <n v="1355477"/>
    <x v="0"/>
    <x v="0"/>
    <x v="0"/>
    <n v="1355477"/>
    <n v="0"/>
    <n v="1355477"/>
    <x v="0"/>
    <x v="0"/>
    <x v="0"/>
    <x v="0"/>
    <x v="0"/>
  </r>
  <r>
    <x v="6"/>
    <x v="0"/>
    <x v="0"/>
    <x v="0"/>
    <x v="0"/>
    <x v="2"/>
    <x v="2"/>
    <n v="20253"/>
    <s v="PME001013J84"/>
    <s v="PANAMSAT DE MEXICO S DE RL DE CV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C PANAMSAT - USD 18586 (TRM 3290.27)"/>
    <n v="790835.22"/>
    <n v="0"/>
    <n v="790835.22"/>
    <x v="0"/>
    <x v="0"/>
    <x v="0"/>
    <n v="790835.22"/>
    <n v="0"/>
    <n v="790835.22"/>
    <x v="0"/>
    <x v="0"/>
    <x v="0"/>
    <n v="790835.22"/>
    <n v="0"/>
    <n v="790835.22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9"/>
    <n v="0"/>
    <n v="2046319"/>
    <x v="0"/>
    <x v="0"/>
    <x v="0"/>
    <n v="2046319"/>
    <n v="0"/>
    <n v="2046319"/>
    <x v="0"/>
    <x v="0"/>
    <x v="0"/>
    <n v="2046319"/>
    <n v="0"/>
    <n v="2046319"/>
    <x v="0"/>
    <x v="0"/>
    <x v="0"/>
    <x v="0"/>
    <x v="0"/>
  </r>
  <r>
    <x v="6"/>
    <x v="0"/>
    <x v="0"/>
    <x v="0"/>
    <x v="0"/>
    <x v="6"/>
    <x v="6"/>
    <n v="59"/>
    <s v="860047239"/>
    <s v="MUSICAR S.A.S"/>
    <s v="201905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MAYO DEL 2018"/>
    <n v="2046318"/>
    <n v="0"/>
    <n v="2046318"/>
    <x v="0"/>
    <x v="0"/>
    <x v="0"/>
    <n v="2046318"/>
    <n v="0"/>
    <n v="2046318"/>
    <x v="0"/>
    <x v="0"/>
    <x v="0"/>
    <n v="2046318"/>
    <n v="0"/>
    <n v="2046318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117214"/>
    <n v="0"/>
    <n v="1117214"/>
    <x v="0"/>
    <x v="0"/>
    <x v="0"/>
    <n v="1117214"/>
    <n v="0"/>
    <n v="1117214"/>
    <x v="0"/>
    <x v="0"/>
    <x v="0"/>
    <n v="1117214"/>
    <n v="0"/>
    <n v="111721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054174"/>
    <n v="-1054174"/>
    <x v="0"/>
    <x v="0"/>
    <x v="0"/>
    <n v="0"/>
    <n v="1054174"/>
    <n v="-1054174"/>
    <x v="0"/>
    <x v="0"/>
    <x v="0"/>
    <n v="0"/>
    <n v="1054174"/>
    <n v="-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1054174"/>
    <n v="0"/>
    <n v="1054174"/>
    <x v="0"/>
    <x v="0"/>
    <x v="0"/>
    <n v="1054174"/>
    <n v="0"/>
    <n v="1054174"/>
    <x v="0"/>
    <x v="0"/>
    <x v="0"/>
    <n v="1054174"/>
    <n v="0"/>
    <n v="1054174"/>
    <x v="0"/>
    <x v="0"/>
    <x v="0"/>
    <x v="0"/>
    <x v="0"/>
  </r>
  <r>
    <x v="2"/>
    <x v="0"/>
    <x v="0"/>
    <x v="0"/>
    <x v="0"/>
    <x v="2"/>
    <x v="2"/>
    <n v="20295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CACION X TERCEROS - DIF EN CAMBIO EN LA CUENTA DE DEPOSITOS PARA CONTRATO"/>
    <n v="0"/>
    <n v="1117214"/>
    <n v="-1117214"/>
    <x v="0"/>
    <x v="0"/>
    <x v="0"/>
    <n v="0"/>
    <n v="1117214"/>
    <n v="-1117214"/>
    <x v="0"/>
    <x v="0"/>
    <x v="0"/>
    <n v="0"/>
    <n v="1117214"/>
    <n v="-1117214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47862"/>
    <n v="-147862"/>
    <x v="0"/>
    <x v="0"/>
    <x v="0"/>
    <n v="0"/>
    <n v="0"/>
    <n v="0"/>
    <x v="0"/>
    <x v="0"/>
    <x v="0"/>
    <x v="0"/>
    <x v="0"/>
  </r>
  <r>
    <x v="2"/>
    <x v="0"/>
    <x v="0"/>
    <x v="0"/>
    <x v="0"/>
    <x v="2"/>
    <x v="2"/>
    <n v="20284"/>
    <s v="440000107338"/>
    <s v="INTELSAT US LLC"/>
    <s v="20190604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RRECCION SALDO BAJO NIIF, EN LA CUENTA DE INTELSAT"/>
    <n v="0"/>
    <n v="0"/>
    <n v="0"/>
    <x v="0"/>
    <x v="0"/>
    <x v="0"/>
    <n v="0"/>
    <n v="156705"/>
    <n v="-156705"/>
    <x v="0"/>
    <x v="0"/>
    <x v="0"/>
    <n v="0"/>
    <n v="0"/>
    <n v="0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90243"/>
    <n v="0"/>
    <n v="190243"/>
    <x v="0"/>
    <x v="0"/>
    <x v="0"/>
    <n v="190243"/>
    <n v="0"/>
    <n v="190243"/>
    <x v="0"/>
    <x v="0"/>
    <x v="0"/>
    <n v="190243"/>
    <n v="0"/>
    <n v="190243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1858764"/>
    <n v="0"/>
    <n v="1858764"/>
    <x v="0"/>
    <x v="0"/>
    <x v="0"/>
    <n v="1858764"/>
    <n v="0"/>
    <n v="1858764"/>
    <x v="0"/>
    <x v="0"/>
    <x v="0"/>
    <n v="1858764"/>
    <n v="0"/>
    <n v="1858764"/>
    <x v="0"/>
    <x v="0"/>
    <x v="0"/>
    <x v="0"/>
    <x v="0"/>
  </r>
  <r>
    <x v="2"/>
    <x v="0"/>
    <x v="0"/>
    <x v="0"/>
    <x v="0"/>
    <x v="6"/>
    <x v="6"/>
    <n v="60"/>
    <s v="860047239"/>
    <s v="MUSICAR S.A.S"/>
    <s v="201906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IDOS MES DE JUNIO DEL 2019"/>
    <n v="0"/>
    <n v="0"/>
    <n v="0"/>
    <x v="0"/>
    <x v="0"/>
    <x v="0"/>
    <n v="721682"/>
    <n v="0"/>
    <n v="721682"/>
    <x v="0"/>
    <x v="0"/>
    <x v="0"/>
    <n v="0"/>
    <n v="0"/>
    <n v="0"/>
    <x v="0"/>
    <x v="0"/>
    <x v="0"/>
    <x v="0"/>
    <x v="0"/>
  </r>
  <r>
    <x v="3"/>
    <x v="0"/>
    <x v="0"/>
    <x v="0"/>
    <x v="0"/>
    <x v="2"/>
    <x v="2"/>
    <n v="20569"/>
    <s v="PME001013J84"/>
    <s v="PANAMSAT DE MEXICO S DE RL DE CV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FACTURA SERVICIO MARZO (TRM 3199.72)"/>
    <n v="11209723.92"/>
    <n v="0"/>
    <n v="11209723.92"/>
    <x v="0"/>
    <x v="0"/>
    <x v="0"/>
    <n v="11209723.92"/>
    <n v="0"/>
    <n v="11209723.92"/>
    <x v="0"/>
    <x v="0"/>
    <x v="0"/>
    <n v="11209723.92"/>
    <n v="0"/>
    <n v="11209723.92"/>
    <x v="0"/>
    <x v="0"/>
    <x v="0"/>
    <x v="0"/>
    <x v="0"/>
  </r>
  <r>
    <x v="3"/>
    <x v="0"/>
    <x v="0"/>
    <x v="0"/>
    <x v="0"/>
    <x v="2"/>
    <x v="2"/>
    <n v="20560"/>
    <s v="900397145"/>
    <s v="TILETRADE S.A.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GO DIVIDENDOS CUOTA 04 (USD 3718.47   / TRM 3195)"/>
    <n v="8.65"/>
    <n v="0"/>
    <n v="8.65"/>
    <x v="0"/>
    <x v="0"/>
    <x v="0"/>
    <n v="8.65"/>
    <n v="0"/>
    <n v="8.65"/>
    <x v="0"/>
    <x v="0"/>
    <x v="0"/>
    <n v="8.65"/>
    <n v="0"/>
    <n v="8.65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2"/>
    <n v="0"/>
    <n v="1694672"/>
    <x v="0"/>
    <x v="0"/>
    <x v="0"/>
    <n v="1694672"/>
    <n v="0"/>
    <n v="1694672"/>
    <x v="0"/>
    <x v="0"/>
    <x v="0"/>
    <n v="1694672"/>
    <n v="0"/>
    <n v="1694672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479651"/>
    <n v="0"/>
    <n v="479651"/>
    <x v="0"/>
    <x v="0"/>
    <x v="0"/>
    <n v="479651"/>
    <n v="0"/>
    <n v="479651"/>
    <x v="0"/>
    <x v="0"/>
    <x v="0"/>
    <n v="479651"/>
    <n v="0"/>
    <n v="47965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694671"/>
    <n v="0"/>
    <n v="1694671"/>
    <x v="0"/>
    <x v="0"/>
    <x v="0"/>
    <n v="1694671"/>
    <n v="0"/>
    <n v="1694671"/>
    <x v="0"/>
    <x v="0"/>
    <x v="0"/>
    <n v="1694671"/>
    <n v="0"/>
    <n v="169467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1"/>
    <n v="0"/>
    <n v="1"/>
    <x v="0"/>
    <x v="0"/>
    <x v="0"/>
    <n v="1"/>
    <n v="0"/>
    <n v="1"/>
    <x v="0"/>
    <x v="0"/>
    <x v="0"/>
    <n v="1"/>
    <n v="0"/>
    <n v="1"/>
    <x v="0"/>
    <x v="0"/>
    <x v="0"/>
    <x v="0"/>
    <x v="0"/>
  </r>
  <r>
    <x v="3"/>
    <x v="0"/>
    <x v="0"/>
    <x v="0"/>
    <x v="0"/>
    <x v="6"/>
    <x v="6"/>
    <n v="62"/>
    <s v="860047239"/>
    <s v="MUSICAR S.A.S"/>
    <s v="201907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JULIO DEL 2019"/>
    <n v="0"/>
    <n v="0"/>
    <n v="0"/>
    <x v="0"/>
    <x v="0"/>
    <x v="0"/>
    <n v="0"/>
    <n v="0"/>
    <n v="0"/>
    <x v="0"/>
    <x v="0"/>
    <x v="0"/>
    <n v="1113914"/>
    <n v="0"/>
    <n v="1113914"/>
    <x v="0"/>
    <x v="0"/>
    <x v="0"/>
    <x v="0"/>
    <x v="0"/>
  </r>
  <r>
    <x v="4"/>
    <x v="0"/>
    <x v="0"/>
    <x v="0"/>
    <x v="0"/>
    <x v="2"/>
    <x v="2"/>
    <n v="20687"/>
    <s v="900397145"/>
    <s v="TILETRADE S.A.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900397145"/>
    <s v="TILETRADE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435.77 - TRM 3457.89)"/>
    <n v="11.73"/>
    <n v="0"/>
    <n v="11.73"/>
    <x v="0"/>
    <x v="0"/>
    <x v="0"/>
    <n v="11.73"/>
    <n v="0"/>
    <n v="11.73"/>
    <x v="0"/>
    <x v="0"/>
    <x v="0"/>
    <n v="11.73"/>
    <n v="0"/>
    <n v="11.73"/>
    <x v="0"/>
    <x v="0"/>
    <x v="0"/>
    <x v="0"/>
    <x v="0"/>
  </r>
  <r>
    <x v="4"/>
    <x v="0"/>
    <x v="0"/>
    <x v="0"/>
    <x v="0"/>
    <x v="2"/>
    <x v="2"/>
    <n v="20690"/>
    <s v="440000000330"/>
    <s v="BANCOLOMBIA CAYMAN"/>
    <s v="20190830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1707136"/>
    <s v="CODINGTON TRADING IN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IVIDENDOS CUOTA 05 ( USD 3865.24 - TRM 3457.89)"/>
    <n v="347884.34"/>
    <n v="0"/>
    <n v="347884.34"/>
    <x v="0"/>
    <x v="0"/>
    <x v="0"/>
    <n v="347884.34"/>
    <n v="0"/>
    <n v="347884.34"/>
    <x v="0"/>
    <x v="0"/>
    <x v="0"/>
    <n v="347884.34"/>
    <n v="0"/>
    <n v="347884.34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PME001013J84"/>
    <s v="PANAMSAT DE MEXICO S DE RL DE C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2424357"/>
    <n v="0"/>
    <n v="2424357"/>
    <x v="0"/>
    <x v="0"/>
    <x v="0"/>
    <n v="2424357"/>
    <n v="0"/>
    <n v="2424357"/>
    <x v="0"/>
    <x v="0"/>
    <x v="0"/>
    <n v="2424357"/>
    <n v="0"/>
    <n v="2424357"/>
    <x v="0"/>
    <x v="0"/>
    <x v="0"/>
    <x v="0"/>
    <x v="0"/>
  </r>
  <r>
    <x v="4"/>
    <x v="0"/>
    <x v="0"/>
    <x v="0"/>
    <x v="0"/>
    <x v="6"/>
    <x v="6"/>
    <n v="63"/>
    <s v="860047239"/>
    <s v="MUSICAR S.A.S"/>
    <s v="20190831"/>
    <x v="19"/>
    <x v="0"/>
    <x v="19"/>
    <x v="0"/>
    <x v="0"/>
    <x v="0"/>
    <x v="0"/>
    <x v="0"/>
    <x v="2"/>
    <x v="2"/>
    <x v="3"/>
    <x v="3"/>
    <x v="19"/>
    <x v="19"/>
    <x v="19"/>
    <x v="19"/>
    <x v="19"/>
    <x v="19"/>
    <x v="19"/>
    <x v="19"/>
    <x v="0"/>
    <x v="0"/>
    <x v="0"/>
    <x v="0"/>
    <x v="0"/>
    <x v="0"/>
    <s v="440000107338"/>
    <s v="INTELSAT US LL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DIFERENCIA EN CAMBIO MES DE AGOSTO DEL 2019"/>
    <n v="0"/>
    <n v="0"/>
    <n v="0"/>
    <x v="0"/>
    <x v="0"/>
    <x v="0"/>
    <n v="0"/>
    <n v="0"/>
    <n v="0"/>
    <x v="0"/>
    <x v="0"/>
    <x v="0"/>
    <n v="1593541"/>
    <n v="0"/>
    <n v="159354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01518"/>
    <n v="0"/>
    <n v="501518"/>
    <x v="0"/>
    <x v="0"/>
    <x v="0"/>
    <n v="501518"/>
    <n v="0"/>
    <n v="501518"/>
    <x v="0"/>
    <x v="0"/>
    <x v="0"/>
    <n v="501518"/>
    <n v="0"/>
    <n v="50151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708.74"/>
    <n v="0"/>
    <n v="100708.74"/>
    <x v="0"/>
    <x v="0"/>
    <x v="0"/>
    <n v="100708.74"/>
    <n v="0"/>
    <n v="100708.74"/>
    <x v="0"/>
    <x v="0"/>
    <x v="0"/>
    <n v="100708.74"/>
    <n v="0"/>
    <n v="100708.7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2850.27"/>
    <n v="0"/>
    <n v="2850.27"/>
    <x v="0"/>
    <x v="0"/>
    <x v="0"/>
    <n v="2850.27"/>
    <n v="0"/>
    <n v="2850.27"/>
    <x v="0"/>
    <x v="0"/>
    <x v="0"/>
    <n v="2850.27"/>
    <n v="0"/>
    <n v="2850.27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4206.44"/>
    <n v="0"/>
    <n v="74206.44"/>
    <x v="0"/>
    <x v="0"/>
    <x v="0"/>
    <n v="74206.44"/>
    <n v="0"/>
    <n v="74206.44"/>
    <x v="0"/>
    <x v="0"/>
    <x v="0"/>
    <n v="74206.44"/>
    <n v="0"/>
    <n v="74206.4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5338.8"/>
    <n v="0"/>
    <n v="185338.80000000002"/>
    <x v="0"/>
    <x v="0"/>
    <x v="0"/>
    <n v="185338.8"/>
    <n v="0"/>
    <n v="185338.80000000002"/>
    <x v="0"/>
    <x v="0"/>
    <x v="0"/>
    <n v="185338.8"/>
    <n v="0"/>
    <n v="185338.8000000000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0360.100000000006"/>
    <n v="0"/>
    <n v="70360.100000000006"/>
    <x v="0"/>
    <x v="0"/>
    <x v="0"/>
    <n v="70360.100000000006"/>
    <n v="0"/>
    <n v="70360.100000000006"/>
    <x v="0"/>
    <x v="0"/>
    <x v="0"/>
    <n v="70360.100000000006"/>
    <n v="0"/>
    <n v="70360.100000000006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6"/>
    <x v="0"/>
    <x v="0"/>
    <x v="0"/>
    <x v="0"/>
    <x v="8"/>
    <x v="8"/>
    <n v="37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15589.04"/>
    <n v="-15589.04"/>
    <x v="0"/>
    <x v="0"/>
    <x v="0"/>
    <n v="0"/>
    <n v="15589.04"/>
    <n v="-15589.04"/>
    <x v="0"/>
    <x v="0"/>
    <x v="0"/>
    <n v="0"/>
    <n v="15589.04"/>
    <n v="-15589.04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6.97"/>
    <n v="0"/>
    <n v="3556.9700000000003"/>
    <x v="0"/>
    <x v="0"/>
    <x v="0"/>
    <n v="3556.97"/>
    <n v="0"/>
    <n v="3556.9700000000003"/>
    <x v="0"/>
    <x v="0"/>
    <x v="0"/>
    <n v="3556.97"/>
    <n v="0"/>
    <n v="3556.97000000000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Sancion Ciclo Extra ACH"/>
    <n v="0"/>
    <n v="6391.51"/>
    <n v="-6391.51"/>
    <x v="0"/>
    <x v="0"/>
    <x v="0"/>
    <n v="0"/>
    <n v="6391.51"/>
    <n v="-6391.51"/>
    <x v="0"/>
    <x v="0"/>
    <x v="0"/>
    <n v="0"/>
    <n v="6391.51"/>
    <n v="-6391.51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8"/>
    <x v="8"/>
    <n v="380"/>
    <s v="860007660"/>
    <s v="HELM BANK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6"/>
    <x v="0"/>
    <x v="0"/>
    <x v="0"/>
    <x v="0"/>
    <x v="2"/>
    <x v="2"/>
    <n v="20281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  BACOLOMBIA -SERVIDOR PANTALLAS"/>
    <n v="18119.080000000002"/>
    <n v="0"/>
    <n v="18119.080000000002"/>
    <x v="0"/>
    <x v="0"/>
    <x v="0"/>
    <n v="18119.080000000002"/>
    <n v="0"/>
    <n v="18119.080000000002"/>
    <x v="0"/>
    <x v="0"/>
    <x v="0"/>
    <n v="18119.080000000002"/>
    <n v="0"/>
    <n v="18119.080000000002"/>
    <x v="0"/>
    <x v="0"/>
    <x v="0"/>
    <x v="0"/>
    <x v="0"/>
  </r>
  <r>
    <x v="6"/>
    <x v="0"/>
    <x v="0"/>
    <x v="0"/>
    <x v="0"/>
    <x v="2"/>
    <x v="2"/>
    <n v="20285"/>
    <s v="444444464"/>
    <s v="DANQ ENVIRONMENTAL TECHNOLOGY Co., LTD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4444437"/>
    <s v="PAYPA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3015 BANCOLOMBIA"/>
    <n v="740191.07"/>
    <n v="0"/>
    <n v="740191.07000000007"/>
    <x v="0"/>
    <x v="0"/>
    <x v="0"/>
    <n v="740191.07"/>
    <n v="0"/>
    <n v="740191.07000000007"/>
    <x v="0"/>
    <x v="0"/>
    <x v="0"/>
    <n v="740191.07"/>
    <n v="0"/>
    <n v="740191.07000000007"/>
    <x v="0"/>
    <x v="0"/>
    <x v="0"/>
    <x v="0"/>
    <x v="0"/>
  </r>
  <r>
    <x v="2"/>
    <x v="0"/>
    <x v="0"/>
    <x v="0"/>
    <x v="0"/>
    <x v="11"/>
    <x v="11"/>
    <n v="26433"/>
    <s v="4519543"/>
    <s v="GARCIA CASTAÑO FREDY JHOVANNY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0_x000d__x000a_CJM 255_x000d__x000a_GASTOS BANCARIOS"/>
    <n v="7940"/>
    <n v="0"/>
    <n v="7940"/>
    <x v="0"/>
    <x v="0"/>
    <x v="0"/>
    <n v="7940"/>
    <n v="0"/>
    <n v="7940"/>
    <x v="0"/>
    <x v="0"/>
    <x v="0"/>
    <n v="7940"/>
    <n v="0"/>
    <n v="7940"/>
    <x v="0"/>
    <x v="0"/>
    <x v="0"/>
    <x v="0"/>
    <x v="0"/>
  </r>
  <r>
    <x v="2"/>
    <x v="0"/>
    <x v="0"/>
    <x v="0"/>
    <x v="0"/>
    <x v="11"/>
    <x v="11"/>
    <n v="26434"/>
    <s v="71631400"/>
    <s v="CARRASQUILLA PIZARRO MARCO ANTONIO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3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35"/>
    <s v="1045717933"/>
    <s v="PALMA GUTIERREZ KETTY JANETH"/>
    <s v="201906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5"/>
    <s v="71631400"/>
    <s v="CARRASQUILLA PIZARRO MARCO ANTONIO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83 + GASTOS"/>
    <n v="50"/>
    <n v="0"/>
    <n v="50"/>
    <x v="0"/>
    <x v="0"/>
    <x v="0"/>
    <n v="50"/>
    <n v="0"/>
    <n v="50"/>
    <x v="0"/>
    <x v="0"/>
    <x v="0"/>
    <n v="50"/>
    <n v="0"/>
    <n v="50"/>
    <x v="0"/>
    <x v="0"/>
    <x v="0"/>
    <x v="0"/>
    <x v="0"/>
  </r>
  <r>
    <x v="2"/>
    <x v="0"/>
    <x v="0"/>
    <x v="0"/>
    <x v="0"/>
    <x v="11"/>
    <x v="11"/>
    <n v="26446"/>
    <s v="1045717933"/>
    <s v="PALMA GUTIERREZ KETTY JANETH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1045717933"/>
    <s v="PALMA GUTIERREZ KETTY JANETH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76 - LAN 193 + GASTOS BANCARI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447"/>
    <s v="1018441067"/>
    <s v="ALONSO GUTIERREZ YINNETH CATALINA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0+GASTOS BANCARIOS"/>
    <n v="11484"/>
    <n v="0"/>
    <n v="11484"/>
    <x v="0"/>
    <x v="0"/>
    <x v="0"/>
    <n v="11484"/>
    <n v="0"/>
    <n v="11484"/>
    <x v="0"/>
    <x v="0"/>
    <x v="0"/>
    <n v="11484"/>
    <n v="0"/>
    <n v="11484"/>
    <x v="0"/>
    <x v="0"/>
    <x v="0"/>
    <x v="0"/>
    <x v="0"/>
  </r>
  <r>
    <x v="2"/>
    <x v="0"/>
    <x v="0"/>
    <x v="0"/>
    <x v="0"/>
    <x v="11"/>
    <x v="11"/>
    <n v="26448"/>
    <s v="1098657994"/>
    <s v="HERNANDEZ ROJAS JOHN EDISON"/>
    <s v="201906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4+ GASTOS BANCARIOS"/>
    <n v="6739"/>
    <n v="0"/>
    <n v="6739"/>
    <x v="0"/>
    <x v="0"/>
    <x v="0"/>
    <n v="6739"/>
    <n v="0"/>
    <n v="6739"/>
    <x v="0"/>
    <x v="0"/>
    <x v="0"/>
    <n v="6739"/>
    <n v="0"/>
    <n v="6739"/>
    <x v="0"/>
    <x v="0"/>
    <x v="0"/>
    <x v="0"/>
    <x v="0"/>
  </r>
  <r>
    <x v="2"/>
    <x v="0"/>
    <x v="0"/>
    <x v="0"/>
    <x v="0"/>
    <x v="2"/>
    <x v="2"/>
    <n v="20310"/>
    <s v="860002964"/>
    <s v="BANCO DE BOGOTA S.A.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84981.45"/>
    <n v="0"/>
    <n v="84981.45"/>
    <x v="0"/>
    <x v="0"/>
    <x v="0"/>
    <n v="84981.45"/>
    <n v="0"/>
    <n v="84981.45"/>
    <x v="0"/>
    <x v="0"/>
    <x v="0"/>
    <n v="84981.45"/>
    <n v="0"/>
    <n v="84981.45"/>
    <x v="0"/>
    <x v="0"/>
    <x v="0"/>
    <x v="0"/>
    <x v="0"/>
  </r>
  <r>
    <x v="2"/>
    <x v="0"/>
    <x v="0"/>
    <x v="0"/>
    <x v="0"/>
    <x v="2"/>
    <x v="2"/>
    <n v="20322"/>
    <s v="890300279"/>
    <s v="BANCO DE OCCIDENTE."/>
    <s v="201906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MAYO DEL 2019"/>
    <n v="135874"/>
    <n v="0"/>
    <n v="135874"/>
    <x v="0"/>
    <x v="0"/>
    <x v="0"/>
    <n v="135874"/>
    <n v="0"/>
    <n v="135874"/>
    <x v="0"/>
    <x v="0"/>
    <x v="0"/>
    <n v="135874"/>
    <n v="0"/>
    <n v="135874"/>
    <x v="0"/>
    <x v="0"/>
    <x v="0"/>
    <x v="0"/>
    <x v="0"/>
  </r>
  <r>
    <x v="2"/>
    <x v="0"/>
    <x v="0"/>
    <x v="0"/>
    <x v="0"/>
    <x v="11"/>
    <x v="11"/>
    <n v="26519"/>
    <s v="71631400"/>
    <s v="CARRASQUILLA PIZARRO MARCO ANTONIO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7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2"/>
    <x v="0"/>
    <x v="0"/>
    <x v="0"/>
    <x v="0"/>
    <x v="11"/>
    <x v="11"/>
    <n v="26520"/>
    <s v="1045717933"/>
    <s v="PALMA GUTIERREZ KETTY JANETH"/>
    <s v="2019062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4"/>
    <n v="2400"/>
    <n v="0"/>
    <n v="2400"/>
    <x v="0"/>
    <x v="0"/>
    <x v="0"/>
    <n v="2400"/>
    <n v="0"/>
    <n v="2400"/>
    <x v="0"/>
    <x v="0"/>
    <x v="0"/>
    <n v="2400"/>
    <n v="0"/>
    <n v="2400"/>
    <x v="0"/>
    <x v="0"/>
    <x v="0"/>
    <x v="0"/>
    <x v="0"/>
  </r>
  <r>
    <x v="2"/>
    <x v="0"/>
    <x v="0"/>
    <x v="0"/>
    <x v="0"/>
    <x v="11"/>
    <x v="11"/>
    <n v="26608"/>
    <s v="1045717933"/>
    <s v="PALMA GUTIERREZ KETTY JANETH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7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609"/>
    <s v="1018441067"/>
    <s v="ALONSO GUTIERREZ YINNETH CATALIN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2"/>
    <n v="3754"/>
    <n v="0"/>
    <n v="3754"/>
    <x v="0"/>
    <x v="0"/>
    <x v="0"/>
    <n v="3754"/>
    <n v="0"/>
    <n v="3754"/>
    <x v="0"/>
    <x v="0"/>
    <x v="0"/>
    <n v="3754"/>
    <n v="0"/>
    <n v="3754"/>
    <x v="0"/>
    <x v="0"/>
    <x v="0"/>
    <x v="0"/>
    <x v="0"/>
  </r>
  <r>
    <x v="2"/>
    <x v="0"/>
    <x v="0"/>
    <x v="0"/>
    <x v="0"/>
    <x v="11"/>
    <x v="11"/>
    <n v="26610"/>
    <s v="1036930909"/>
    <s v="ALZATE SANCHEZ NATACHA"/>
    <s v="201906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79"/>
    <n v="8506"/>
    <n v="0"/>
    <n v="8506"/>
    <x v="0"/>
    <x v="0"/>
    <x v="0"/>
    <n v="8506"/>
    <n v="0"/>
    <n v="8506"/>
    <x v="0"/>
    <x v="0"/>
    <x v="0"/>
    <n v="8506"/>
    <n v="0"/>
    <n v="8506"/>
    <x v="0"/>
    <x v="0"/>
    <x v="0"/>
    <x v="0"/>
    <x v="0"/>
  </r>
  <r>
    <x v="2"/>
    <x v="0"/>
    <x v="0"/>
    <x v="0"/>
    <x v="0"/>
    <x v="2"/>
    <x v="2"/>
    <n v="20378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2581 BANCOLOMBIA"/>
    <n v="8655.7000000000007"/>
    <n v="0"/>
    <n v="8655.7000000000007"/>
    <x v="0"/>
    <x v="0"/>
    <x v="0"/>
    <n v="8655.7000000000007"/>
    <n v="0"/>
    <n v="8655.7000000000007"/>
    <x v="0"/>
    <x v="0"/>
    <x v="0"/>
    <n v="8655.7000000000007"/>
    <n v="0"/>
    <n v="8655.700000000000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2"/>
    <x v="0"/>
    <x v="0"/>
    <x v="0"/>
    <x v="0"/>
    <x v="11"/>
    <x v="11"/>
    <n v="26491"/>
    <s v="1045717933"/>
    <s v="PALMA GUTIERREZ KETTY JANETH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3+GASTO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11"/>
    <x v="11"/>
    <n v="26512"/>
    <s v="31908098"/>
    <s v="LOPEZ GARCIA MARIA DEL SOCORRO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4"/>
    <n v="11250"/>
    <n v="0"/>
    <n v="11250"/>
    <x v="0"/>
    <x v="0"/>
    <x v="0"/>
    <n v="11250"/>
    <n v="0"/>
    <n v="11250"/>
    <x v="0"/>
    <x v="0"/>
    <x v="0"/>
    <n v="11250"/>
    <n v="0"/>
    <n v="11250"/>
    <x v="0"/>
    <x v="0"/>
    <x v="0"/>
    <x v="0"/>
    <x v="0"/>
  </r>
  <r>
    <x v="2"/>
    <x v="0"/>
    <x v="0"/>
    <x v="0"/>
    <x v="0"/>
    <x v="11"/>
    <x v="11"/>
    <n v="26513"/>
    <s v="1018441067"/>
    <s v="ALONSO GUTIERREZ YINNETH CATALINA"/>
    <s v="201906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1"/>
    <n v="7687.01"/>
    <n v="0"/>
    <n v="7687.01"/>
    <x v="0"/>
    <x v="0"/>
    <x v="0"/>
    <n v="7687.01"/>
    <n v="0"/>
    <n v="7687.01"/>
    <x v="0"/>
    <x v="0"/>
    <x v="0"/>
    <n v="7687.01"/>
    <n v="0"/>
    <n v="7687.01"/>
    <x v="0"/>
    <x v="0"/>
    <x v="0"/>
    <x v="0"/>
    <x v="0"/>
  </r>
  <r>
    <x v="2"/>
    <x v="0"/>
    <x v="0"/>
    <x v="0"/>
    <x v="0"/>
    <x v="11"/>
    <x v="11"/>
    <n v="26526"/>
    <s v="1045717933"/>
    <s v="PALMA GUTIERREZ KETTY JANETH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7+ GASTOS BANCARIOS"/>
    <n v="5158"/>
    <n v="0"/>
    <n v="5158"/>
    <x v="0"/>
    <x v="0"/>
    <x v="0"/>
    <n v="5158"/>
    <n v="0"/>
    <n v="5158"/>
    <x v="0"/>
    <x v="0"/>
    <x v="0"/>
    <n v="5158"/>
    <n v="0"/>
    <n v="5158"/>
    <x v="0"/>
    <x v="0"/>
    <x v="0"/>
    <x v="0"/>
    <x v="0"/>
  </r>
  <r>
    <x v="6"/>
    <x v="0"/>
    <x v="0"/>
    <x v="0"/>
    <x v="0"/>
    <x v="2"/>
    <x v="2"/>
    <n v="20269"/>
    <s v="890903938"/>
    <s v="BANCOLOMBIA S.A."/>
    <s v="201905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MAYO -  CONCILIACION BANCOLOMBIA"/>
    <n v="153000"/>
    <n v="0"/>
    <n v="153000"/>
    <x v="0"/>
    <x v="0"/>
    <x v="0"/>
    <n v="153000"/>
    <n v="0"/>
    <n v="153000"/>
    <x v="0"/>
    <x v="0"/>
    <x v="0"/>
    <n v="153000"/>
    <n v="0"/>
    <n v="153000"/>
    <x v="0"/>
    <x v="0"/>
    <x v="0"/>
    <x v="0"/>
    <x v="0"/>
  </r>
  <r>
    <x v="2"/>
    <x v="0"/>
    <x v="0"/>
    <x v="0"/>
    <x v="0"/>
    <x v="11"/>
    <x v="11"/>
    <n v="26490"/>
    <s v="71631400"/>
    <s v="CARRASQUILLA PIZARRO MARCO ANTONIO"/>
    <s v="201906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5 + GASTOS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2"/>
    <x v="0"/>
    <x v="0"/>
    <x v="0"/>
    <x v="0"/>
    <x v="11"/>
    <x v="11"/>
    <n v="26531"/>
    <s v="1098657994"/>
    <s v="HERNANDEZ ROJAS JOHN EDISON"/>
    <s v="201906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49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4322"/>
    <n v="0"/>
    <n v="34322"/>
    <x v="0"/>
    <x v="0"/>
    <x v="0"/>
    <n v="34322"/>
    <n v="0"/>
    <n v="34322"/>
    <x v="0"/>
    <x v="0"/>
    <x v="0"/>
    <n v="34322"/>
    <n v="0"/>
    <n v="343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69893.9"/>
    <n v="0"/>
    <n v="169893.9"/>
    <x v="0"/>
    <x v="0"/>
    <x v="0"/>
    <n v="169893.9"/>
    <n v="0"/>
    <n v="169893.9"/>
    <x v="0"/>
    <x v="0"/>
    <x v="0"/>
    <n v="169893.9"/>
    <n v="0"/>
    <n v="169893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60000"/>
    <n v="0"/>
    <n v="60000"/>
    <x v="0"/>
    <x v="0"/>
    <x v="0"/>
    <n v="60000"/>
    <n v="0"/>
    <n v="60000"/>
    <x v="0"/>
    <x v="0"/>
    <x v="0"/>
    <n v="60000"/>
    <n v="0"/>
    <n v="6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6009.2"/>
    <n v="0"/>
    <n v="106009.2"/>
    <x v="0"/>
    <x v="0"/>
    <x v="0"/>
    <n v="106009.2"/>
    <n v="0"/>
    <n v="106009.2"/>
    <x v="0"/>
    <x v="0"/>
    <x v="0"/>
    <n v="106009.2"/>
    <n v="0"/>
    <n v="106009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605224"/>
    <n v="0"/>
    <n v="605224"/>
    <x v="0"/>
    <x v="0"/>
    <x v="0"/>
    <n v="605224"/>
    <n v="0"/>
    <n v="605224"/>
    <x v="0"/>
    <x v="0"/>
    <x v="0"/>
    <n v="605224"/>
    <n v="0"/>
    <n v="60522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5148.3"/>
    <n v="0"/>
    <n v="5148.3"/>
    <x v="0"/>
    <x v="0"/>
    <x v="0"/>
    <n v="5148.3"/>
    <n v="0"/>
    <n v="5148.3"/>
    <x v="0"/>
    <x v="0"/>
    <x v="0"/>
    <n v="5148.3"/>
    <n v="0"/>
    <n v="5148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3.79999999999"/>
    <n v="0"/>
    <n v="159013.80000000002"/>
    <x v="0"/>
    <x v="0"/>
    <x v="0"/>
    <n v="159013.79999999999"/>
    <n v="0"/>
    <n v="159013.80000000002"/>
    <x v="0"/>
    <x v="0"/>
    <x v="0"/>
    <n v="159013.79999999999"/>
    <n v="0"/>
    <n v="159013.8000000000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4750.45"/>
    <n v="0"/>
    <n v="4750.45"/>
    <x v="0"/>
    <x v="0"/>
    <x v="0"/>
    <n v="4750.45"/>
    <n v="0"/>
    <n v="4750.45"/>
    <x v="0"/>
    <x v="0"/>
    <x v="0"/>
    <n v="4750.45"/>
    <n v="0"/>
    <n v="4750.45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0593.2"/>
    <n v="0"/>
    <n v="20593.2"/>
    <x v="0"/>
    <x v="0"/>
    <x v="0"/>
    <n v="20593.2"/>
    <n v="0"/>
    <n v="20593.2"/>
    <x v="0"/>
    <x v="0"/>
    <x v="0"/>
    <n v="20593.2"/>
    <n v="0"/>
    <n v="20593.2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IVA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2"/>
    <x v="0"/>
    <x v="0"/>
    <x v="0"/>
    <x v="0"/>
    <x v="8"/>
    <x v="8"/>
    <n v="382"/>
    <s v="890903938"/>
    <s v="BANCOLOMBI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42088"/>
    <n v="0"/>
    <n v="342088"/>
    <x v="0"/>
    <x v="0"/>
    <x v="0"/>
    <n v="342088"/>
    <n v="0"/>
    <n v="342088"/>
    <x v="0"/>
    <x v="0"/>
    <x v="0"/>
    <n v="342088"/>
    <n v="0"/>
    <n v="34208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2"/>
    <x v="0"/>
    <x v="0"/>
    <x v="0"/>
    <x v="0"/>
    <x v="2"/>
    <x v="2"/>
    <n v="20405"/>
    <s v="900406150"/>
    <s v="BANCO COOMEVA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ION  DE GASTOS BANCARIOS BANCOOMEVA"/>
    <n v="0"/>
    <n v="57110.080000000002"/>
    <n v="-57110.080000000002"/>
    <x v="0"/>
    <x v="0"/>
    <x v="0"/>
    <n v="0"/>
    <n v="57110.080000000002"/>
    <n v="-57110.080000000002"/>
    <x v="0"/>
    <x v="0"/>
    <x v="0"/>
    <n v="0"/>
    <n v="57110.080000000002"/>
    <n v="-57110.080000000002"/>
    <x v="0"/>
    <x v="0"/>
    <x v="0"/>
    <x v="0"/>
    <x v="0"/>
  </r>
  <r>
    <x v="3"/>
    <x v="0"/>
    <x v="0"/>
    <x v="0"/>
    <x v="0"/>
    <x v="11"/>
    <x v="11"/>
    <n v="26672"/>
    <s v="1036930909"/>
    <s v="ALZATE SANCHEZ NATACHA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267"/>
    <n v="41500"/>
    <n v="0"/>
    <n v="41500"/>
    <x v="0"/>
    <x v="0"/>
    <x v="0"/>
    <n v="41500"/>
    <n v="0"/>
    <n v="41500"/>
    <x v="0"/>
    <x v="0"/>
    <x v="0"/>
    <n v="41500"/>
    <n v="0"/>
    <n v="41500"/>
    <x v="0"/>
    <x v="0"/>
    <x v="0"/>
    <x v="0"/>
    <x v="0"/>
  </r>
  <r>
    <x v="3"/>
    <x v="0"/>
    <x v="0"/>
    <x v="0"/>
    <x v="0"/>
    <x v="11"/>
    <x v="11"/>
    <n v="26673"/>
    <s v="66915560"/>
    <s v="PEREZ ARCE GRETTY"/>
    <s v="20190704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2"/>
    <x v="2"/>
    <n v="20455"/>
    <s v="860035827"/>
    <s v="BANCO AV VILLAS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0520-1 AV VILLAS"/>
    <n v="573457"/>
    <n v="0"/>
    <n v="573457"/>
    <x v="0"/>
    <x v="0"/>
    <x v="0"/>
    <n v="573457"/>
    <n v="0"/>
    <n v="573457"/>
    <x v="0"/>
    <x v="0"/>
    <x v="0"/>
    <n v="573457"/>
    <n v="0"/>
    <n v="573457"/>
    <x v="0"/>
    <x v="0"/>
    <x v="0"/>
    <x v="0"/>
    <x v="0"/>
  </r>
  <r>
    <x v="3"/>
    <x v="0"/>
    <x v="0"/>
    <x v="0"/>
    <x v="0"/>
    <x v="11"/>
    <x v="11"/>
    <n v="26686"/>
    <s v="1045717933"/>
    <s v="PALMA GUTIERREZ KETTY JANETH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687"/>
    <s v="1098657994"/>
    <s v="HERNANDEZ ROJAS JOHN EDISON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5"/>
    <n v="7218"/>
    <n v="0"/>
    <n v="7218"/>
    <x v="0"/>
    <x v="0"/>
    <x v="0"/>
    <n v="7218"/>
    <n v="0"/>
    <n v="7218"/>
    <x v="0"/>
    <x v="0"/>
    <x v="0"/>
    <n v="7218"/>
    <n v="0"/>
    <n v="7218"/>
    <x v="0"/>
    <x v="0"/>
    <x v="0"/>
    <x v="0"/>
    <x v="0"/>
  </r>
  <r>
    <x v="3"/>
    <x v="0"/>
    <x v="0"/>
    <x v="0"/>
    <x v="0"/>
    <x v="11"/>
    <x v="11"/>
    <n v="26688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1"/>
    <n v="2224"/>
    <n v="0"/>
    <n v="2224"/>
    <x v="0"/>
    <x v="0"/>
    <x v="0"/>
    <n v="2224"/>
    <n v="0"/>
    <n v="2224"/>
    <x v="0"/>
    <x v="0"/>
    <x v="0"/>
    <n v="2224"/>
    <n v="0"/>
    <n v="2224"/>
    <x v="0"/>
    <x v="0"/>
    <x v="0"/>
    <x v="0"/>
    <x v="0"/>
  </r>
  <r>
    <x v="3"/>
    <x v="0"/>
    <x v="0"/>
    <x v="0"/>
    <x v="0"/>
    <x v="11"/>
    <x v="11"/>
    <n v="26689"/>
    <s v="4519543"/>
    <s v="GARCIA CASTAÑO FREDY JHOVANNY"/>
    <s v="2019070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7"/>
    <n v="2468"/>
    <n v="0"/>
    <n v="2468"/>
    <x v="0"/>
    <x v="0"/>
    <x v="0"/>
    <n v="2468"/>
    <n v="0"/>
    <n v="2468"/>
    <x v="0"/>
    <x v="0"/>
    <x v="0"/>
    <n v="2468"/>
    <n v="0"/>
    <n v="2468"/>
    <x v="0"/>
    <x v="0"/>
    <x v="0"/>
    <x v="0"/>
    <x v="0"/>
  </r>
  <r>
    <x v="3"/>
    <x v="0"/>
    <x v="0"/>
    <x v="0"/>
    <x v="0"/>
    <x v="2"/>
    <x v="2"/>
    <n v="20465"/>
    <s v="860035827"/>
    <s v="BANCO AV VILLAS"/>
    <s v="2019071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 VILLAS OBLIGACION 7366-7"/>
    <n v="184383"/>
    <n v="0"/>
    <n v="184383"/>
    <x v="0"/>
    <x v="0"/>
    <x v="0"/>
    <n v="184383"/>
    <n v="0"/>
    <n v="184383"/>
    <x v="0"/>
    <x v="0"/>
    <x v="0"/>
    <n v="184383"/>
    <n v="0"/>
    <n v="184383"/>
    <x v="0"/>
    <x v="0"/>
    <x v="0"/>
    <x v="0"/>
    <x v="0"/>
  </r>
  <r>
    <x v="3"/>
    <x v="0"/>
    <x v="0"/>
    <x v="0"/>
    <x v="0"/>
    <x v="2"/>
    <x v="2"/>
    <n v="20469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VI VILLAS OBLIGACION 7666-7  18490 DEL MES DE JUNIO ATRARZADA"/>
    <n v="194576"/>
    <n v="0"/>
    <n v="194576"/>
    <x v="0"/>
    <x v="0"/>
    <x v="0"/>
    <n v="194576"/>
    <n v="0"/>
    <n v="194576"/>
    <x v="0"/>
    <x v="0"/>
    <x v="0"/>
    <n v="194576"/>
    <n v="0"/>
    <n v="194576"/>
    <x v="0"/>
    <x v="0"/>
    <x v="0"/>
    <x v="0"/>
    <x v="0"/>
  </r>
  <r>
    <x v="3"/>
    <x v="0"/>
    <x v="0"/>
    <x v="0"/>
    <x v="0"/>
    <x v="2"/>
    <x v="2"/>
    <n v="20471"/>
    <s v="890300279"/>
    <s v="BANCO DE OCCIDENTE."/>
    <s v="2019071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NIO DEL 2019"/>
    <n v="71722"/>
    <n v="0"/>
    <n v="71722"/>
    <x v="0"/>
    <x v="0"/>
    <x v="0"/>
    <n v="71722"/>
    <n v="0"/>
    <n v="71722"/>
    <x v="0"/>
    <x v="0"/>
    <x v="0"/>
    <n v="71722"/>
    <n v="0"/>
    <n v="71722"/>
    <x v="0"/>
    <x v="0"/>
    <x v="0"/>
    <x v="0"/>
    <x v="0"/>
  </r>
  <r>
    <x v="3"/>
    <x v="0"/>
    <x v="0"/>
    <x v="0"/>
    <x v="0"/>
    <x v="11"/>
    <x v="11"/>
    <n v="26753"/>
    <s v="31908098"/>
    <s v="LOPEZ GARCIA MARIA DEL SOCORRO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6"/>
    <n v="8503"/>
    <n v="0"/>
    <n v="8503"/>
    <x v="0"/>
    <x v="0"/>
    <x v="0"/>
    <n v="8503"/>
    <n v="0"/>
    <n v="8503"/>
    <x v="0"/>
    <x v="0"/>
    <x v="0"/>
    <n v="8503"/>
    <n v="0"/>
    <n v="8503"/>
    <x v="0"/>
    <x v="0"/>
    <x v="0"/>
    <x v="0"/>
    <x v="0"/>
  </r>
  <r>
    <x v="3"/>
    <x v="0"/>
    <x v="0"/>
    <x v="0"/>
    <x v="0"/>
    <x v="11"/>
    <x v="11"/>
    <n v="26658"/>
    <s v="1018441067"/>
    <s v="ALONSO GUTIERREZ YINNETH CATALINA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3"/>
    <n v="7410"/>
    <n v="0"/>
    <n v="7410"/>
    <x v="0"/>
    <x v="0"/>
    <x v="0"/>
    <n v="7410"/>
    <n v="0"/>
    <n v="7410"/>
    <x v="0"/>
    <x v="0"/>
    <x v="0"/>
    <n v="7410"/>
    <n v="0"/>
    <n v="7410"/>
    <x v="0"/>
    <x v="0"/>
    <x v="0"/>
    <x v="0"/>
    <x v="0"/>
  </r>
  <r>
    <x v="3"/>
    <x v="0"/>
    <x v="0"/>
    <x v="0"/>
    <x v="0"/>
    <x v="11"/>
    <x v="11"/>
    <n v="26659"/>
    <s v="31908098"/>
    <s v="LOPEZ GARCIA MARIA DEL SOCORR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235"/>
    <n v="7032"/>
    <n v="0"/>
    <n v="7032"/>
    <x v="0"/>
    <x v="0"/>
    <x v="0"/>
    <n v="7032"/>
    <n v="0"/>
    <n v="7032"/>
    <x v="0"/>
    <x v="0"/>
    <x v="0"/>
    <n v="7032"/>
    <n v="0"/>
    <n v="7032"/>
    <x v="0"/>
    <x v="0"/>
    <x v="0"/>
    <x v="0"/>
    <x v="0"/>
  </r>
  <r>
    <x v="3"/>
    <x v="0"/>
    <x v="0"/>
    <x v="0"/>
    <x v="0"/>
    <x v="11"/>
    <x v="11"/>
    <n v="26660"/>
    <s v="71631400"/>
    <s v="CARRASQUILLA PIZARRO MARCO ANTONIO"/>
    <s v="2019070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48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27"/>
    <s v="71631400"/>
    <s v="CARRASQUILLA PIZARRO MARCO ANTONIO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1"/>
    <n v="5000"/>
    <n v="0"/>
    <n v="5000"/>
    <x v="0"/>
    <x v="0"/>
    <x v="0"/>
    <n v="5000"/>
    <n v="0"/>
    <n v="5000"/>
    <x v="0"/>
    <x v="0"/>
    <x v="0"/>
    <n v="5000"/>
    <n v="0"/>
    <n v="5000"/>
    <x v="0"/>
    <x v="0"/>
    <x v="0"/>
    <x v="0"/>
    <x v="0"/>
  </r>
  <r>
    <x v="3"/>
    <x v="0"/>
    <x v="0"/>
    <x v="0"/>
    <x v="0"/>
    <x v="11"/>
    <x v="11"/>
    <n v="26728"/>
    <s v="1045717933"/>
    <s v="PALMA GUTIERREZ KETTY JANETH"/>
    <s v="2019071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1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11"/>
    <x v="11"/>
    <n v="26749"/>
    <s v="1098657994"/>
    <s v="HERNANDEZ ROJAS JOHN EDISON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02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750"/>
    <s v="4519543"/>
    <s v="GARCIA CASTAÑO FREDY JHOVANNY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344 _x000d__x000a_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51"/>
    <s v="1018441067"/>
    <s v="ALONSO GUTIERREZ YINNETH CATALINA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4_x000d__x000a_AE 752"/>
    <n v="10073"/>
    <n v="0"/>
    <n v="10073"/>
    <x v="0"/>
    <x v="0"/>
    <x v="0"/>
    <n v="10073"/>
    <n v="0"/>
    <n v="10073"/>
    <x v="0"/>
    <x v="0"/>
    <x v="0"/>
    <n v="10073"/>
    <n v="0"/>
    <n v="10073"/>
    <x v="0"/>
    <x v="0"/>
    <x v="0"/>
    <x v="0"/>
    <x v="0"/>
  </r>
  <r>
    <x v="3"/>
    <x v="0"/>
    <x v="0"/>
    <x v="0"/>
    <x v="0"/>
    <x v="11"/>
    <x v="11"/>
    <n v="26752"/>
    <s v="1045717933"/>
    <s v="PALMA GUTIERREZ KETTY JANETH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SN 199"/>
    <n v="3968"/>
    <n v="0"/>
    <n v="3968"/>
    <x v="0"/>
    <x v="0"/>
    <x v="0"/>
    <n v="3968"/>
    <n v="0"/>
    <n v="3968"/>
    <x v="0"/>
    <x v="0"/>
    <x v="0"/>
    <n v="3968"/>
    <n v="0"/>
    <n v="3968"/>
    <x v="0"/>
    <x v="0"/>
    <x v="0"/>
    <x v="0"/>
    <x v="0"/>
  </r>
  <r>
    <x v="2"/>
    <x v="0"/>
    <x v="0"/>
    <x v="0"/>
    <x v="0"/>
    <x v="8"/>
    <x v="8"/>
    <n v="381"/>
    <s v="860007660"/>
    <s v="HELM BANK S.A."/>
    <s v="201906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2"/>
    <x v="2"/>
    <n v="20493"/>
    <s v="IE9692928F"/>
    <s v="FACEBOOK IRELAND LIMITED"/>
    <s v="2019071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HELM BANCK"/>
    <n v="5082.54"/>
    <n v="0"/>
    <n v="5082.54"/>
    <x v="0"/>
    <x v="0"/>
    <x v="0"/>
    <n v="5082.54"/>
    <n v="0"/>
    <n v="5082.54"/>
    <x v="0"/>
    <x v="0"/>
    <x v="0"/>
    <n v="5082.54"/>
    <n v="0"/>
    <n v="5082.54"/>
    <x v="0"/>
    <x v="0"/>
    <x v="0"/>
    <x v="0"/>
    <x v="0"/>
  </r>
  <r>
    <x v="3"/>
    <x v="0"/>
    <x v="0"/>
    <x v="0"/>
    <x v="0"/>
    <x v="12"/>
    <x v="12"/>
    <n v="6925"/>
    <s v="860035827"/>
    <s v="BANCO AV VILLAS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cuota credito 002527366-7_x000d__x000a_saldo         credito  002277483-7"/>
    <n v="16319"/>
    <n v="0"/>
    <n v="16319"/>
    <x v="0"/>
    <x v="0"/>
    <x v="0"/>
    <n v="16319"/>
    <n v="0"/>
    <n v="16319"/>
    <x v="0"/>
    <x v="0"/>
    <x v="0"/>
    <n v="16319"/>
    <n v="0"/>
    <n v="16319"/>
    <x v="0"/>
    <x v="0"/>
    <x v="0"/>
    <x v="0"/>
    <x v="0"/>
  </r>
  <r>
    <x v="3"/>
    <x v="0"/>
    <x v="0"/>
    <x v="0"/>
    <x v="0"/>
    <x v="2"/>
    <x v="2"/>
    <n v="20494"/>
    <s v="860002964"/>
    <s v="BANCO DE BOGOTA S.A."/>
    <s v="2019071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30349 BANCO DE BOGOTA"/>
    <n v="17493"/>
    <n v="0"/>
    <n v="17493"/>
    <x v="0"/>
    <x v="0"/>
    <x v="0"/>
    <n v="17493"/>
    <n v="0"/>
    <n v="17493"/>
    <x v="0"/>
    <x v="0"/>
    <x v="0"/>
    <n v="17493"/>
    <n v="0"/>
    <n v="17493"/>
    <x v="0"/>
    <x v="0"/>
    <x v="0"/>
    <x v="0"/>
    <x v="0"/>
  </r>
  <r>
    <x v="3"/>
    <x v="0"/>
    <x v="0"/>
    <x v="0"/>
    <x v="0"/>
    <x v="2"/>
    <x v="2"/>
    <n v="20501"/>
    <s v="860002964"/>
    <s v="BANCO DE BOGOTA S.A."/>
    <s v="20190718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DE BANCARIOS BANCO DE BOGOTA  - MES DE JUNIO"/>
    <n v="103984.24"/>
    <n v="0"/>
    <n v="103984.24"/>
    <x v="0"/>
    <x v="0"/>
    <x v="0"/>
    <n v="103984.24"/>
    <n v="0"/>
    <n v="103984.24"/>
    <x v="0"/>
    <x v="0"/>
    <x v="0"/>
    <n v="103984.24"/>
    <n v="0"/>
    <n v="103984.24"/>
    <x v="0"/>
    <x v="0"/>
    <x v="0"/>
    <x v="0"/>
    <x v="0"/>
  </r>
  <r>
    <x v="3"/>
    <x v="0"/>
    <x v="0"/>
    <x v="0"/>
    <x v="0"/>
    <x v="11"/>
    <x v="11"/>
    <n v="26763"/>
    <s v="32896574"/>
    <s v="DE PAZ DIAZ JOHADYS ELENA"/>
    <s v="20190719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6"/>
    <n v="10607"/>
    <n v="0"/>
    <n v="10607"/>
    <x v="0"/>
    <x v="0"/>
    <x v="0"/>
    <n v="10607"/>
    <n v="0"/>
    <n v="10607"/>
    <x v="0"/>
    <x v="0"/>
    <x v="0"/>
    <n v="10607"/>
    <n v="0"/>
    <n v="10607"/>
    <x v="0"/>
    <x v="0"/>
    <x v="0"/>
    <x v="0"/>
    <x v="0"/>
  </r>
  <r>
    <x v="3"/>
    <x v="0"/>
    <x v="0"/>
    <x v="0"/>
    <x v="0"/>
    <x v="11"/>
    <x v="11"/>
    <n v="26764"/>
    <s v="71631400"/>
    <s v="CARRASQUILLA PIZARRO MARCO ANTONIO"/>
    <s v="201907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55"/>
    <n v="7000"/>
    <n v="0"/>
    <n v="7000"/>
    <x v="0"/>
    <x v="0"/>
    <x v="0"/>
    <n v="7000"/>
    <n v="0"/>
    <n v="7000"/>
    <x v="0"/>
    <x v="0"/>
    <x v="0"/>
    <n v="7000"/>
    <n v="0"/>
    <n v="7000"/>
    <x v="0"/>
    <x v="0"/>
    <x v="0"/>
    <x v="0"/>
    <x v="0"/>
  </r>
  <r>
    <x v="3"/>
    <x v="0"/>
    <x v="0"/>
    <x v="0"/>
    <x v="0"/>
    <x v="11"/>
    <x v="11"/>
    <n v="26770"/>
    <s v="71631400"/>
    <s v="CARRASQUILLA PIZARRO MARCO ANTONIO"/>
    <s v="2019072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71631400"/>
    <s v="CARRASQUILLA PIZARRO MARCO ANTONIO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589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3"/>
    <x v="0"/>
    <x v="0"/>
    <x v="0"/>
    <x v="0"/>
    <x v="11"/>
    <x v="11"/>
    <n v="26771"/>
    <s v="71631400"/>
    <s v="CARRASQUILLA PIZARRO MARCO ANTONIO"/>
    <s v="2019072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"/>
    <n v="6000"/>
    <n v="0"/>
    <n v="6000"/>
    <x v="0"/>
    <x v="0"/>
    <x v="0"/>
    <n v="6000"/>
    <n v="0"/>
    <n v="6000"/>
    <x v="0"/>
    <x v="0"/>
    <x v="0"/>
    <n v="6000"/>
    <n v="0"/>
    <n v="6000"/>
    <x v="0"/>
    <x v="0"/>
    <x v="0"/>
    <x v="0"/>
    <x v="0"/>
  </r>
  <r>
    <x v="3"/>
    <x v="0"/>
    <x v="0"/>
    <x v="0"/>
    <x v="0"/>
    <x v="11"/>
    <x v="11"/>
    <n v="26887"/>
    <s v="1045717933"/>
    <s v="PALMA GUTIERREZ KETTY JANETH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77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3"/>
    <x v="0"/>
    <x v="0"/>
    <x v="0"/>
    <x v="0"/>
    <x v="11"/>
    <x v="11"/>
    <n v="26888"/>
    <s v="4519543"/>
    <s v="GARCIA CASTAÑO FREDY JHOVANNY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18"/>
    <n v="2560"/>
    <n v="0"/>
    <n v="2560"/>
    <x v="0"/>
    <x v="0"/>
    <x v="0"/>
    <n v="2560"/>
    <n v="0"/>
    <n v="2560"/>
    <x v="0"/>
    <x v="0"/>
    <x v="0"/>
    <n v="2560"/>
    <n v="0"/>
    <n v="2560"/>
    <x v="0"/>
    <x v="0"/>
    <x v="0"/>
    <x v="0"/>
    <x v="0"/>
  </r>
  <r>
    <x v="3"/>
    <x v="0"/>
    <x v="0"/>
    <x v="0"/>
    <x v="0"/>
    <x v="11"/>
    <x v="11"/>
    <n v="26889"/>
    <s v="31908098"/>
    <s v="LOPEZ GARCIA MARIA DEL SOCORRO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7"/>
    <n v="8557"/>
    <n v="0"/>
    <n v="8557"/>
    <x v="0"/>
    <x v="0"/>
    <x v="0"/>
    <n v="8557"/>
    <n v="0"/>
    <n v="8557"/>
    <x v="0"/>
    <x v="0"/>
    <x v="0"/>
    <n v="8557"/>
    <n v="0"/>
    <n v="8557"/>
    <x v="0"/>
    <x v="0"/>
    <x v="0"/>
    <x v="0"/>
    <x v="0"/>
  </r>
  <r>
    <x v="3"/>
    <x v="0"/>
    <x v="0"/>
    <x v="0"/>
    <x v="0"/>
    <x v="11"/>
    <x v="11"/>
    <n v="26890"/>
    <s v="1098657994"/>
    <s v="HERNANDEZ ROJAS JOHN EDISON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6"/>
    <n v="6596"/>
    <n v="0"/>
    <n v="6596"/>
    <x v="0"/>
    <x v="0"/>
    <x v="0"/>
    <n v="6596"/>
    <n v="0"/>
    <n v="6596"/>
    <x v="0"/>
    <x v="0"/>
    <x v="0"/>
    <n v="6596"/>
    <n v="0"/>
    <n v="6596"/>
    <x v="0"/>
    <x v="0"/>
    <x v="0"/>
    <x v="0"/>
    <x v="0"/>
  </r>
  <r>
    <x v="3"/>
    <x v="0"/>
    <x v="0"/>
    <x v="0"/>
    <x v="0"/>
    <x v="11"/>
    <x v="11"/>
    <n v="26891"/>
    <s v="1018441067"/>
    <s v="ALONSO GUTIERREZ YINNETH CATALINA"/>
    <s v="201907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45"/>
    <n v="10938"/>
    <n v="0"/>
    <n v="10938"/>
    <x v="0"/>
    <x v="0"/>
    <x v="0"/>
    <n v="10938"/>
    <n v="0"/>
    <n v="10938"/>
    <x v="0"/>
    <x v="0"/>
    <x v="0"/>
    <n v="10938"/>
    <n v="0"/>
    <n v="10938"/>
    <x v="0"/>
    <x v="0"/>
    <x v="0"/>
    <x v="0"/>
    <x v="0"/>
  </r>
  <r>
    <x v="3"/>
    <x v="0"/>
    <x v="0"/>
    <x v="0"/>
    <x v="0"/>
    <x v="2"/>
    <x v="2"/>
    <n v="20590"/>
    <s v="890300279"/>
    <s v="BANCO DE OCCIDENTE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141400.89000000001"/>
    <n v="0"/>
    <n v="141400.89000000001"/>
    <x v="0"/>
    <x v="0"/>
    <x v="0"/>
    <n v="141400.89000000001"/>
    <n v="0"/>
    <n v="141400.89000000001"/>
    <x v="0"/>
    <x v="0"/>
    <x v="0"/>
    <n v="141400.89000000001"/>
    <n v="0"/>
    <n v="141400.89000000001"/>
    <x v="0"/>
    <x v="0"/>
    <x v="0"/>
    <x v="0"/>
    <x v="0"/>
  </r>
  <r>
    <x v="3"/>
    <x v="0"/>
    <x v="0"/>
    <x v="0"/>
    <x v="0"/>
    <x v="2"/>
    <x v="2"/>
    <n v="20595"/>
    <s v="860002964"/>
    <s v="BANCO DE BOGOT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E JULIO DEL 2019"/>
    <n v="87363.27"/>
    <n v="0"/>
    <n v="87363.27"/>
    <x v="0"/>
    <x v="0"/>
    <x v="0"/>
    <n v="87363.27"/>
    <n v="0"/>
    <n v="87363.27"/>
    <x v="0"/>
    <x v="0"/>
    <x v="0"/>
    <n v="87363.27"/>
    <n v="0"/>
    <n v="87363.2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8877.099999999999"/>
    <n v="0"/>
    <n v="18877.100000000002"/>
    <x v="0"/>
    <x v="0"/>
    <x v="0"/>
    <n v="18877.099999999999"/>
    <n v="0"/>
    <n v="18877.100000000002"/>
    <x v="0"/>
    <x v="0"/>
    <x v="0"/>
    <n v="18877.099999999999"/>
    <n v="0"/>
    <n v="18877.1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1999.92"/>
    <n v="0"/>
    <n v="11999.92"/>
    <x v="0"/>
    <x v="0"/>
    <x v="0"/>
    <n v="11999.92"/>
    <n v="0"/>
    <n v="11999.92"/>
    <x v="0"/>
    <x v="0"/>
    <x v="0"/>
    <n v="11999.92"/>
    <n v="0"/>
    <n v="11999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5444.9"/>
    <n v="0"/>
    <n v="15444.9"/>
    <x v="0"/>
    <x v="0"/>
    <x v="0"/>
    <n v="15444.9"/>
    <n v="0"/>
    <n v="15444.9"/>
    <x v="0"/>
    <x v="0"/>
    <x v="0"/>
    <n v="15444.9"/>
    <n v="0"/>
    <n v="1544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381282"/>
    <n v="0"/>
    <n v="381282"/>
    <x v="0"/>
    <x v="0"/>
    <x v="0"/>
    <n v="381282"/>
    <n v="0"/>
    <n v="381282"/>
    <x v="0"/>
    <x v="0"/>
    <x v="0"/>
    <n v="381282"/>
    <n v="0"/>
    <n v="381282"/>
    <x v="0"/>
    <x v="0"/>
    <x v="0"/>
    <x v="0"/>
    <x v="0"/>
  </r>
  <r>
    <x v="3"/>
    <x v="0"/>
    <x v="0"/>
    <x v="0"/>
    <x v="0"/>
    <x v="8"/>
    <x v="8"/>
    <n v="387"/>
    <s v="860007660"/>
    <s v="HELM BANK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7457.599999999999"/>
    <n v="0"/>
    <n v="27457.600000000002"/>
    <x v="0"/>
    <x v="0"/>
    <x v="0"/>
    <n v="27457.599999999999"/>
    <n v="0"/>
    <n v="27457.600000000002"/>
    <x v="0"/>
    <x v="0"/>
    <x v="0"/>
    <n v="27457.599999999999"/>
    <n v="0"/>
    <n v="27457.60000000000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17999.88"/>
    <n v="0"/>
    <n v="17999.88"/>
    <x v="0"/>
    <x v="0"/>
    <x v="0"/>
    <n v="17999.88"/>
    <n v="0"/>
    <n v="17999.88"/>
    <x v="0"/>
    <x v="0"/>
    <x v="0"/>
    <n v="17999.88"/>
    <n v="0"/>
    <n v="17999.8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436906"/>
    <n v="0"/>
    <n v="436906"/>
    <x v="0"/>
    <x v="0"/>
    <x v="0"/>
    <n v="436906"/>
    <n v="0"/>
    <n v="436906"/>
    <x v="0"/>
    <x v="0"/>
    <x v="0"/>
    <n v="436906"/>
    <n v="0"/>
    <n v="4369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0889.8"/>
    <n v="0"/>
    <n v="30889.8"/>
    <x v="0"/>
    <x v="0"/>
    <x v="0"/>
    <n v="30889.8"/>
    <n v="0"/>
    <n v="30889.8"/>
    <x v="0"/>
    <x v="0"/>
    <x v="0"/>
    <n v="30889.8"/>
    <n v="0"/>
    <n v="3088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8000"/>
    <n v="0"/>
    <n v="28000"/>
    <x v="0"/>
    <x v="0"/>
    <x v="0"/>
    <n v="28000"/>
    <n v="0"/>
    <n v="28000"/>
    <x v="0"/>
    <x v="0"/>
    <x v="0"/>
    <n v="28000"/>
    <n v="0"/>
    <n v="2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84807.360000000001"/>
    <n v="0"/>
    <n v="84807.360000000001"/>
    <x v="0"/>
    <x v="0"/>
    <x v="0"/>
    <n v="84807.360000000001"/>
    <n v="0"/>
    <n v="84807.360000000001"/>
    <x v="0"/>
    <x v="0"/>
    <x v="0"/>
    <n v="84807.360000000001"/>
    <n v="0"/>
    <n v="84807.36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32000"/>
    <n v="0"/>
    <n v="32000"/>
    <x v="0"/>
    <x v="0"/>
    <x v="0"/>
    <n v="32000"/>
    <n v="0"/>
    <n v="32000"/>
    <x v="0"/>
    <x v="0"/>
    <x v="0"/>
    <n v="32000"/>
    <n v="0"/>
    <n v="32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9470.300000000003"/>
    <n v="0"/>
    <n v="39470.300000000003"/>
    <x v="0"/>
    <x v="0"/>
    <x v="0"/>
    <n v="39470.300000000003"/>
    <n v="0"/>
    <n v="39470.300000000003"/>
    <x v="0"/>
    <x v="0"/>
    <x v="0"/>
    <n v="39470.300000000003"/>
    <n v="0"/>
    <n v="39470.300000000003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3605.52"/>
    <n v="0"/>
    <n v="63605.520000000004"/>
    <x v="0"/>
    <x v="0"/>
    <x v="0"/>
    <n v="63605.52"/>
    <n v="0"/>
    <n v="63605.520000000004"/>
    <x v="0"/>
    <x v="0"/>
    <x v="0"/>
    <n v="63605.52"/>
    <n v="0"/>
    <n v="63605.52000000000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6247.85"/>
    <n v="0"/>
    <n v="16247.85"/>
    <x v="0"/>
    <x v="0"/>
    <x v="0"/>
    <n v="16247.85"/>
    <n v="0"/>
    <n v="16247.85"/>
    <x v="0"/>
    <x v="0"/>
    <x v="0"/>
    <n v="16247.85"/>
    <n v="0"/>
    <n v="16247.85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75508.399999999994"/>
    <n v="0"/>
    <n v="75508.400000000009"/>
    <x v="0"/>
    <x v="0"/>
    <x v="0"/>
    <n v="75508.399999999994"/>
    <n v="0"/>
    <n v="75508.400000000009"/>
    <x v="0"/>
    <x v="0"/>
    <x v="0"/>
    <n v="75508.399999999994"/>
    <n v="0"/>
    <n v="75508.40000000000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3"/>
    <x v="0"/>
    <x v="0"/>
    <x v="0"/>
    <x v="0"/>
    <x v="8"/>
    <x v="8"/>
    <n v="385"/>
    <s v="890903938"/>
    <s v="BANCOLOMBIA S.A."/>
    <s v="201907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0403.68"/>
    <n v="0"/>
    <n v="50403.68"/>
    <x v="0"/>
    <x v="0"/>
    <x v="0"/>
    <n v="50403.68"/>
    <n v="0"/>
    <n v="50403.68"/>
    <x v="0"/>
    <x v="0"/>
    <x v="0"/>
    <n v="50403.68"/>
    <n v="0"/>
    <n v="50403.68"/>
    <x v="0"/>
    <x v="0"/>
    <x v="0"/>
    <x v="0"/>
    <x v="0"/>
  </r>
  <r>
    <x v="4"/>
    <x v="0"/>
    <x v="0"/>
    <x v="0"/>
    <x v="0"/>
    <x v="1"/>
    <x v="1"/>
    <n v="2439"/>
    <s v="900466196"/>
    <s v="BLUEFIELDS FINANCIAL COLOMBIA"/>
    <s v="2019080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66196"/>
    <s v="BLUEFIELDS FINANCIAL COLOMBI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INTEGRO VALOR PAGADO DOBLE A PROVEEDOR, ESTE SE HABIA PAGADO CON TC_x000d__x000a_(PEL 26239 - NI 20407)"/>
    <n v="6783"/>
    <n v="0"/>
    <n v="6783"/>
    <x v="0"/>
    <x v="0"/>
    <x v="0"/>
    <n v="6783"/>
    <n v="0"/>
    <n v="6783"/>
    <x v="0"/>
    <x v="0"/>
    <x v="0"/>
    <n v="6783"/>
    <n v="0"/>
    <n v="6783"/>
    <x v="0"/>
    <x v="0"/>
    <x v="0"/>
    <x v="0"/>
    <x v="0"/>
  </r>
  <r>
    <x v="4"/>
    <x v="0"/>
    <x v="0"/>
    <x v="0"/>
    <x v="0"/>
    <x v="11"/>
    <x v="11"/>
    <n v="26911"/>
    <s v="1045717933"/>
    <s v="PALMA GUTIERREZ KETTY JANETH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58"/>
    <n v="6877"/>
    <n v="0"/>
    <n v="6877"/>
    <x v="0"/>
    <x v="0"/>
    <x v="0"/>
    <n v="6877"/>
    <n v="0"/>
    <n v="6877"/>
    <x v="0"/>
    <x v="0"/>
    <x v="0"/>
    <n v="6877"/>
    <n v="0"/>
    <n v="6877"/>
    <x v="0"/>
    <x v="0"/>
    <x v="0"/>
    <x v="0"/>
    <x v="0"/>
  </r>
  <r>
    <x v="4"/>
    <x v="0"/>
    <x v="0"/>
    <x v="0"/>
    <x v="0"/>
    <x v="11"/>
    <x v="11"/>
    <n v="26912"/>
    <s v="1036930909"/>
    <s v="ALZATE SANCHEZ NATACHA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80"/>
    <n v="11603"/>
    <n v="0"/>
    <n v="11603"/>
    <x v="0"/>
    <x v="0"/>
    <x v="0"/>
    <n v="11603"/>
    <n v="0"/>
    <n v="11603"/>
    <x v="0"/>
    <x v="0"/>
    <x v="0"/>
    <n v="11603"/>
    <n v="0"/>
    <n v="11603"/>
    <x v="0"/>
    <x v="0"/>
    <x v="0"/>
    <x v="0"/>
    <x v="0"/>
  </r>
  <r>
    <x v="4"/>
    <x v="0"/>
    <x v="0"/>
    <x v="0"/>
    <x v="0"/>
    <x v="11"/>
    <x v="11"/>
    <n v="26913"/>
    <s v="4519543"/>
    <s v="GARCIA CASTAÑO FREDY JHOVANNY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58"/>
    <n v="6515.88"/>
    <n v="0"/>
    <n v="6515.88"/>
    <x v="0"/>
    <x v="0"/>
    <x v="0"/>
    <n v="6515.88"/>
    <n v="0"/>
    <n v="6515.88"/>
    <x v="0"/>
    <x v="0"/>
    <x v="0"/>
    <n v="6515.88"/>
    <n v="0"/>
    <n v="6515.88"/>
    <x v="0"/>
    <x v="0"/>
    <x v="0"/>
    <x v="0"/>
    <x v="0"/>
  </r>
  <r>
    <x v="4"/>
    <x v="0"/>
    <x v="0"/>
    <x v="0"/>
    <x v="0"/>
    <x v="11"/>
    <x v="11"/>
    <n v="26914"/>
    <s v="71631400"/>
    <s v="CARRASQUILLA PIZARRO MARCO ANTONIO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VJ 591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2"/>
    <x v="2"/>
    <n v="20582"/>
    <s v="860035827"/>
    <s v="BANCO AV VILLAS"/>
    <s v="20190806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OBLIGACION 520-1  AV VILLAS"/>
    <n v="516768"/>
    <n v="0"/>
    <n v="516768"/>
    <x v="0"/>
    <x v="0"/>
    <x v="0"/>
    <n v="516768"/>
    <n v="0"/>
    <n v="516768"/>
    <x v="0"/>
    <x v="0"/>
    <x v="0"/>
    <n v="516768"/>
    <n v="0"/>
    <n v="516768"/>
    <x v="0"/>
    <x v="0"/>
    <x v="0"/>
    <x v="0"/>
    <x v="0"/>
  </r>
  <r>
    <x v="4"/>
    <x v="0"/>
    <x v="0"/>
    <x v="0"/>
    <x v="0"/>
    <x v="13"/>
    <x v="13"/>
    <n v="138"/>
    <s v="29873536"/>
    <s v="ZUÑIGA CEBALLOS CLAUDIA MARIA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35827"/>
    <s v="BANCO AV VILLA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AV VILLAS - FALTANTE EN ULTIMA CUOTA CREDITO 22774837"/>
    <n v="13962"/>
    <n v="0"/>
    <n v="13962"/>
    <x v="0"/>
    <x v="0"/>
    <x v="0"/>
    <n v="13962"/>
    <n v="0"/>
    <n v="13962"/>
    <x v="0"/>
    <x v="0"/>
    <x v="0"/>
    <n v="13962"/>
    <n v="0"/>
    <n v="13962"/>
    <x v="0"/>
    <x v="0"/>
    <x v="0"/>
    <x v="0"/>
    <x v="0"/>
  </r>
  <r>
    <x v="4"/>
    <x v="0"/>
    <x v="0"/>
    <x v="0"/>
    <x v="0"/>
    <x v="2"/>
    <x v="2"/>
    <n v="20618"/>
    <s v="890300279"/>
    <s v="BANCO DE OCCIDENTE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CLASIFIACION DE CUENTA BANCO DE OCCIDENTE PAGO DE OBLIGACION"/>
    <n v="215451.21"/>
    <n v="0"/>
    <n v="215451.21"/>
    <x v="0"/>
    <x v="0"/>
    <x v="0"/>
    <n v="215451.21"/>
    <n v="0"/>
    <n v="215451.21"/>
    <x v="0"/>
    <x v="0"/>
    <x v="0"/>
    <n v="215451.21"/>
    <n v="0"/>
    <n v="215451.21"/>
    <x v="0"/>
    <x v="0"/>
    <x v="0"/>
    <x v="0"/>
    <x v="0"/>
  </r>
  <r>
    <x v="4"/>
    <x v="0"/>
    <x v="0"/>
    <x v="0"/>
    <x v="0"/>
    <x v="2"/>
    <x v="2"/>
    <n v="20619"/>
    <s v="900406150"/>
    <s v="BANCO COOMEV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MES D JULIO BANCOOMEVA"/>
    <n v="69668"/>
    <n v="0"/>
    <n v="69668"/>
    <x v="0"/>
    <x v="0"/>
    <x v="0"/>
    <n v="69668"/>
    <n v="0"/>
    <n v="69668"/>
    <x v="0"/>
    <x v="0"/>
    <x v="0"/>
    <n v="69668"/>
    <n v="0"/>
    <n v="69668"/>
    <x v="0"/>
    <x v="0"/>
    <x v="0"/>
    <x v="0"/>
    <x v="0"/>
  </r>
  <r>
    <x v="4"/>
    <x v="0"/>
    <x v="0"/>
    <x v="0"/>
    <x v="0"/>
    <x v="2"/>
    <x v="2"/>
    <n v="20620"/>
    <s v="890903938"/>
    <s v="BANCOLOMBIA S.A."/>
    <s v="2019082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DE CREDITO MES DE JULIO 9028"/>
    <n v="0"/>
    <n v="438.82"/>
    <n v="-438.82"/>
    <x v="0"/>
    <x v="0"/>
    <x v="0"/>
    <n v="0"/>
    <n v="438.82"/>
    <n v="-438.82"/>
    <x v="0"/>
    <x v="0"/>
    <x v="0"/>
    <n v="0"/>
    <n v="438.82"/>
    <n v="-438.82"/>
    <x v="0"/>
    <x v="0"/>
    <x v="0"/>
    <x v="0"/>
    <x v="0"/>
  </r>
  <r>
    <x v="4"/>
    <x v="0"/>
    <x v="0"/>
    <x v="0"/>
    <x v="0"/>
    <x v="11"/>
    <x v="11"/>
    <n v="27010"/>
    <s v="1018441067"/>
    <s v="ALONSO GUTIERREZ YINNETH CATALINA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1_x000d__x000a_CJM 246"/>
    <n v="15981"/>
    <n v="0"/>
    <n v="15981"/>
    <x v="0"/>
    <x v="0"/>
    <x v="0"/>
    <n v="15981"/>
    <n v="0"/>
    <n v="15981"/>
    <x v="0"/>
    <x v="0"/>
    <x v="0"/>
    <n v="15981"/>
    <n v="0"/>
    <n v="15981"/>
    <x v="0"/>
    <x v="0"/>
    <x v="0"/>
    <x v="0"/>
    <x v="0"/>
  </r>
  <r>
    <x v="4"/>
    <x v="0"/>
    <x v="0"/>
    <x v="0"/>
    <x v="0"/>
    <x v="2"/>
    <x v="2"/>
    <n v="20648"/>
    <s v="860007660"/>
    <s v="HELM BANK S.A."/>
    <s v="20190822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PAGO DE TARJETA HELM BANK"/>
    <n v="115174.86"/>
    <n v="0"/>
    <n v="115174.86"/>
    <x v="0"/>
    <x v="0"/>
    <x v="0"/>
    <n v="115174.86"/>
    <n v="0"/>
    <n v="115174.86"/>
    <x v="0"/>
    <x v="0"/>
    <x v="0"/>
    <n v="115174.86"/>
    <n v="0"/>
    <n v="115174.86"/>
    <x v="0"/>
    <x v="0"/>
    <x v="0"/>
    <x v="0"/>
    <x v="0"/>
  </r>
  <r>
    <x v="4"/>
    <x v="0"/>
    <x v="0"/>
    <x v="0"/>
    <x v="0"/>
    <x v="11"/>
    <x v="11"/>
    <n v="27042"/>
    <s v="1045717933"/>
    <s v="PALMA GUTIERREZ KETTY JANETH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85"/>
    <n v="3420"/>
    <n v="0"/>
    <n v="3420"/>
    <x v="0"/>
    <x v="0"/>
    <x v="0"/>
    <n v="3420"/>
    <n v="0"/>
    <n v="3420"/>
    <x v="0"/>
    <x v="0"/>
    <x v="0"/>
    <n v="3420"/>
    <n v="0"/>
    <n v="3420"/>
    <x v="0"/>
    <x v="0"/>
    <x v="0"/>
    <x v="0"/>
    <x v="0"/>
  </r>
  <r>
    <x v="4"/>
    <x v="0"/>
    <x v="0"/>
    <x v="0"/>
    <x v="0"/>
    <x v="11"/>
    <x v="11"/>
    <n v="27043"/>
    <s v="4519543"/>
    <s v="GARCIA CASTAÑO FREDY JHOVANNY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LAN 106"/>
    <n v="2200"/>
    <n v="0"/>
    <n v="2200"/>
    <x v="0"/>
    <x v="0"/>
    <x v="0"/>
    <n v="2200"/>
    <n v="0"/>
    <n v="2200"/>
    <x v="0"/>
    <x v="0"/>
    <x v="0"/>
    <n v="2200"/>
    <n v="0"/>
    <n v="2200"/>
    <x v="0"/>
    <x v="0"/>
    <x v="0"/>
    <x v="0"/>
    <x v="0"/>
  </r>
  <r>
    <x v="4"/>
    <x v="0"/>
    <x v="0"/>
    <x v="0"/>
    <x v="0"/>
    <x v="11"/>
    <x v="11"/>
    <n v="27044"/>
    <s v="1098657994"/>
    <s v="HERNANDEZ ROJAS JOHN EDISON"/>
    <s v="20190827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4_x000d__x000a_CJM 187"/>
    <n v="9356"/>
    <n v="0"/>
    <n v="9356"/>
    <x v="0"/>
    <x v="0"/>
    <x v="0"/>
    <n v="9356"/>
    <n v="0"/>
    <n v="9356"/>
    <x v="0"/>
    <x v="0"/>
    <x v="0"/>
    <n v="9356"/>
    <n v="0"/>
    <n v="9356"/>
    <x v="0"/>
    <x v="0"/>
    <x v="0"/>
    <x v="0"/>
    <x v="0"/>
  </r>
  <r>
    <x v="4"/>
    <x v="0"/>
    <x v="0"/>
    <x v="0"/>
    <x v="0"/>
    <x v="2"/>
    <x v="2"/>
    <n v="20689"/>
    <s v="440000000330"/>
    <s v="BANCOLOMBIA CAYMAN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440000000330"/>
    <s v="BANCOLOMBIA CAYMA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ES MES DE AGOSTO 2019  (TR 3427.29)"/>
    <n v="373403.25"/>
    <n v="0"/>
    <n v="373403.25"/>
    <x v="0"/>
    <x v="0"/>
    <x v="0"/>
    <n v="373403.25"/>
    <n v="0"/>
    <n v="373403.25"/>
    <x v="0"/>
    <x v="0"/>
    <x v="0"/>
    <n v="373403.25"/>
    <n v="0"/>
    <n v="373403.25"/>
    <x v="0"/>
    <x v="0"/>
    <x v="0"/>
    <x v="0"/>
    <x v="0"/>
  </r>
  <r>
    <x v="4"/>
    <x v="0"/>
    <x v="0"/>
    <x v="0"/>
    <x v="0"/>
    <x v="2"/>
    <x v="2"/>
    <n v="20740"/>
    <s v="860002964"/>
    <s v="BANCO DE BOGOT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02964"/>
    <s v="BANCO DE BOGOT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IOS BANCO DE BOGOTA MES DE AGOSTO DEL 2019"/>
    <n v="102214.69"/>
    <n v="0"/>
    <n v="102214.69"/>
    <x v="0"/>
    <x v="0"/>
    <x v="0"/>
    <n v="102214.69"/>
    <n v="0"/>
    <n v="102214.69"/>
    <x v="0"/>
    <x v="0"/>
    <x v="0"/>
    <n v="102214.69"/>
    <n v="0"/>
    <n v="102214.69"/>
    <x v="0"/>
    <x v="0"/>
    <x v="0"/>
    <x v="0"/>
    <x v="0"/>
  </r>
  <r>
    <x v="4"/>
    <x v="0"/>
    <x v="0"/>
    <x v="0"/>
    <x v="0"/>
    <x v="2"/>
    <x v="2"/>
    <n v="20729"/>
    <s v="900406150"/>
    <s v="BANCO COOMEV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900406150"/>
    <s v="BANCO COOMEV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REVERSA  GASTOS BANCARIOS MES DE AGOSTOS DEL 2019"/>
    <n v="0"/>
    <n v="23104"/>
    <n v="-23104"/>
    <x v="0"/>
    <x v="0"/>
    <x v="0"/>
    <n v="0"/>
    <n v="23104"/>
    <n v="-23104"/>
    <x v="0"/>
    <x v="0"/>
    <x v="0"/>
    <n v="0"/>
    <n v="23104"/>
    <n v="-23104"/>
    <x v="0"/>
    <x v="0"/>
    <x v="0"/>
    <x v="0"/>
    <x v="0"/>
  </r>
  <r>
    <x v="4"/>
    <x v="0"/>
    <x v="0"/>
    <x v="0"/>
    <x v="0"/>
    <x v="2"/>
    <x v="2"/>
    <n v="20730"/>
    <s v="890300279"/>
    <s v="BANCO DE OCCIDENTE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300279"/>
    <s v="BANCO DE OCCIDENT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BANCAROS MES DE AGOSTO DEL 2019"/>
    <n v="31134.66"/>
    <n v="0"/>
    <n v="31134.66"/>
    <x v="0"/>
    <x v="0"/>
    <x v="0"/>
    <n v="31134.66"/>
    <n v="0"/>
    <n v="31134.66"/>
    <x v="0"/>
    <x v="0"/>
    <x v="0"/>
    <n v="31134.66"/>
    <n v="0"/>
    <n v="31134.66"/>
    <x v="0"/>
    <x v="0"/>
    <x v="0"/>
    <x v="0"/>
    <x v="0"/>
  </r>
  <r>
    <x v="4"/>
    <x v="0"/>
    <x v="0"/>
    <x v="0"/>
    <x v="0"/>
    <x v="2"/>
    <x v="2"/>
    <n v="20696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GASTOS TARJETA DE CREDITO EN PESOS BANCOLOMBIA"/>
    <n v="3211.06"/>
    <n v="0"/>
    <n v="3211.06"/>
    <x v="0"/>
    <x v="0"/>
    <x v="0"/>
    <n v="3211.06"/>
    <n v="0"/>
    <n v="3211.06"/>
    <x v="0"/>
    <x v="0"/>
    <x v="0"/>
    <n v="3211.06"/>
    <n v="0"/>
    <n v="3211.06"/>
    <x v="0"/>
    <x v="0"/>
    <x v="0"/>
    <x v="0"/>
    <x v="0"/>
  </r>
  <r>
    <x v="4"/>
    <x v="0"/>
    <x v="0"/>
    <x v="0"/>
    <x v="0"/>
    <x v="2"/>
    <x v="2"/>
    <n v="20697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RUCES DE VALORES Y GASTOS BANCARIOS EN CONCILIACION DE AGOSTO DE 2019"/>
    <n v="62810"/>
    <n v="0"/>
    <n v="62810"/>
    <x v="0"/>
    <x v="0"/>
    <x v="0"/>
    <n v="62810"/>
    <n v="0"/>
    <n v="62810"/>
    <x v="0"/>
    <x v="0"/>
    <x v="0"/>
    <n v="62810"/>
    <n v="0"/>
    <n v="6281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11309.66"/>
    <n v="0"/>
    <n v="111309.66"/>
    <x v="0"/>
    <x v="0"/>
    <x v="0"/>
    <n v="111309.66"/>
    <n v="0"/>
    <n v="111309.66"/>
    <x v="0"/>
    <x v="0"/>
    <x v="0"/>
    <n v="111309.66"/>
    <n v="0"/>
    <n v="111309.6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864.4"/>
    <n v="0"/>
    <n v="6864.4000000000005"/>
    <x v="0"/>
    <x v="0"/>
    <x v="0"/>
    <n v="6864.4"/>
    <n v="0"/>
    <n v="6864.4000000000005"/>
    <x v="0"/>
    <x v="0"/>
    <x v="0"/>
    <n v="6864.4"/>
    <n v="0"/>
    <n v="6864.4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UOTA MANEJO SUC VIRT EMPRESA"/>
    <n v="65000"/>
    <n v="0"/>
    <n v="65000"/>
    <x v="0"/>
    <x v="0"/>
    <x v="0"/>
    <n v="65000"/>
    <n v="0"/>
    <n v="65000"/>
    <x v="0"/>
    <x v="0"/>
    <x v="0"/>
    <n v="65000"/>
    <n v="0"/>
    <n v="65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UOTA MANEJO SUC VIRT EMP"/>
    <n v="12350"/>
    <n v="0"/>
    <n v="12350"/>
    <x v="0"/>
    <x v="0"/>
    <x v="0"/>
    <n v="12350"/>
    <n v="0"/>
    <n v="12350"/>
    <x v="0"/>
    <x v="0"/>
    <x v="0"/>
    <n v="12350"/>
    <n v="0"/>
    <n v="1235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11"/>
    <x v="11"/>
    <n v="26930"/>
    <s v="1098657994"/>
    <s v="HERNANDEZ ROJAS JOHN EDISON"/>
    <s v="20190813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510"/>
    <n v="3000"/>
    <n v="0"/>
    <n v="3000"/>
    <x v="0"/>
    <x v="0"/>
    <x v="0"/>
    <n v="3000"/>
    <n v="0"/>
    <n v="3000"/>
    <x v="0"/>
    <x v="0"/>
    <x v="0"/>
    <n v="3000"/>
    <n v="0"/>
    <n v="3000"/>
    <x v="0"/>
    <x v="0"/>
    <x v="0"/>
    <x v="0"/>
    <x v="0"/>
  </r>
  <r>
    <x v="4"/>
    <x v="0"/>
    <x v="0"/>
    <x v="0"/>
    <x v="0"/>
    <x v="11"/>
    <x v="11"/>
    <n v="26997"/>
    <s v="29873536"/>
    <s v="ZUÑIGA CEBALLOS CLAUDIA MARIA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137"/>
    <n v="10202"/>
    <n v="0"/>
    <n v="10202"/>
    <x v="0"/>
    <x v="0"/>
    <x v="0"/>
    <n v="10202"/>
    <n v="0"/>
    <n v="10202"/>
    <x v="0"/>
    <x v="0"/>
    <x v="0"/>
    <n v="10202"/>
    <n v="0"/>
    <n v="10202"/>
    <x v="0"/>
    <x v="0"/>
    <x v="0"/>
    <x v="0"/>
    <x v="0"/>
  </r>
  <r>
    <x v="4"/>
    <x v="0"/>
    <x v="0"/>
    <x v="0"/>
    <x v="0"/>
    <x v="11"/>
    <x v="11"/>
    <n v="26998"/>
    <s v="31908098"/>
    <s v="LOPEZ GARCIA MARIA DEL SOCORRO"/>
    <s v="20190815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JM 238"/>
    <n v="10749"/>
    <n v="0"/>
    <n v="10749"/>
    <x v="0"/>
    <x v="0"/>
    <x v="0"/>
    <n v="10749"/>
    <n v="0"/>
    <n v="10749"/>
    <x v="0"/>
    <x v="0"/>
    <x v="0"/>
    <n v="10749"/>
    <n v="0"/>
    <n v="10749"/>
    <x v="0"/>
    <x v="0"/>
    <x v="0"/>
    <x v="0"/>
    <x v="0"/>
  </r>
  <r>
    <x v="4"/>
    <x v="0"/>
    <x v="0"/>
    <x v="0"/>
    <x v="0"/>
    <x v="11"/>
    <x v="11"/>
    <n v="27089"/>
    <s v="71631400"/>
    <s v="CARRASQUILLA PIZARRO MARCO ANTONIO"/>
    <s v="20190830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60047239"/>
    <s v="MUSICAR S.A.S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AE 762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BRO COMISION ACH COLOMBIA"/>
    <n v="537218"/>
    <n v="0"/>
    <n v="537218"/>
    <x v="0"/>
    <x v="0"/>
    <x v="0"/>
    <n v="537218"/>
    <n v="0"/>
    <n v="537218"/>
    <x v="0"/>
    <x v="0"/>
    <x v="0"/>
    <n v="537218"/>
    <n v="0"/>
    <n v="5372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7704.14"/>
    <n v="0"/>
    <n v="47704.14"/>
    <x v="0"/>
    <x v="0"/>
    <x v="0"/>
    <n v="47704.14"/>
    <n v="0"/>
    <n v="47704.14"/>
    <x v="0"/>
    <x v="0"/>
    <x v="0"/>
    <n v="47704.14"/>
    <n v="0"/>
    <n v="47704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605.9"/>
    <n v="0"/>
    <n v="32605.9"/>
    <x v="0"/>
    <x v="0"/>
    <x v="0"/>
    <n v="32605.9"/>
    <n v="0"/>
    <n v="32605.9"/>
    <x v="0"/>
    <x v="0"/>
    <x v="0"/>
    <n v="32605.9"/>
    <n v="0"/>
    <n v="32605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9748.7099999999991"/>
    <n v="0"/>
    <n v="9748.7100000000009"/>
    <x v="0"/>
    <x v="0"/>
    <x v="0"/>
    <n v="9748.7099999999991"/>
    <n v="0"/>
    <n v="9748.7100000000009"/>
    <x v="0"/>
    <x v="0"/>
    <x v="0"/>
    <n v="9748.7099999999991"/>
    <n v="0"/>
    <n v="9748.71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.46"/>
    <n v="0"/>
    <n v="5300.46"/>
    <x v="0"/>
    <x v="0"/>
    <x v="0"/>
    <n v="5300.46"/>
    <n v="0"/>
    <n v="5300.46"/>
    <x v="0"/>
    <x v="0"/>
    <x v="0"/>
    <n v="5300.46"/>
    <n v="0"/>
    <n v="5300.4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42403.68"/>
    <n v="0"/>
    <n v="42403.68"/>
    <x v="0"/>
    <x v="0"/>
    <x v="0"/>
    <n v="42403.68"/>
    <n v="0"/>
    <n v="42403.68"/>
    <x v="0"/>
    <x v="0"/>
    <x v="0"/>
    <n v="42403.68"/>
    <n v="0"/>
    <n v="42403.6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87054.9"/>
    <n v="0"/>
    <n v="187054.9"/>
    <x v="0"/>
    <x v="0"/>
    <x v="0"/>
    <n v="187054.9"/>
    <n v="0"/>
    <n v="187054.9"/>
    <x v="0"/>
    <x v="0"/>
    <x v="0"/>
    <n v="187054.9"/>
    <n v="0"/>
    <n v="187054.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10599.6"/>
    <n v="0"/>
    <n v="10599.6"/>
    <x v="0"/>
    <x v="0"/>
    <x v="0"/>
    <n v="10599.6"/>
    <n v="0"/>
    <n v="10599.6"/>
    <x v="0"/>
    <x v="0"/>
    <x v="0"/>
    <n v="10599.6"/>
    <n v="0"/>
    <n v="10599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3078"/>
    <n v="0"/>
    <n v="3078"/>
    <x v="0"/>
    <x v="0"/>
    <x v="0"/>
    <n v="3078"/>
    <n v="0"/>
    <n v="3078"/>
    <x v="0"/>
    <x v="0"/>
    <x v="0"/>
    <n v="3078"/>
    <n v="0"/>
    <n v="307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584.82000000000005"/>
    <n v="0"/>
    <n v="584.82000000000005"/>
    <x v="0"/>
    <x v="0"/>
    <x v="0"/>
    <n v="584.82000000000005"/>
    <n v="0"/>
    <n v="584.82000000000005"/>
    <x v="0"/>
    <x v="0"/>
    <x v="0"/>
    <n v="584.82000000000005"/>
    <n v="0"/>
    <n v="584.8200000000000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29173.7"/>
    <n v="0"/>
    <n v="29173.7"/>
    <x v="0"/>
    <x v="0"/>
    <x v="0"/>
    <n v="29173.7"/>
    <n v="0"/>
    <n v="29173.7"/>
    <x v="0"/>
    <x v="0"/>
    <x v="0"/>
    <n v="29173.7"/>
    <n v="0"/>
    <n v="29173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7754.199999999997"/>
    <n v="0"/>
    <n v="37754.200000000004"/>
    <x v="0"/>
    <x v="0"/>
    <x v="0"/>
    <n v="37754.199999999997"/>
    <n v="0"/>
    <n v="37754.200000000004"/>
    <x v="0"/>
    <x v="0"/>
    <x v="0"/>
    <n v="37754.199999999997"/>
    <n v="0"/>
    <n v="37754.2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3800.36"/>
    <n v="0"/>
    <n v="3800.36"/>
    <x v="0"/>
    <x v="0"/>
    <x v="0"/>
    <n v="3800.36"/>
    <n v="0"/>
    <n v="3800.36"/>
    <x v="0"/>
    <x v="0"/>
    <x v="0"/>
    <n v="3800.36"/>
    <n v="0"/>
    <n v="3800.3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6000"/>
    <n v="0"/>
    <n v="16000"/>
    <x v="0"/>
    <x v="0"/>
    <x v="0"/>
    <n v="16000"/>
    <n v="0"/>
    <n v="16000"/>
    <x v="0"/>
    <x v="0"/>
    <x v="0"/>
    <n v="16000"/>
    <n v="0"/>
    <n v="16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0296.6"/>
    <n v="0"/>
    <n v="10296.6"/>
    <x v="0"/>
    <x v="0"/>
    <x v="0"/>
    <n v="10296.6"/>
    <n v="0"/>
    <n v="10296.6"/>
    <x v="0"/>
    <x v="0"/>
    <x v="0"/>
    <n v="10296.6"/>
    <n v="0"/>
    <n v="10296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1802.76"/>
    <n v="0"/>
    <n v="31802.760000000002"/>
    <x v="0"/>
    <x v="0"/>
    <x v="0"/>
    <n v="31802.76"/>
    <n v="0"/>
    <n v="31802.760000000002"/>
    <x v="0"/>
    <x v="0"/>
    <x v="0"/>
    <n v="31802.76"/>
    <n v="0"/>
    <n v="31802.76000000000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4104"/>
    <n v="0"/>
    <n v="4104"/>
    <x v="0"/>
    <x v="0"/>
    <x v="0"/>
    <n v="4104"/>
    <n v="0"/>
    <n v="4104"/>
    <x v="0"/>
    <x v="0"/>
    <x v="0"/>
    <n v="4104"/>
    <n v="0"/>
    <n v="41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779.76"/>
    <n v="0"/>
    <n v="779.76"/>
    <x v="0"/>
    <x v="0"/>
    <x v="0"/>
    <n v="779.76"/>
    <n v="0"/>
    <n v="779.76"/>
    <x v="0"/>
    <x v="0"/>
    <x v="0"/>
    <n v="779.76"/>
    <n v="0"/>
    <n v="779.7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0000.98"/>
    <n v="0"/>
    <n v="10000.98"/>
    <x v="0"/>
    <x v="0"/>
    <x v="0"/>
    <n v="10000.98"/>
    <n v="0"/>
    <n v="10000.98"/>
    <x v="0"/>
    <x v="0"/>
    <x v="0"/>
    <n v="10000.98"/>
    <n v="0"/>
    <n v="10000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3728.8"/>
    <n v="0"/>
    <n v="13728.800000000001"/>
    <x v="0"/>
    <x v="0"/>
    <x v="0"/>
    <n v="13728.8"/>
    <n v="0"/>
    <n v="13728.800000000001"/>
    <x v="0"/>
    <x v="0"/>
    <x v="0"/>
    <n v="13728.8"/>
    <n v="0"/>
    <n v="13728.8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998.28"/>
    <n v="0"/>
    <n v="12998.28"/>
    <x v="0"/>
    <x v="0"/>
    <x v="0"/>
    <n v="12998.28"/>
    <n v="0"/>
    <n v="12998.28"/>
    <x v="0"/>
    <x v="0"/>
    <x v="0"/>
    <n v="12998.28"/>
    <n v="0"/>
    <n v="12998.2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8000"/>
    <n v="0"/>
    <n v="8000"/>
    <x v="0"/>
    <x v="0"/>
    <x v="0"/>
    <n v="8000"/>
    <n v="0"/>
    <n v="8000"/>
    <x v="0"/>
    <x v="0"/>
    <x v="0"/>
    <n v="8000"/>
    <n v="0"/>
    <n v="8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0600.92"/>
    <n v="0"/>
    <n v="10600.92"/>
    <x v="0"/>
    <x v="0"/>
    <x v="0"/>
    <n v="10600.92"/>
    <n v="0"/>
    <n v="10600.92"/>
    <x v="0"/>
    <x v="0"/>
    <x v="0"/>
    <n v="10600.92"/>
    <n v="0"/>
    <n v="10600.9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58305.06"/>
    <n v="0"/>
    <n v="58305.06"/>
    <x v="0"/>
    <x v="0"/>
    <x v="0"/>
    <n v="58305.06"/>
    <n v="0"/>
    <n v="58305.06"/>
    <x v="0"/>
    <x v="0"/>
    <x v="0"/>
    <n v="58305.06"/>
    <n v="0"/>
    <n v="58305.0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2012.7"/>
    <n v="0"/>
    <n v="12012.7"/>
    <x v="0"/>
    <x v="0"/>
    <x v="0"/>
    <n v="12012.7"/>
    <n v="0"/>
    <n v="12012.7"/>
    <x v="0"/>
    <x v="0"/>
    <x v="0"/>
    <n v="12012.7"/>
    <n v="0"/>
    <n v="12012.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DE NOMINA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15901.38"/>
    <n v="0"/>
    <n v="15901.380000000001"/>
    <x v="0"/>
    <x v="0"/>
    <x v="0"/>
    <n v="15901.38"/>
    <n v="0"/>
    <n v="15901.380000000001"/>
    <x v="0"/>
    <x v="0"/>
    <x v="0"/>
    <n v="15901.38"/>
    <n v="0"/>
    <n v="15901.38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4000"/>
    <n v="0"/>
    <n v="4000"/>
    <x v="0"/>
    <x v="0"/>
    <x v="0"/>
    <n v="4000"/>
    <n v="0"/>
    <n v="4000"/>
    <x v="0"/>
    <x v="0"/>
    <x v="0"/>
    <n v="4000"/>
    <n v="0"/>
    <n v="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4000"/>
    <n v="0"/>
    <n v="24000"/>
    <x v="0"/>
    <x v="0"/>
    <x v="0"/>
    <n v="24000"/>
    <n v="0"/>
    <n v="24000"/>
    <x v="0"/>
    <x v="0"/>
    <x v="0"/>
    <n v="24000"/>
    <n v="0"/>
    <n v="24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8999.94"/>
    <n v="0"/>
    <n v="8999.94"/>
    <x v="0"/>
    <x v="0"/>
    <x v="0"/>
    <n v="8999.94"/>
    <n v="0"/>
    <n v="8999.94"/>
    <x v="0"/>
    <x v="0"/>
    <x v="0"/>
    <n v="8999.94"/>
    <n v="0"/>
    <n v="8999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1026"/>
    <n v="0"/>
    <n v="1026"/>
    <x v="0"/>
    <x v="0"/>
    <x v="0"/>
    <n v="1026"/>
    <n v="0"/>
    <n v="1026"/>
    <x v="0"/>
    <x v="0"/>
    <x v="0"/>
    <n v="1026"/>
    <n v="0"/>
    <n v="102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194.94"/>
    <n v="0"/>
    <n v="194.94"/>
    <x v="0"/>
    <x v="0"/>
    <x v="0"/>
    <n v="194.94"/>
    <n v="0"/>
    <n v="194.94"/>
    <x v="0"/>
    <x v="0"/>
    <x v="0"/>
    <n v="194.94"/>
    <n v="0"/>
    <n v="194.9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3004.6"/>
    <n v="0"/>
    <n v="53004.6"/>
    <x v="0"/>
    <x v="0"/>
    <x v="0"/>
    <n v="53004.6"/>
    <n v="0"/>
    <n v="53004.6"/>
    <x v="0"/>
    <x v="0"/>
    <x v="0"/>
    <n v="53004.6"/>
    <n v="0"/>
    <n v="53004.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5000.49"/>
    <n v="0"/>
    <n v="5000.49"/>
    <x v="0"/>
    <x v="0"/>
    <x v="0"/>
    <n v="5000.49"/>
    <n v="0"/>
    <n v="5000.49"/>
    <x v="0"/>
    <x v="0"/>
    <x v="0"/>
    <n v="5000.49"/>
    <n v="0"/>
    <n v="5000.4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137811.96"/>
    <n v="0"/>
    <n v="137811.96"/>
    <x v="0"/>
    <x v="0"/>
    <x v="0"/>
    <n v="137811.96"/>
    <n v="0"/>
    <n v="137811.96"/>
    <x v="0"/>
    <x v="0"/>
    <x v="0"/>
    <n v="137811.96"/>
    <n v="0"/>
    <n v="137811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8580.5"/>
    <n v="0"/>
    <n v="8580.5"/>
    <x v="0"/>
    <x v="0"/>
    <x v="0"/>
    <n v="8580.5"/>
    <n v="0"/>
    <n v="8580.5"/>
    <x v="0"/>
    <x v="0"/>
    <x v="0"/>
    <n v="8580.5"/>
    <n v="0"/>
    <n v="8580.5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1716.1"/>
    <n v="0"/>
    <n v="1716.1000000000001"/>
    <x v="0"/>
    <x v="0"/>
    <x v="0"/>
    <n v="1716.1"/>
    <n v="0"/>
    <n v="1716.1000000000001"/>
    <x v="0"/>
    <x v="0"/>
    <x v="0"/>
    <n v="1716.1"/>
    <n v="0"/>
    <n v="1716.1000000000001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3249.57"/>
    <n v="0"/>
    <n v="3249.57"/>
    <x v="0"/>
    <x v="0"/>
    <x v="0"/>
    <n v="3249.57"/>
    <n v="0"/>
    <n v="3249.57"/>
    <x v="0"/>
    <x v="0"/>
    <x v="0"/>
    <n v="3249.57"/>
    <n v="0"/>
    <n v="3249.57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1900.18"/>
    <n v="0"/>
    <n v="1900.18"/>
    <x v="0"/>
    <x v="0"/>
    <x v="0"/>
    <n v="1900.18"/>
    <n v="0"/>
    <n v="1900.18"/>
    <x v="0"/>
    <x v="0"/>
    <x v="0"/>
    <n v="1900.18"/>
    <n v="0"/>
    <n v="1900.1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20000"/>
    <n v="0"/>
    <n v="20000"/>
    <x v="0"/>
    <x v="0"/>
    <x v="0"/>
    <n v="20000"/>
    <n v="0"/>
    <n v="20000"/>
    <x v="0"/>
    <x v="0"/>
    <x v="0"/>
    <n v="20000"/>
    <n v="0"/>
    <n v="20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AJA CODIGO DE BARRAS"/>
    <n v="5299.8"/>
    <n v="0"/>
    <n v="5299.8"/>
    <x v="0"/>
    <x v="0"/>
    <x v="0"/>
    <n v="5299.8"/>
    <n v="0"/>
    <n v="5299.8"/>
    <x v="0"/>
    <x v="0"/>
    <x v="0"/>
    <n v="5299.8"/>
    <n v="0"/>
    <n v="5299.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68905.98"/>
    <n v="0"/>
    <n v="68905.98"/>
    <x v="0"/>
    <x v="0"/>
    <x v="0"/>
    <n v="68905.98"/>
    <n v="0"/>
    <n v="68905.98"/>
    <x v="0"/>
    <x v="0"/>
    <x v="0"/>
    <n v="68905.98"/>
    <n v="0"/>
    <n v="68905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2999.98"/>
    <n v="0"/>
    <n v="2999.98"/>
    <x v="0"/>
    <x v="0"/>
    <x v="0"/>
    <n v="2999.98"/>
    <n v="0"/>
    <n v="2999.98"/>
    <x v="0"/>
    <x v="0"/>
    <x v="0"/>
    <n v="2999.98"/>
    <n v="0"/>
    <n v="2999.9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PAGOS SUC VIRT EMPRESAS"/>
    <n v="2052"/>
    <n v="0"/>
    <n v="2052"/>
    <x v="0"/>
    <x v="0"/>
    <x v="0"/>
    <n v="2052"/>
    <n v="0"/>
    <n v="2052"/>
    <x v="0"/>
    <x v="0"/>
    <x v="0"/>
    <n v="2052"/>
    <n v="0"/>
    <n v="205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 PAGOS SUC VIRT EMP"/>
    <n v="389.88"/>
    <n v="0"/>
    <n v="389.88"/>
    <x v="0"/>
    <x v="0"/>
    <x v="0"/>
    <n v="389.88"/>
    <n v="0"/>
    <n v="389.88"/>
    <x v="0"/>
    <x v="0"/>
    <x v="0"/>
    <n v="389.88"/>
    <n v="0"/>
    <n v="389.88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6502.3"/>
    <n v="0"/>
    <n v="26502.3"/>
    <x v="0"/>
    <x v="0"/>
    <x v="0"/>
    <n v="26502.3"/>
    <n v="0"/>
    <n v="26502.3"/>
    <x v="0"/>
    <x v="0"/>
    <x v="0"/>
    <n v="26502.3"/>
    <n v="0"/>
    <n v="26502.3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79506.899999999994"/>
    <n v="0"/>
    <n v="79506.900000000009"/>
    <x v="0"/>
    <x v="0"/>
    <x v="0"/>
    <n v="79506.899999999994"/>
    <n v="0"/>
    <n v="79506.900000000009"/>
    <x v="0"/>
    <x v="0"/>
    <x v="0"/>
    <n v="79506.899999999994"/>
    <n v="0"/>
    <n v="79506.9000000000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4540"/>
    <n v="0"/>
    <n v="4540"/>
    <x v="0"/>
    <x v="0"/>
    <x v="0"/>
    <n v="4540"/>
    <n v="0"/>
    <n v="4540"/>
    <x v="0"/>
    <x v="0"/>
    <x v="0"/>
    <n v="4540"/>
    <n v="0"/>
    <n v="454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499.14"/>
    <n v="0"/>
    <n v="6499.14"/>
    <x v="0"/>
    <x v="0"/>
    <x v="0"/>
    <n v="6499.14"/>
    <n v="0"/>
    <n v="6499.14"/>
    <x v="0"/>
    <x v="0"/>
    <x v="0"/>
    <n v="6499.14"/>
    <n v="0"/>
    <n v="6499.1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PAGO A PROVEEDORES"/>
    <n v="63495.7"/>
    <n v="0"/>
    <n v="63495.700000000004"/>
    <x v="0"/>
    <x v="0"/>
    <x v="0"/>
    <n v="63495.7"/>
    <n v="0"/>
    <n v="63495.700000000004"/>
    <x v="0"/>
    <x v="0"/>
    <x v="0"/>
    <n v="63495.7"/>
    <n v="0"/>
    <n v="63495.70000000000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1"/>
    <x v="1"/>
    <x v="1"/>
    <x v="1"/>
    <x v="1"/>
    <x v="1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IVA COMISION RECAUDOS CAJEROS"/>
    <n v="950.09"/>
    <n v="0"/>
    <n v="950.09"/>
    <x v="0"/>
    <x v="0"/>
    <x v="0"/>
    <n v="950.09"/>
    <n v="0"/>
    <n v="950.09"/>
    <x v="0"/>
    <x v="0"/>
    <x v="0"/>
    <n v="950.09"/>
    <n v="0"/>
    <n v="950.09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ORRESPONSAL"/>
    <n v="5999.96"/>
    <n v="0"/>
    <n v="5999.96"/>
    <x v="0"/>
    <x v="0"/>
    <x v="0"/>
    <n v="5999.96"/>
    <n v="0"/>
    <n v="5999.96"/>
    <x v="0"/>
    <x v="0"/>
    <x v="0"/>
    <n v="5999.96"/>
    <n v="0"/>
    <n v="5999.96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CB CODIGO DE BARRAS"/>
    <n v="12000"/>
    <n v="0"/>
    <n v="12000"/>
    <x v="0"/>
    <x v="0"/>
    <x v="0"/>
    <n v="12000"/>
    <n v="0"/>
    <n v="12000"/>
    <x v="0"/>
    <x v="0"/>
    <x v="0"/>
    <n v="12000"/>
    <n v="0"/>
    <n v="12000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S CAJA LOCAL"/>
    <n v="21201.84"/>
    <n v="0"/>
    <n v="21201.84"/>
    <x v="0"/>
    <x v="0"/>
    <x v="0"/>
    <n v="21201.84"/>
    <n v="0"/>
    <n v="21201.84"/>
    <x v="0"/>
    <x v="0"/>
    <x v="0"/>
    <n v="21201.84"/>
    <n v="0"/>
    <n v="21201.84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 RECAUDOS CAJA NACIONAL"/>
    <n v="37103.22"/>
    <n v="0"/>
    <n v="37103.22"/>
    <x v="0"/>
    <x v="0"/>
    <x v="0"/>
    <n v="37103.22"/>
    <n v="0"/>
    <n v="37103.22"/>
    <x v="0"/>
    <x v="0"/>
    <x v="0"/>
    <n v="37103.22"/>
    <n v="0"/>
    <n v="37103.22"/>
    <x v="0"/>
    <x v="0"/>
    <x v="0"/>
    <x v="0"/>
    <x v="0"/>
  </r>
  <r>
    <x v="4"/>
    <x v="0"/>
    <x v="0"/>
    <x v="0"/>
    <x v="0"/>
    <x v="8"/>
    <x v="8"/>
    <n v="392"/>
    <s v="890903938"/>
    <s v="BANCOLOMBIA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ISION RECAUDO OBLIGACIONES"/>
    <n v="2270"/>
    <n v="0"/>
    <n v="2270"/>
    <x v="0"/>
    <x v="0"/>
    <x v="0"/>
    <n v="2270"/>
    <n v="0"/>
    <n v="2270"/>
    <x v="0"/>
    <x v="0"/>
    <x v="0"/>
    <n v="2270"/>
    <n v="0"/>
    <n v="2270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 Recaudo PSE / SSS"/>
    <n v="426756"/>
    <n v="0"/>
    <n v="426756"/>
    <x v="0"/>
    <x v="0"/>
    <x v="0"/>
    <n v="426756"/>
    <n v="0"/>
    <n v="426756"/>
    <x v="0"/>
    <x v="0"/>
    <x v="0"/>
    <n v="426756"/>
    <n v="0"/>
    <n v="426756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Dispersion Nomina Manual"/>
    <n v="3557.05"/>
    <n v="0"/>
    <n v="3557.05"/>
    <x v="0"/>
    <x v="0"/>
    <x v="0"/>
    <n v="3557.05"/>
    <n v="0"/>
    <n v="3557.05"/>
    <x v="0"/>
    <x v="0"/>
    <x v="0"/>
    <n v="3557.05"/>
    <n v="0"/>
    <n v="3557.05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60007660"/>
    <s v="HELM BANK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Recaud x Caja e Itaý Pagos"/>
    <n v="2804.03"/>
    <n v="0"/>
    <n v="2804.03"/>
    <x v="0"/>
    <x v="0"/>
    <x v="0"/>
    <n v="2804.03"/>
    <n v="0"/>
    <n v="2804.03"/>
    <x v="0"/>
    <x v="0"/>
    <x v="0"/>
    <n v="2804.03"/>
    <n v="0"/>
    <n v="2804.03"/>
    <x v="0"/>
    <x v="0"/>
    <x v="0"/>
    <x v="0"/>
    <x v="0"/>
  </r>
  <r>
    <x v="4"/>
    <x v="0"/>
    <x v="0"/>
    <x v="0"/>
    <x v="0"/>
    <x v="8"/>
    <x v="8"/>
    <n v="388"/>
    <s v="860007660"/>
    <s v="HELM BANK S.A."/>
    <s v="20190831"/>
    <x v="15"/>
    <x v="0"/>
    <x v="15"/>
    <x v="0"/>
    <x v="0"/>
    <x v="0"/>
    <x v="0"/>
    <x v="0"/>
    <x v="2"/>
    <x v="2"/>
    <x v="12"/>
    <x v="11"/>
    <x v="15"/>
    <x v="15"/>
    <x v="15"/>
    <x v="15"/>
    <x v="15"/>
    <x v="15"/>
    <x v="15"/>
    <x v="15"/>
    <x v="0"/>
    <x v="0"/>
    <x v="0"/>
    <x v="0"/>
    <x v="0"/>
    <x v="0"/>
    <s v="890903938"/>
    <s v="BANCOLOMBIA S.A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Com. Banca Electronica"/>
    <n v="54385"/>
    <n v="0"/>
    <n v="54385"/>
    <x v="0"/>
    <x v="0"/>
    <x v="0"/>
    <n v="54385"/>
    <n v="0"/>
    <n v="54385"/>
    <x v="0"/>
    <x v="0"/>
    <x v="0"/>
    <n v="54385"/>
    <n v="0"/>
    <n v="54385"/>
    <x v="0"/>
    <x v="0"/>
    <x v="0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1"/>
    <x v="1"/>
    <x v="1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1"/>
  </r>
  <r>
    <x v="0"/>
    <x v="0"/>
    <x v="0"/>
    <x v="0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1"/>
    <x v="2"/>
    <x v="2"/>
    <x v="2"/>
    <x v="0"/>
    <x v="0"/>
    <x v="0"/>
    <x v="0"/>
    <x v="0"/>
    <x v="0"/>
    <x v="2"/>
    <x v="2"/>
    <x v="2"/>
    <x v="2"/>
    <x v="2"/>
    <x v="2"/>
    <x v="2"/>
    <x v="2"/>
    <x v="2"/>
    <x v="2"/>
    <x v="2"/>
    <x v="2"/>
    <x v="0"/>
    <x v="0"/>
    <x v="0"/>
    <x v="0"/>
    <x v="0"/>
    <x v="2"/>
  </r>
  <r>
    <x v="0"/>
    <x v="0"/>
    <x v="0"/>
    <x v="0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1"/>
    <x v="3"/>
    <x v="3"/>
    <x v="3"/>
    <x v="0"/>
    <x v="0"/>
    <x v="0"/>
    <x v="0"/>
    <x v="0"/>
    <x v="0"/>
    <x v="3"/>
    <x v="3"/>
    <x v="3"/>
    <x v="3"/>
    <x v="3"/>
    <x v="3"/>
    <x v="3"/>
    <x v="3"/>
    <x v="3"/>
    <x v="3"/>
    <x v="3"/>
    <x v="3"/>
    <x v="0"/>
    <x v="0"/>
    <x v="0"/>
    <x v="0"/>
    <x v="0"/>
    <x v="3"/>
  </r>
  <r>
    <x v="0"/>
    <x v="0"/>
    <x v="0"/>
    <x v="0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1"/>
    <x v="4"/>
    <x v="4"/>
    <x v="4"/>
    <x v="0"/>
    <x v="0"/>
    <x v="0"/>
    <x v="0"/>
    <x v="0"/>
    <x v="0"/>
    <x v="2"/>
    <x v="2"/>
    <x v="4"/>
    <x v="4"/>
    <x v="4"/>
    <x v="4"/>
    <x v="4"/>
    <x v="4"/>
    <x v="4"/>
    <x v="4"/>
    <x v="4"/>
    <x v="4"/>
    <x v="0"/>
    <x v="0"/>
    <x v="0"/>
    <x v="0"/>
    <x v="0"/>
    <x v="4"/>
  </r>
  <r>
    <x v="0"/>
    <x v="0"/>
    <x v="0"/>
    <x v="0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  <r>
    <x v="0"/>
    <x v="0"/>
    <x v="0"/>
    <x v="1"/>
    <x v="5"/>
    <x v="5"/>
    <x v="5"/>
    <x v="0"/>
    <x v="0"/>
    <x v="0"/>
    <x v="0"/>
    <x v="0"/>
    <x v="0"/>
    <x v="4"/>
    <x v="4"/>
    <x v="5"/>
    <x v="5"/>
    <x v="5"/>
    <x v="5"/>
    <x v="5"/>
    <x v="5"/>
    <x v="5"/>
    <x v="5"/>
    <x v="5"/>
    <x v="5"/>
    <x v="0"/>
    <x v="0"/>
    <x v="0"/>
    <x v="0"/>
    <x v="0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0"/>
    <x v="0"/>
    <x v="0"/>
    <x v="0"/>
    <x v="0"/>
    <x v="0"/>
    <x v="0"/>
    <x v="0"/>
    <x v="1"/>
  </r>
  <r>
    <x v="0"/>
    <x v="0"/>
    <x v="0"/>
    <x v="0"/>
    <x v="0"/>
    <x v="2"/>
    <x v="2"/>
    <x v="1"/>
    <x v="1"/>
    <x v="1"/>
    <x v="2"/>
    <x v="2"/>
    <x v="2"/>
    <x v="2"/>
    <x v="2"/>
    <x v="2"/>
    <x v="2"/>
    <x v="2"/>
    <x v="2"/>
    <x v="2"/>
    <x v="2"/>
    <x v="2"/>
    <x v="2"/>
    <x v="2"/>
    <x v="0"/>
    <x v="0"/>
    <x v="0"/>
    <x v="0"/>
    <x v="0"/>
    <x v="0"/>
    <x v="0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A8461C-30A6-4877-93A8-8D9F3ECF1730}" name="UnoBiable: SmartZoom 002 en ctas" cacheId="2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542:G547" firstHeaderRow="2" firstDataRow="2" firstDataCol="2" rowPageCount="1" colPageCount="1"/>
  <pivotFields count="33"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4"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2">
    <field x="5"/>
    <field x="6"/>
  </rowFields>
  <rowItems count="4">
    <i>
      <x/>
      <x/>
    </i>
    <i>
      <x v="1"/>
      <x v="1"/>
    </i>
    <i>
      <x v="2"/>
      <x v="2"/>
    </i>
    <i t="grand">
      <x/>
    </i>
  </rowItems>
  <colItems count="1">
    <i/>
  </colItems>
  <pageFields count="1">
    <pageField fld="0" hier="-1"/>
  </pageFields>
  <dataFields count="1">
    <dataField name="Suma de Valor Presupuesto" fld="32" baseField="0" baseItem="0" numFmtId="41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725786-6C2B-4013-BE43-BAB3EF0909EF}" name="UnoBiable: SmartZoom 000 en ctas" cacheId="0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C187:D195" firstHeaderRow="2" firstDataRow="2" firstDataCol="1"/>
  <pivotFields count="31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7">
        <item x="1"/>
        <item x="2"/>
        <item x="4"/>
        <item x="0"/>
        <item x="3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a de VALOR_PRESUPUESTO" fld="30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289BA4-E89F-49C9-8B83-3E6A3EB60FF7}" name="UnoBiable: SmartZoom 001 en ctas" cacheId="1" applyNumberFormats="0" applyBorderFormats="0" applyFontFormats="0" applyPatternFormats="0" applyAlignmentFormats="0" applyWidthHeightFormats="1" dataCaption="Valores" updatedVersion="6" minRefreshableVersion="3" showCalcMbrs="0" useAutoFormatting="1" itemPrintTitles="1" createdVersion="3" indent="0" compact="0" compactData="0" gridDropZones="1" multipleFieldFilters="0">
  <location ref="E126:G129" firstHeaderRow="2" firstDataRow="2" firstDataCol="2"/>
  <pivotFields count="108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">
        <item x="9"/>
        <item h="1" x="1"/>
        <item h="1" x="0"/>
        <item h="1" x="6"/>
        <item h="1" x="4"/>
        <item h="1" x="7"/>
        <item h="1" x="3"/>
        <item h="1" x="2"/>
        <item h="1" x="8"/>
        <item h="1" x="5"/>
      </items>
    </pivotField>
    <pivotField axis="axisRow" compact="0" outline="0" showAll="0">
      <items count="11">
        <item x="1"/>
        <item x="5"/>
        <item x="2"/>
        <item x="4"/>
        <item x="7"/>
        <item x="0"/>
        <item x="8"/>
        <item x="6"/>
        <item x="3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31"/>
    <field x="32"/>
  </rowFields>
  <rowItems count="2">
    <i>
      <x/>
      <x v="9"/>
    </i>
    <i t="grand">
      <x/>
    </i>
  </rowItems>
  <colItems count="1">
    <i/>
  </colItems>
  <dataFields count="1">
    <dataField name="Suma de MOVTO_LIBRO2" fld="96" baseField="0" baseItem="0" numFmtId="41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E0192-3D5F-4821-8180-8274E0C8B3C2}">
  <dimension ref="A1:AL44"/>
  <sheetViews>
    <sheetView tabSelected="1" topLeftCell="D3" zoomScale="78" zoomScaleNormal="78" workbookViewId="0">
      <selection activeCell="S43" sqref="S43"/>
    </sheetView>
  </sheetViews>
  <sheetFormatPr baseColWidth="10" defaultRowHeight="15" x14ac:dyDescent="0.25"/>
  <cols>
    <col min="1" max="1" width="10" style="35" customWidth="1"/>
    <col min="2" max="2" width="13.28515625" style="9" customWidth="1"/>
    <col min="3" max="3" width="36.42578125" style="10" customWidth="1"/>
    <col min="4" max="4" width="16.42578125" style="10" customWidth="1"/>
    <col min="5" max="5" width="7" style="10" customWidth="1"/>
    <col min="6" max="6" width="13" style="12" customWidth="1"/>
    <col min="7" max="7" width="7" style="10" customWidth="1"/>
    <col min="8" max="8" width="12.5703125" style="10" customWidth="1"/>
    <col min="9" max="9" width="10.85546875" style="10" customWidth="1"/>
    <col min="10" max="10" width="7" style="10" customWidth="1"/>
    <col min="11" max="11" width="9.85546875" style="10" customWidth="1"/>
    <col min="12" max="12" width="14.7109375" style="10" customWidth="1"/>
    <col min="13" max="13" width="7" style="10" customWidth="1"/>
    <col min="14" max="14" width="12.5703125" style="10" customWidth="1"/>
    <col min="15" max="15" width="7" style="10" customWidth="1"/>
    <col min="16" max="16" width="12.28515625" style="10" customWidth="1"/>
    <col min="17" max="18" width="7" style="10" customWidth="1"/>
    <col min="19" max="19" width="8" style="10" customWidth="1"/>
    <col min="20" max="21" width="8.42578125" style="13" customWidth="1"/>
    <col min="22" max="22" width="15" style="13" customWidth="1"/>
    <col min="23" max="23" width="27.85546875" style="10" customWidth="1"/>
    <col min="24" max="24" width="15.85546875" style="10" customWidth="1"/>
    <col min="25" max="25" width="14" style="10" customWidth="1"/>
    <col min="26" max="26" width="11.42578125" style="10"/>
    <col min="27" max="27" width="11.7109375" style="10" customWidth="1"/>
    <col min="28" max="28" width="12.5703125" style="10" customWidth="1"/>
    <col min="29" max="29" width="13.28515625" style="10" customWidth="1"/>
    <col min="30" max="30" width="11.85546875" style="10" customWidth="1"/>
    <col min="31" max="31" width="8.7109375" style="10" customWidth="1"/>
    <col min="32" max="32" width="7.5703125" style="10" customWidth="1"/>
    <col min="33" max="36" width="13.140625" style="15" customWidth="1"/>
    <col min="37" max="37" width="16.7109375" style="10" customWidth="1"/>
    <col min="38" max="16384" width="11.42578125" style="10"/>
  </cols>
  <sheetData>
    <row r="1" spans="1:38" s="4" customFormat="1" ht="30" hidden="1" x14ac:dyDescent="0.25">
      <c r="A1" s="1"/>
      <c r="B1" s="2"/>
      <c r="C1" s="3" t="s">
        <v>0</v>
      </c>
      <c r="D1" s="4" t="s">
        <v>1</v>
      </c>
      <c r="F1" s="5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6" t="s">
        <v>5</v>
      </c>
      <c r="U1" s="6" t="s">
        <v>6</v>
      </c>
      <c r="V1" s="6" t="s">
        <v>7</v>
      </c>
      <c r="AG1" s="7"/>
      <c r="AH1" s="7"/>
      <c r="AI1" s="7"/>
      <c r="AJ1" s="8"/>
    </row>
    <row r="2" spans="1:38" ht="27" hidden="1" x14ac:dyDescent="0.3">
      <c r="A2" s="1" t="s">
        <v>8</v>
      </c>
      <c r="B2" s="9">
        <v>201401</v>
      </c>
      <c r="D2" s="11">
        <f>B2</f>
        <v>201401</v>
      </c>
      <c r="F2" s="12" t="str">
        <f>CONCATENATE(LEFT(B2,4)-1,RIGHT(B2,2))</f>
        <v>201301</v>
      </c>
      <c r="H2" s="10">
        <f>B2</f>
        <v>201401</v>
      </c>
      <c r="L2" s="11" t="str">
        <f>CONCATENATE(LEFT(D2,4),"01")</f>
        <v>201401</v>
      </c>
      <c r="N2" s="10" t="str">
        <f>+F2</f>
        <v>201301</v>
      </c>
      <c r="P2" s="10">
        <f>D2</f>
        <v>201401</v>
      </c>
      <c r="T2" s="13" t="s">
        <v>9</v>
      </c>
      <c r="U2" s="13" t="s">
        <v>10</v>
      </c>
      <c r="V2" s="13">
        <v>201401</v>
      </c>
      <c r="Z2" s="14"/>
      <c r="AA2" s="14"/>
      <c r="AB2" s="14"/>
      <c r="AC2" s="14"/>
    </row>
    <row r="3" spans="1:38" ht="19.5" thickBot="1" x14ac:dyDescent="0.35">
      <c r="A3" s="9">
        <v>202101</v>
      </c>
      <c r="B3" s="16">
        <v>202201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V3" s="18"/>
      <c r="W3" s="19" t="str">
        <f>+C3</f>
        <v>MUSICAR S.A. COLOMBIA</v>
      </c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0"/>
      <c r="AI3" s="20"/>
      <c r="AJ3" s="20"/>
      <c r="AK3" s="15"/>
      <c r="AL3" s="15"/>
    </row>
    <row r="4" spans="1:38" ht="19.5" thickBot="1" x14ac:dyDescent="0.35">
      <c r="A4" s="9">
        <v>202105</v>
      </c>
      <c r="B4" s="16">
        <v>202205</v>
      </c>
      <c r="C4" s="21"/>
      <c r="D4" s="22">
        <v>44712</v>
      </c>
      <c r="E4" s="23"/>
      <c r="F4" s="23"/>
      <c r="G4" s="23"/>
      <c r="H4" s="23"/>
      <c r="I4" s="23"/>
      <c r="J4" s="23"/>
      <c r="K4" s="24"/>
      <c r="L4" s="25" t="s">
        <v>12</v>
      </c>
      <c r="M4" s="26"/>
      <c r="N4" s="26"/>
      <c r="O4" s="26"/>
      <c r="P4" s="27"/>
      <c r="Q4" s="27"/>
      <c r="R4" s="27"/>
      <c r="S4" s="28"/>
      <c r="T4" s="29" t="s">
        <v>12</v>
      </c>
      <c r="U4" s="29"/>
      <c r="V4" s="29"/>
      <c r="W4" s="14"/>
      <c r="X4" s="30" t="s">
        <v>13</v>
      </c>
      <c r="Y4" s="31"/>
      <c r="Z4" s="31"/>
      <c r="AA4" s="32" t="str">
        <f>"ACUM"&amp;"  "&amp;X4</f>
        <v>ACUM  MAYO</v>
      </c>
      <c r="AB4" s="33"/>
      <c r="AC4" s="34"/>
      <c r="AG4" s="20" t="s">
        <v>14</v>
      </c>
      <c r="AH4" s="20"/>
      <c r="AI4" s="20"/>
      <c r="AJ4" s="20"/>
      <c r="AK4" s="15"/>
      <c r="AL4" s="15"/>
    </row>
    <row r="5" spans="1:38" ht="15.75" customHeight="1" thickBot="1" x14ac:dyDescent="0.3">
      <c r="B5" s="16">
        <f>+B4-1</f>
        <v>202204</v>
      </c>
      <c r="C5" s="36" t="s">
        <v>15</v>
      </c>
      <c r="D5" s="37" t="s">
        <v>16</v>
      </c>
      <c r="E5" s="38"/>
      <c r="F5" s="37" t="s">
        <v>17</v>
      </c>
      <c r="G5" s="38"/>
      <c r="H5" s="37" t="s">
        <v>18</v>
      </c>
      <c r="I5" s="38"/>
      <c r="J5" s="39" t="s">
        <v>19</v>
      </c>
      <c r="K5" s="40" t="s">
        <v>20</v>
      </c>
      <c r="L5" s="37" t="str">
        <f>+D5</f>
        <v>Ppto 2022</v>
      </c>
      <c r="M5" s="38"/>
      <c r="N5" s="37" t="str">
        <f>+F5</f>
        <v>Real 2021</v>
      </c>
      <c r="O5" s="38"/>
      <c r="P5" s="37" t="str">
        <f>+H5</f>
        <v>real 2022</v>
      </c>
      <c r="Q5" s="38"/>
      <c r="R5" s="39" t="s">
        <v>19</v>
      </c>
      <c r="S5" s="41" t="s">
        <v>20</v>
      </c>
      <c r="T5" s="29" t="s">
        <v>21</v>
      </c>
      <c r="U5" s="29" t="s">
        <v>22</v>
      </c>
      <c r="V5" s="29"/>
      <c r="W5" s="42" t="s">
        <v>15</v>
      </c>
      <c r="X5" s="43" t="str">
        <f>+D5</f>
        <v>Ppto 2022</v>
      </c>
      <c r="Y5" s="43" t="str">
        <f>+F5</f>
        <v>Real 2021</v>
      </c>
      <c r="Z5" s="44" t="str">
        <f>+P5</f>
        <v>real 2022</v>
      </c>
      <c r="AA5" s="45" t="str">
        <f>+X5</f>
        <v>Ppto 2022</v>
      </c>
      <c r="AB5" s="43" t="str">
        <f>+Y5</f>
        <v>Real 2021</v>
      </c>
      <c r="AC5" s="46" t="str">
        <f>+Z5</f>
        <v>real 2022</v>
      </c>
      <c r="AD5" s="47" t="s">
        <v>23</v>
      </c>
      <c r="AE5" s="47" t="s">
        <v>19</v>
      </c>
      <c r="AF5" s="47" t="s">
        <v>20</v>
      </c>
      <c r="AG5" s="48" t="str">
        <f>+AA5</f>
        <v>Ppto 2022</v>
      </c>
      <c r="AH5" s="48" t="str">
        <f t="shared" ref="AH5:AI5" si="0">+AB5</f>
        <v>Real 2021</v>
      </c>
      <c r="AI5" s="48" t="str">
        <f t="shared" si="0"/>
        <v>real 2022</v>
      </c>
      <c r="AJ5" s="20"/>
      <c r="AK5" s="15"/>
      <c r="AL5" s="15"/>
    </row>
    <row r="6" spans="1:38" ht="15.75" thickBot="1" x14ac:dyDescent="0.3">
      <c r="B6" s="49" t="s">
        <v>24</v>
      </c>
      <c r="C6" s="50" t="s">
        <v>25</v>
      </c>
      <c r="D6" s="51" t="s">
        <v>26</v>
      </c>
      <c r="E6" s="52" t="s">
        <v>27</v>
      </c>
      <c r="F6" s="51" t="s">
        <v>26</v>
      </c>
      <c r="G6" s="53" t="s">
        <v>27</v>
      </c>
      <c r="H6" s="51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51" t="s">
        <v>26</v>
      </c>
      <c r="O6" s="52" t="s">
        <v>27</v>
      </c>
      <c r="P6" s="51" t="s">
        <v>26</v>
      </c>
      <c r="Q6" s="54" t="s">
        <v>27</v>
      </c>
      <c r="R6" s="55" t="s">
        <v>28</v>
      </c>
      <c r="S6" s="56" t="s">
        <v>28</v>
      </c>
      <c r="T6" s="29" t="s">
        <v>26</v>
      </c>
      <c r="U6" s="29" t="s">
        <v>26</v>
      </c>
      <c r="V6" s="29"/>
      <c r="W6" s="57" t="s">
        <v>29</v>
      </c>
      <c r="X6" s="58"/>
      <c r="Y6" s="58"/>
      <c r="Z6" s="59"/>
      <c r="AA6" s="60" t="s">
        <v>30</v>
      </c>
      <c r="AB6" s="58"/>
      <c r="AC6" s="61" t="s">
        <v>30</v>
      </c>
      <c r="AD6" s="62" t="s">
        <v>31</v>
      </c>
      <c r="AE6" s="63" t="s">
        <v>28</v>
      </c>
      <c r="AF6" s="63" t="s">
        <v>28</v>
      </c>
      <c r="AG6" s="48" t="s">
        <v>30</v>
      </c>
      <c r="AH6" s="48"/>
      <c r="AI6" s="48" t="s">
        <v>30</v>
      </c>
      <c r="AJ6" s="20"/>
      <c r="AK6" s="15"/>
      <c r="AL6" s="15"/>
    </row>
    <row r="7" spans="1:38" ht="15.75" thickBot="1" x14ac:dyDescent="0.3">
      <c r="B7" s="64" t="s">
        <v>32</v>
      </c>
      <c r="C7" s="65" t="s">
        <v>33</v>
      </c>
      <c r="D7" s="66">
        <v>347696</v>
      </c>
      <c r="E7" s="67">
        <f t="shared" ref="E7:E12" si="1">+D7/$D$17</f>
        <v>0.40309682086621018</v>
      </c>
      <c r="F7" s="66">
        <v>305572.49099999998</v>
      </c>
      <c r="G7" s="67">
        <f t="shared" ref="G7:G15" si="2">+F7/$F$17</f>
        <v>0.43323421683881569</v>
      </c>
      <c r="H7" s="66">
        <v>340914.14600000001</v>
      </c>
      <c r="I7" s="68">
        <f t="shared" ref="I7:I34" si="3">+H7/$H$17</f>
        <v>0.39289288543933898</v>
      </c>
      <c r="J7" s="69">
        <f>IF(D7=0,"",(H7-D7)/ABS(D7)+1)</f>
        <v>0.98049487483318765</v>
      </c>
      <c r="K7" s="69">
        <f>IF(F7=0,"",(H7-F7)/ABS(F7))</f>
        <v>0.11565718787166621</v>
      </c>
      <c r="L7" s="66">
        <v>1814296</v>
      </c>
      <c r="M7" s="67">
        <f t="shared" ref="M7:M34" si="4">+L7/$L$17</f>
        <v>0.42225669856581827</v>
      </c>
      <c r="N7" s="66">
        <v>1708428.827</v>
      </c>
      <c r="O7" s="67">
        <f t="shared" ref="O7:O34" si="5">+N7/$N$17</f>
        <v>0.44751601104564087</v>
      </c>
      <c r="P7" s="66">
        <v>1794185.395</v>
      </c>
      <c r="Q7" s="68">
        <f t="shared" ref="Q7:Q34" si="6">+P7/$P$17</f>
        <v>0.42616114722696857</v>
      </c>
      <c r="R7" s="69">
        <f>IF(L7=0,"",(P7-L7)/ABS(L7)+1)</f>
        <v>0.98891547740831709</v>
      </c>
      <c r="S7" s="70">
        <f>IF(N7=0,"",(P7-N7)/ABS(N7))</f>
        <v>5.0196160732424805E-2</v>
      </c>
      <c r="T7" s="71">
        <v>4870625</v>
      </c>
      <c r="U7" s="71">
        <v>4762038.2980000004</v>
      </c>
      <c r="V7" s="72"/>
      <c r="W7" s="73" t="s">
        <v>34</v>
      </c>
      <c r="X7" s="74">
        <v>114363.48414345931</v>
      </c>
      <c r="Y7" s="75">
        <v>766155.08558000007</v>
      </c>
      <c r="Z7" s="74">
        <v>181960.27888999999</v>
      </c>
      <c r="AA7" s="74">
        <v>484392</v>
      </c>
      <c r="AB7" s="75">
        <v>590525</v>
      </c>
      <c r="AC7" s="74">
        <v>484392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-0.17972651454214469</v>
      </c>
      <c r="AG7" s="78"/>
      <c r="AH7" s="78"/>
      <c r="AI7" s="78"/>
      <c r="AJ7" s="20"/>
      <c r="AK7" s="79">
        <v>-16916</v>
      </c>
      <c r="AL7" s="15"/>
    </row>
    <row r="8" spans="1:38" x14ac:dyDescent="0.25">
      <c r="B8" s="80" t="s">
        <v>35</v>
      </c>
      <c r="C8" s="65" t="s">
        <v>36</v>
      </c>
      <c r="D8" s="66">
        <v>49028</v>
      </c>
      <c r="E8" s="67">
        <f t="shared" si="1"/>
        <v>5.6839972083166199E-2</v>
      </c>
      <c r="F8" s="66">
        <v>11230.696</v>
      </c>
      <c r="G8" s="67">
        <f t="shared" si="2"/>
        <v>1.5922643331512523E-2</v>
      </c>
      <c r="H8" s="66">
        <v>50052.124000000003</v>
      </c>
      <c r="I8" s="68">
        <f t="shared" si="3"/>
        <v>5.7683506687714832E-2</v>
      </c>
      <c r="J8" s="69">
        <f t="shared" ref="J8:J34" si="7">IF(D8=0,"",(H8-D8)/ABS(D8)+1)</f>
        <v>1.0208885534796444</v>
      </c>
      <c r="K8" s="69">
        <f t="shared" ref="K8:K34" si="8">IF(F8=0,"",(H8-F8)/ABS(F8))</f>
        <v>3.4567250328919954</v>
      </c>
      <c r="L8" s="66">
        <v>190667</v>
      </c>
      <c r="M8" s="67">
        <f t="shared" si="4"/>
        <v>4.4375569336783452E-2</v>
      </c>
      <c r="N8" s="66">
        <v>151545.96100000001</v>
      </c>
      <c r="O8" s="67">
        <f t="shared" si="5"/>
        <v>3.9696850629644793E-2</v>
      </c>
      <c r="P8" s="66">
        <v>165593.02799999999</v>
      </c>
      <c r="Q8" s="68">
        <f t="shared" si="6"/>
        <v>3.9332231207504356E-2</v>
      </c>
      <c r="R8" s="69">
        <f t="shared" ref="R8:R34" si="9">IF(L8=0,"",(P8-L8)/ABS(L8)+1)</f>
        <v>0.86849338375282559</v>
      </c>
      <c r="S8" s="70">
        <f t="shared" ref="S8:S34" si="10">IF(N8=0,"",(P8-N8)/ABS(N8))</f>
        <v>9.2691794009607295E-2</v>
      </c>
      <c r="T8" s="71">
        <v>800000</v>
      </c>
      <c r="U8" s="71">
        <v>665244.33900000004</v>
      </c>
      <c r="V8" s="72"/>
      <c r="W8" s="81" t="s">
        <v>37</v>
      </c>
      <c r="X8" s="82">
        <v>1043014</v>
      </c>
      <c r="Y8" s="83">
        <v>1076547.9270899999</v>
      </c>
      <c r="Z8" s="83">
        <v>981042.70821000007</v>
      </c>
      <c r="AA8" s="84">
        <v>4824042</v>
      </c>
      <c r="AB8" s="83">
        <v>4633578.0715100002</v>
      </c>
      <c r="AC8" s="83">
        <v>4884105.8856199998</v>
      </c>
      <c r="AD8" s="85">
        <f>+AC8-AA8</f>
        <v>60063.885619999841</v>
      </c>
      <c r="AE8" s="86">
        <f>IF(AA8=0,"",(AC8-AA8)/ABS(AA8)+1)</f>
        <v>1.0124509458292443</v>
      </c>
      <c r="AF8" s="86">
        <f>IF(AB8=0,"",(AC8-AB8)/ABS(AB8))</f>
        <v>5.4067895316233912E-2</v>
      </c>
      <c r="AG8" s="78"/>
      <c r="AH8" s="78"/>
      <c r="AI8" s="78"/>
      <c r="AJ8" s="78"/>
      <c r="AK8" s="79">
        <v>9245892.2922799997</v>
      </c>
      <c r="AL8" s="87"/>
    </row>
    <row r="9" spans="1:38" x14ac:dyDescent="0.25">
      <c r="B9" s="80" t="s">
        <v>38</v>
      </c>
      <c r="C9" s="65" t="s">
        <v>39</v>
      </c>
      <c r="D9" s="66">
        <v>80428</v>
      </c>
      <c r="E9" s="67">
        <f t="shared" si="1"/>
        <v>9.3243152376292951E-2</v>
      </c>
      <c r="F9" s="66">
        <v>87848.23</v>
      </c>
      <c r="G9" s="67">
        <f t="shared" si="2"/>
        <v>0.12454936306660587</v>
      </c>
      <c r="H9" s="66">
        <v>78514.606</v>
      </c>
      <c r="I9" s="68">
        <f t="shared" si="3"/>
        <v>9.0485626549720352E-2</v>
      </c>
      <c r="J9" s="69">
        <f t="shared" si="7"/>
        <v>0.97620985229024715</v>
      </c>
      <c r="K9" s="69">
        <f t="shared" si="8"/>
        <v>-0.10624714920266461</v>
      </c>
      <c r="L9" s="66">
        <v>431773</v>
      </c>
      <c r="M9" s="67">
        <f t="shared" si="4"/>
        <v>0.10049024057257418</v>
      </c>
      <c r="N9" s="66">
        <v>509716.28339999996</v>
      </c>
      <c r="O9" s="67">
        <f t="shared" si="5"/>
        <v>0.13351811577233319</v>
      </c>
      <c r="P9" s="66">
        <v>462105.35119999998</v>
      </c>
      <c r="Q9" s="68">
        <f t="shared" si="6"/>
        <v>0.10976086816664407</v>
      </c>
      <c r="R9" s="69">
        <f t="shared" si="9"/>
        <v>1.0702506900616759</v>
      </c>
      <c r="S9" s="70">
        <f t="shared" si="10"/>
        <v>-9.3406731843874199E-2</v>
      </c>
      <c r="T9" s="71">
        <v>2258175</v>
      </c>
      <c r="U9" s="71">
        <v>2403071.6514000003</v>
      </c>
      <c r="V9" s="72"/>
      <c r="W9" s="81" t="s">
        <v>40</v>
      </c>
      <c r="X9" s="82">
        <v>121969</v>
      </c>
      <c r="Y9" s="82">
        <v>313401.50579000002</v>
      </c>
      <c r="Z9" s="83">
        <v>128983.22990999999</v>
      </c>
      <c r="AA9" s="88">
        <v>637632</v>
      </c>
      <c r="AB9" s="82">
        <v>905176.55734000006</v>
      </c>
      <c r="AC9" s="83">
        <v>642760.32114000001</v>
      </c>
      <c r="AD9" s="85">
        <f>+AA9-AC9</f>
        <v>-5128.3211400000146</v>
      </c>
      <c r="AE9" s="86">
        <f>IF(AA9=0,"",(AC9-AA9)/ABS(AA9)+1)</f>
        <v>1.0080427599932249</v>
      </c>
      <c r="AF9" s="86">
        <f t="shared" ref="AF9:AF22" si="11">IF(AB9=0,"",(AC9-AB9)/ABS(AB9))</f>
        <v>-0.28990613386094571</v>
      </c>
      <c r="AG9" s="78"/>
      <c r="AH9" s="78"/>
      <c r="AI9" s="78"/>
      <c r="AJ9" s="78"/>
      <c r="AK9" s="79">
        <v>1823160.5619300001</v>
      </c>
      <c r="AL9" s="87"/>
    </row>
    <row r="10" spans="1:38" x14ac:dyDescent="0.25">
      <c r="B10" s="80" t="s">
        <v>41</v>
      </c>
      <c r="C10" s="89" t="s">
        <v>42</v>
      </c>
      <c r="D10" s="66">
        <v>88704</v>
      </c>
      <c r="E10" s="67">
        <f t="shared" si="1"/>
        <v>0.10283782499113107</v>
      </c>
      <c r="F10" s="66">
        <v>38248.402000000002</v>
      </c>
      <c r="G10" s="67">
        <f t="shared" si="2"/>
        <v>5.4227775646879792E-2</v>
      </c>
      <c r="H10" s="66">
        <v>97701.379000000001</v>
      </c>
      <c r="I10" s="68">
        <f t="shared" si="3"/>
        <v>0.11259778204308495</v>
      </c>
      <c r="J10" s="69">
        <f t="shared" si="7"/>
        <v>1.1014314912518037</v>
      </c>
      <c r="K10" s="69">
        <f t="shared" si="8"/>
        <v>1.5543911350858526</v>
      </c>
      <c r="L10" s="66">
        <v>413056</v>
      </c>
      <c r="M10" s="67">
        <f t="shared" si="4"/>
        <v>9.6134072324914249E-2</v>
      </c>
      <c r="N10" s="66">
        <v>232877.272</v>
      </c>
      <c r="O10" s="67">
        <f t="shared" si="5"/>
        <v>6.1001258104286665E-2</v>
      </c>
      <c r="P10" s="66">
        <v>331631.17599999998</v>
      </c>
      <c r="Q10" s="68">
        <f t="shared" si="6"/>
        <v>7.8770188863558729E-2</v>
      </c>
      <c r="R10" s="69">
        <f t="shared" si="9"/>
        <v>0.80287219166408419</v>
      </c>
      <c r="S10" s="70">
        <f t="shared" si="10"/>
        <v>0.4240598627417792</v>
      </c>
      <c r="T10" s="71">
        <v>1300000</v>
      </c>
      <c r="U10" s="71">
        <v>808584.92299999995</v>
      </c>
      <c r="V10" s="72"/>
      <c r="W10" s="81" t="s">
        <v>43</v>
      </c>
      <c r="X10" s="82">
        <v>8353</v>
      </c>
      <c r="Y10" s="82">
        <v>7010.84</v>
      </c>
      <c r="Z10" s="83">
        <v>10169.092000000001</v>
      </c>
      <c r="AA10" s="88">
        <v>41765</v>
      </c>
      <c r="AB10" s="82">
        <v>36478.328999999998</v>
      </c>
      <c r="AC10" s="83">
        <v>47381.442000000003</v>
      </c>
      <c r="AD10" s="85">
        <f>+AA10-AC10</f>
        <v>-5616.4420000000027</v>
      </c>
      <c r="AE10" s="86">
        <f t="shared" ref="AE10:AE21" si="12">IF(AA10=0,"",(AC10-AA10)/ABS(AA10)+1)</f>
        <v>1.1344772417095654</v>
      </c>
      <c r="AF10" s="86">
        <f t="shared" si="11"/>
        <v>0.29889288514284756</v>
      </c>
      <c r="AG10" s="78"/>
      <c r="AH10" s="78"/>
      <c r="AI10" s="78"/>
      <c r="AJ10" s="78"/>
      <c r="AK10" s="79">
        <v>56676.659</v>
      </c>
      <c r="AL10" s="87"/>
    </row>
    <row r="11" spans="1:38" x14ac:dyDescent="0.25">
      <c r="B11" s="80">
        <v>4170250500</v>
      </c>
      <c r="C11" s="89" t="s">
        <v>44</v>
      </c>
      <c r="D11" s="66">
        <v>0</v>
      </c>
      <c r="E11" s="67">
        <f t="shared" si="1"/>
        <v>0</v>
      </c>
      <c r="F11" s="66">
        <v>0</v>
      </c>
      <c r="G11" s="67">
        <f t="shared" si="2"/>
        <v>0</v>
      </c>
      <c r="H11" s="66">
        <v>0</v>
      </c>
      <c r="I11" s="68">
        <f t="shared" si="3"/>
        <v>0</v>
      </c>
      <c r="J11" s="69" t="str">
        <f t="shared" si="7"/>
        <v/>
      </c>
      <c r="K11" s="69" t="e">
        <f t="shared" si="8"/>
        <v>#DIV/0!</v>
      </c>
      <c r="L11" s="66">
        <v>0</v>
      </c>
      <c r="M11" s="67">
        <f t="shared" si="4"/>
        <v>0</v>
      </c>
      <c r="N11" s="66">
        <v>0</v>
      </c>
      <c r="O11" s="67">
        <f t="shared" si="5"/>
        <v>0</v>
      </c>
      <c r="P11" s="66">
        <v>0</v>
      </c>
      <c r="Q11" s="68">
        <f t="shared" si="6"/>
        <v>0</v>
      </c>
      <c r="R11" s="69" t="str">
        <f>IF(L11=0,"",(P11-L11)/ABS(L11)+1)</f>
        <v/>
      </c>
      <c r="S11" s="70" t="str">
        <f>IF(N11=0,"",(P11-N11)/ABS(N11))</f>
        <v/>
      </c>
      <c r="T11" s="71">
        <v>122400</v>
      </c>
      <c r="U11" s="71">
        <v>122400</v>
      </c>
      <c r="V11" s="72"/>
      <c r="W11" s="81" t="s">
        <v>45</v>
      </c>
      <c r="X11" s="82">
        <v>357532</v>
      </c>
      <c r="Y11" s="82">
        <v>299037.78999999998</v>
      </c>
      <c r="Z11" s="83">
        <v>347878.391</v>
      </c>
      <c r="AA11" s="88">
        <v>1958096</v>
      </c>
      <c r="AB11" s="82">
        <v>1620917.0290000001</v>
      </c>
      <c r="AC11" s="83">
        <v>1951326.70628</v>
      </c>
      <c r="AD11" s="85">
        <f>+AA11-AC11</f>
        <v>6769.2937199999578</v>
      </c>
      <c r="AE11" s="86">
        <f t="shared" si="12"/>
        <v>0.99654292040839676</v>
      </c>
      <c r="AF11" s="86">
        <f t="shared" si="11"/>
        <v>0.20384120307739695</v>
      </c>
      <c r="AG11" s="78"/>
      <c r="AH11" s="78"/>
      <c r="AI11" s="78"/>
      <c r="AJ11" s="78"/>
      <c r="AK11" s="79">
        <v>3440743.0529999998</v>
      </c>
      <c r="AL11" s="87"/>
    </row>
    <row r="12" spans="1:38" x14ac:dyDescent="0.25">
      <c r="B12" s="80" t="s">
        <v>46</v>
      </c>
      <c r="C12" s="65" t="s">
        <v>47</v>
      </c>
      <c r="D12" s="66">
        <v>123856</v>
      </c>
      <c r="E12" s="67">
        <f t="shared" si="1"/>
        <v>0.14359083752820087</v>
      </c>
      <c r="F12" s="66">
        <v>117941.238</v>
      </c>
      <c r="G12" s="67">
        <f t="shared" si="2"/>
        <v>0.16721459353463325</v>
      </c>
      <c r="H12" s="66">
        <v>120672.088</v>
      </c>
      <c r="I12" s="68">
        <f t="shared" si="3"/>
        <v>0.13907080537018793</v>
      </c>
      <c r="J12" s="69">
        <f t="shared" si="7"/>
        <v>0.97429343754036946</v>
      </c>
      <c r="K12" s="69">
        <f t="shared" si="8"/>
        <v>2.3154327072605476E-2</v>
      </c>
      <c r="L12" s="66">
        <v>619867</v>
      </c>
      <c r="M12" s="67">
        <f t="shared" si="4"/>
        <v>0.14426697350922785</v>
      </c>
      <c r="N12" s="66">
        <v>582369.57299999997</v>
      </c>
      <c r="O12" s="67">
        <f t="shared" si="5"/>
        <v>0.15254935069256656</v>
      </c>
      <c r="P12" s="66">
        <v>608909.37199999997</v>
      </c>
      <c r="Q12" s="68">
        <f t="shared" si="6"/>
        <v>0.14463026911930302</v>
      </c>
      <c r="R12" s="69">
        <f>IF(L12=0,"",(P12-L12)/ABS(L12)+1)</f>
        <v>0.98232261436727553</v>
      </c>
      <c r="S12" s="70">
        <f>IF(N12=0,"",(P12-N12)/ABS(N12))</f>
        <v>4.5572090697121634E-2</v>
      </c>
      <c r="T12" s="71">
        <v>1313421</v>
      </c>
      <c r="U12" s="71">
        <v>1247469.0090000001</v>
      </c>
      <c r="V12" s="71">
        <v>1289770.996</v>
      </c>
      <c r="W12" s="81" t="s">
        <v>48</v>
      </c>
      <c r="X12" s="82">
        <v>249716</v>
      </c>
      <c r="Y12" s="82">
        <v>172435.82272</v>
      </c>
      <c r="Z12" s="83">
        <v>207141.48009999999</v>
      </c>
      <c r="AA12" s="88">
        <v>1280573</v>
      </c>
      <c r="AB12" s="82">
        <v>800266.33559000003</v>
      </c>
      <c r="AC12" s="83">
        <v>1271592.7427600001</v>
      </c>
      <c r="AD12" s="85">
        <f>+AA12-AC12</f>
        <v>8980.2572399999481</v>
      </c>
      <c r="AE12" s="86">
        <f t="shared" si="12"/>
        <v>0.9929873133042787</v>
      </c>
      <c r="AF12" s="86">
        <f t="shared" si="11"/>
        <v>0.58896193205792224</v>
      </c>
      <c r="AG12" s="78"/>
      <c r="AH12" s="78"/>
      <c r="AI12" s="78"/>
      <c r="AJ12" s="78"/>
      <c r="AK12" s="79">
        <v>1914185.67771</v>
      </c>
      <c r="AL12" s="87"/>
    </row>
    <row r="13" spans="1:38" ht="15.75" thickBot="1" x14ac:dyDescent="0.3">
      <c r="B13" s="80">
        <v>4155951000</v>
      </c>
      <c r="C13" s="89" t="s">
        <v>49</v>
      </c>
      <c r="D13" s="66">
        <v>0</v>
      </c>
      <c r="E13" s="67"/>
      <c r="F13" s="66">
        <v>0</v>
      </c>
      <c r="G13" s="67">
        <f t="shared" si="2"/>
        <v>0</v>
      </c>
      <c r="H13" s="66">
        <v>0</v>
      </c>
      <c r="I13" s="68">
        <f t="shared" si="3"/>
        <v>0</v>
      </c>
      <c r="J13" s="69" t="str">
        <f t="shared" si="7"/>
        <v/>
      </c>
      <c r="K13" s="69" t="e">
        <f t="shared" si="8"/>
        <v>#DIV/0!</v>
      </c>
      <c r="L13" s="66">
        <v>0</v>
      </c>
      <c r="M13" s="67">
        <f t="shared" si="4"/>
        <v>0</v>
      </c>
      <c r="N13" s="66">
        <v>0</v>
      </c>
      <c r="O13" s="67">
        <f t="shared" si="5"/>
        <v>0</v>
      </c>
      <c r="P13" s="66">
        <v>0</v>
      </c>
      <c r="Q13" s="68">
        <f t="shared" si="6"/>
        <v>0</v>
      </c>
      <c r="R13" s="69" t="str">
        <f>IF(L13=0,"",(P13-L13)/ABS(L13)+1)</f>
        <v/>
      </c>
      <c r="S13" s="70" t="str">
        <f>IF(N13=0,"",(P13-N13)/ABS(N13))</f>
        <v/>
      </c>
      <c r="T13" s="71">
        <v>11280</v>
      </c>
      <c r="U13" s="71">
        <v>0</v>
      </c>
      <c r="V13" s="71">
        <v>11215.516</v>
      </c>
      <c r="W13" s="81" t="s">
        <v>50</v>
      </c>
      <c r="X13" s="90">
        <f t="shared" ref="X13:AC13" si="13">SUM(X9:X12)</f>
        <v>737570</v>
      </c>
      <c r="Y13" s="90">
        <f t="shared" si="13"/>
        <v>791885.95851000003</v>
      </c>
      <c r="Z13" s="91">
        <f t="shared" si="13"/>
        <v>694172.19301000005</v>
      </c>
      <c r="AA13" s="88">
        <f t="shared" si="13"/>
        <v>3918066</v>
      </c>
      <c r="AB13" s="90">
        <f t="shared" si="13"/>
        <v>3362838.2509300001</v>
      </c>
      <c r="AC13" s="92">
        <f t="shared" si="13"/>
        <v>3913061.2121799998</v>
      </c>
      <c r="AD13" s="85">
        <f>+AC13-AA13</f>
        <v>-5004.7878200002015</v>
      </c>
      <c r="AE13" s="86">
        <f t="shared" si="12"/>
        <v>0.99872263820466523</v>
      </c>
      <c r="AF13" s="86">
        <f t="shared" si="11"/>
        <v>0.16361862218554055</v>
      </c>
      <c r="AG13" s="78"/>
      <c r="AH13" s="78"/>
      <c r="AI13" s="78"/>
      <c r="AJ13" s="78"/>
      <c r="AK13" s="79">
        <v>7234765.9516400006</v>
      </c>
      <c r="AL13" s="87"/>
    </row>
    <row r="14" spans="1:38" ht="15.75" thickBot="1" x14ac:dyDescent="0.3">
      <c r="B14" s="80">
        <v>4155951500</v>
      </c>
      <c r="C14" s="89" t="s">
        <v>51</v>
      </c>
      <c r="D14" s="66">
        <v>17682</v>
      </c>
      <c r="E14" s="67">
        <f>+D14/$D$17</f>
        <v>2.0499395985448001E-2</v>
      </c>
      <c r="F14" s="66">
        <v>16729.371999999999</v>
      </c>
      <c r="G14" s="67">
        <f t="shared" si="2"/>
        <v>2.3718549902534296E-2</v>
      </c>
      <c r="H14" s="66">
        <v>31262.353999999999</v>
      </c>
      <c r="I14" s="68">
        <f t="shared" si="3"/>
        <v>3.6028884728901985E-2</v>
      </c>
      <c r="J14" s="69">
        <f t="shared" si="7"/>
        <v>1.7680326886098858</v>
      </c>
      <c r="K14" s="69">
        <f t="shared" si="8"/>
        <v>0.86871055291256605</v>
      </c>
      <c r="L14" s="66">
        <v>76348</v>
      </c>
      <c r="M14" s="67">
        <f t="shared" si="4"/>
        <v>1.7769126108475735E-2</v>
      </c>
      <c r="N14" s="66">
        <v>76410.493000000002</v>
      </c>
      <c r="O14" s="67">
        <f t="shared" si="5"/>
        <v>2.0015419131879857E-2</v>
      </c>
      <c r="P14" s="66">
        <v>82454.853000000003</v>
      </c>
      <c r="Q14" s="68">
        <f t="shared" si="6"/>
        <v>1.9584963096252968E-2</v>
      </c>
      <c r="R14" s="69">
        <f>IF(L14=0,"",(P14-L14)/ABS(L14)+1)</f>
        <v>1.0799870723529104</v>
      </c>
      <c r="S14" s="70">
        <f>IF(N14=0,"",(P14-N14)/ABS(N14))</f>
        <v>7.910379533868471E-2</v>
      </c>
      <c r="T14" s="71">
        <v>374878</v>
      </c>
      <c r="U14" s="71">
        <v>158023.12700000001</v>
      </c>
      <c r="V14" s="71">
        <v>293210.766</v>
      </c>
      <c r="W14" s="73" t="s">
        <v>52</v>
      </c>
      <c r="X14" s="75">
        <f t="shared" ref="X14:AC14" si="14">X8-X13</f>
        <v>305444</v>
      </c>
      <c r="Y14" s="75">
        <f t="shared" si="14"/>
        <v>284661.96857999987</v>
      </c>
      <c r="Z14" s="74">
        <f>Z8-Z13</f>
        <v>286870.51520000002</v>
      </c>
      <c r="AA14" s="93">
        <f t="shared" si="14"/>
        <v>905976</v>
      </c>
      <c r="AB14" s="75">
        <f t="shared" si="14"/>
        <v>1270739.8205800001</v>
      </c>
      <c r="AC14" s="94">
        <f t="shared" si="14"/>
        <v>971044.67344000004</v>
      </c>
      <c r="AD14" s="95">
        <f>+AC14-AA14</f>
        <v>65068.673440000042</v>
      </c>
      <c r="AE14" s="77">
        <f t="shared" si="12"/>
        <v>1.0718216304184658</v>
      </c>
      <c r="AF14" s="77">
        <f t="shared" si="11"/>
        <v>-0.23584304378154375</v>
      </c>
      <c r="AG14" s="78"/>
      <c r="AH14" s="78"/>
      <c r="AI14" s="78"/>
      <c r="AJ14" s="78"/>
      <c r="AK14" s="79">
        <v>2011126.3406399991</v>
      </c>
      <c r="AL14" s="87"/>
    </row>
    <row r="15" spans="1:38" ht="15.75" thickBot="1" x14ac:dyDescent="0.3">
      <c r="B15" s="80" t="s">
        <v>53</v>
      </c>
      <c r="C15" s="89" t="s">
        <v>54</v>
      </c>
      <c r="D15" s="66">
        <v>111965</v>
      </c>
      <c r="E15" s="96">
        <f t="shared" ref="E15:E34" si="15">+D15/$D$17</f>
        <v>0.12980516183184512</v>
      </c>
      <c r="F15" s="66">
        <v>94123.202000000005</v>
      </c>
      <c r="G15" s="67">
        <f t="shared" si="2"/>
        <v>0.13344588569273946</v>
      </c>
      <c r="H15" s="66">
        <v>96013.508000000002</v>
      </c>
      <c r="I15" s="68">
        <f t="shared" si="3"/>
        <v>0.11065256353214824</v>
      </c>
      <c r="J15" s="69">
        <f t="shared" si="7"/>
        <v>0.85753144286160854</v>
      </c>
      <c r="K15" s="69">
        <f t="shared" si="8"/>
        <v>2.0083315907590955E-2</v>
      </c>
      <c r="L15" s="66">
        <v>535722</v>
      </c>
      <c r="M15" s="67">
        <f t="shared" si="4"/>
        <v>0.12468318459009846</v>
      </c>
      <c r="N15" s="66">
        <v>387186.55300000001</v>
      </c>
      <c r="O15" s="67">
        <f t="shared" si="5"/>
        <v>0.1014219492147867</v>
      </c>
      <c r="P15" s="66">
        <v>504095.21500000003</v>
      </c>
      <c r="Q15" s="68">
        <f t="shared" si="6"/>
        <v>0.11973444647063655</v>
      </c>
      <c r="R15" s="69">
        <f>IF(L15=0,"",(P15-L15)/ABS(L15)+1)</f>
        <v>0.94096418478240584</v>
      </c>
      <c r="S15" s="70">
        <f>IF(N15=0,"",(P15-N15)/ABS(N15))</f>
        <v>0.30194401405257482</v>
      </c>
      <c r="T15" s="71">
        <v>18229</v>
      </c>
      <c r="U15" s="71">
        <v>0</v>
      </c>
      <c r="V15" s="71">
        <v>111976.204</v>
      </c>
      <c r="W15" s="89"/>
      <c r="X15" s="97"/>
      <c r="Y15" s="97"/>
      <c r="Z15" s="98"/>
      <c r="AA15" s="99"/>
      <c r="AB15" s="97"/>
      <c r="AC15" s="100"/>
      <c r="AD15" s="101"/>
      <c r="AE15" s="102"/>
      <c r="AF15" s="102"/>
      <c r="AG15" s="78"/>
      <c r="AH15" s="78"/>
      <c r="AI15" s="78"/>
      <c r="AJ15" s="78"/>
      <c r="AK15" s="79"/>
      <c r="AL15" s="87"/>
    </row>
    <row r="16" spans="1:38" ht="15.75" thickBot="1" x14ac:dyDescent="0.3">
      <c r="B16" s="9" t="s">
        <v>55</v>
      </c>
      <c r="C16" s="89" t="s">
        <v>56</v>
      </c>
      <c r="D16" s="66">
        <v>43203</v>
      </c>
      <c r="E16" s="67">
        <f t="shared" si="15"/>
        <v>5.0086834337705582E-2</v>
      </c>
      <c r="F16" s="66">
        <v>33634.985999999997</v>
      </c>
      <c r="G16" s="67"/>
      <c r="H16" s="66">
        <v>52572.313000000002</v>
      </c>
      <c r="I16" s="68">
        <f t="shared" si="3"/>
        <v>6.0587945648902679E-2</v>
      </c>
      <c r="J16" s="69">
        <f t="shared" si="7"/>
        <v>1.2168671851491795</v>
      </c>
      <c r="K16" s="69">
        <f t="shared" si="8"/>
        <v>0.56302467317810112</v>
      </c>
      <c r="L16" s="66">
        <v>214937</v>
      </c>
      <c r="M16" s="67">
        <f t="shared" si="4"/>
        <v>5.0024134992107831E-2</v>
      </c>
      <c r="N16" s="66">
        <v>169046.49799999999</v>
      </c>
      <c r="O16" s="67">
        <f t="shared" si="5"/>
        <v>4.428104540886145E-2</v>
      </c>
      <c r="P16" s="66">
        <v>261135.815</v>
      </c>
      <c r="Q16" s="68">
        <f t="shared" si="6"/>
        <v>6.2025885849131789E-2</v>
      </c>
      <c r="R16" s="69"/>
      <c r="S16" s="70"/>
      <c r="T16" s="71"/>
      <c r="U16" s="71"/>
      <c r="V16" s="71"/>
      <c r="W16" s="89"/>
      <c r="X16" s="97"/>
      <c r="Y16" s="97"/>
      <c r="Z16" s="98"/>
      <c r="AA16" s="99"/>
      <c r="AB16" s="97"/>
      <c r="AC16" s="100"/>
      <c r="AD16" s="103"/>
      <c r="AE16" s="102"/>
      <c r="AF16" s="102" t="str">
        <f t="shared" si="11"/>
        <v/>
      </c>
      <c r="AG16" s="78"/>
      <c r="AH16" s="78"/>
      <c r="AI16" s="78"/>
      <c r="AJ16" s="78"/>
      <c r="AK16" s="79"/>
      <c r="AL16" s="15"/>
    </row>
    <row r="17" spans="1:38" x14ac:dyDescent="0.25">
      <c r="C17" s="104" t="s">
        <v>57</v>
      </c>
      <c r="D17" s="105">
        <f>SUM(D7:D16)</f>
        <v>862562</v>
      </c>
      <c r="E17" s="106">
        <f t="shared" si="15"/>
        <v>1</v>
      </c>
      <c r="F17" s="105">
        <f>SUM(F7:F16)</f>
        <v>705328.61699999997</v>
      </c>
      <c r="G17" s="106">
        <f>+F18/$F$18</f>
        <v>1</v>
      </c>
      <c r="H17" s="105">
        <f>SUM(H7:H16)</f>
        <v>867702.51800000004</v>
      </c>
      <c r="I17" s="107">
        <f t="shared" si="3"/>
        <v>1</v>
      </c>
      <c r="J17" s="108">
        <f t="shared" si="7"/>
        <v>1.0059595924698748</v>
      </c>
      <c r="K17" s="108">
        <f t="shared" si="8"/>
        <v>0.23021028366980334</v>
      </c>
      <c r="L17" s="105">
        <f>SUM(L7:L16)</f>
        <v>4296666</v>
      </c>
      <c r="M17" s="106">
        <f t="shared" si="4"/>
        <v>1</v>
      </c>
      <c r="N17" s="105">
        <f>SUM(N7:N16)</f>
        <v>3817581.4603999997</v>
      </c>
      <c r="O17" s="106">
        <f t="shared" si="5"/>
        <v>1</v>
      </c>
      <c r="P17" s="105">
        <f>SUM(P7:P16)</f>
        <v>4210110.2051999997</v>
      </c>
      <c r="Q17" s="107">
        <f t="shared" si="6"/>
        <v>1</v>
      </c>
      <c r="R17" s="108">
        <f t="shared" si="9"/>
        <v>0.97985512609078751</v>
      </c>
      <c r="S17" s="109">
        <f t="shared" si="10"/>
        <v>0.10282131471763578</v>
      </c>
      <c r="T17" s="71">
        <v>11069008</v>
      </c>
      <c r="U17" s="71">
        <v>10166831.3474</v>
      </c>
      <c r="V17" s="71">
        <v>10301725.519300001</v>
      </c>
      <c r="W17" s="81" t="s">
        <v>58</v>
      </c>
      <c r="X17" s="82">
        <f t="shared" ref="X17:AC17" si="16">+X7+X14</f>
        <v>419807.4841434593</v>
      </c>
      <c r="Y17" s="82">
        <f t="shared" si="16"/>
        <v>1050817.0541599998</v>
      </c>
      <c r="Z17" s="83">
        <f t="shared" si="16"/>
        <v>468830.79408999998</v>
      </c>
      <c r="AA17" s="88">
        <f t="shared" si="16"/>
        <v>1390368</v>
      </c>
      <c r="AB17" s="110">
        <f t="shared" si="16"/>
        <v>1861264.8205800001</v>
      </c>
      <c r="AC17" s="110">
        <f t="shared" si="16"/>
        <v>1455436.67344</v>
      </c>
      <c r="AD17" s="85">
        <f>+AC17-AA17</f>
        <v>65068.673440000042</v>
      </c>
      <c r="AE17" s="86">
        <f t="shared" si="12"/>
        <v>1.0467996051692789</v>
      </c>
      <c r="AF17" s="86">
        <f t="shared" si="11"/>
        <v>-0.21803890701245696</v>
      </c>
      <c r="AG17" s="78"/>
      <c r="AH17" s="78"/>
      <c r="AI17" s="78"/>
      <c r="AJ17" s="78"/>
      <c r="AK17" s="79">
        <v>1994210.3406399991</v>
      </c>
      <c r="AL17" s="87"/>
    </row>
    <row r="18" spans="1:38" x14ac:dyDescent="0.25">
      <c r="B18" s="111"/>
      <c r="C18" s="112" t="s">
        <v>59</v>
      </c>
      <c r="D18" s="83">
        <v>71220</v>
      </c>
      <c r="E18" s="113">
        <f t="shared" si="15"/>
        <v>8.2567977722181135E-2</v>
      </c>
      <c r="F18" s="114">
        <v>31223.423170000002</v>
      </c>
      <c r="G18" s="113">
        <f t="shared" ref="G18:G34" si="17">+F18/$F$17</f>
        <v>4.4267909195012861E-2</v>
      </c>
      <c r="H18" s="83">
        <v>92511.811199999996</v>
      </c>
      <c r="I18" s="115">
        <f t="shared" si="3"/>
        <v>0.10661696754463031</v>
      </c>
      <c r="J18" s="116">
        <f t="shared" si="7"/>
        <v>1.2989583150800337</v>
      </c>
      <c r="K18" s="116">
        <f t="shared" si="8"/>
        <v>1.9628977801795584</v>
      </c>
      <c r="L18" s="117">
        <v>326993</v>
      </c>
      <c r="M18" s="113">
        <f t="shared" si="4"/>
        <v>7.610389078415683E-2</v>
      </c>
      <c r="N18" s="83">
        <v>191840.21772999997</v>
      </c>
      <c r="O18" s="113">
        <f t="shared" si="5"/>
        <v>5.0251767963557556E-2</v>
      </c>
      <c r="P18" s="83">
        <v>329104.51081999997</v>
      </c>
      <c r="Q18" s="115">
        <f t="shared" si="6"/>
        <v>7.8170046573487736E-2</v>
      </c>
      <c r="R18" s="116">
        <f t="shared" si="9"/>
        <v>1.0064573578639298</v>
      </c>
      <c r="S18" s="118">
        <f t="shared" si="10"/>
        <v>0.7155136431464475</v>
      </c>
      <c r="T18" s="71">
        <v>766856</v>
      </c>
      <c r="U18" s="71">
        <v>473621.28441000002</v>
      </c>
      <c r="V18" s="71">
        <v>659343.52910000004</v>
      </c>
      <c r="W18" s="81" t="s">
        <v>60</v>
      </c>
      <c r="X18" s="82">
        <v>0</v>
      </c>
      <c r="Y18" s="82">
        <v>218175.33499999999</v>
      </c>
      <c r="Z18" s="83">
        <v>1762.5</v>
      </c>
      <c r="AA18" s="88">
        <v>440621</v>
      </c>
      <c r="AB18" s="82">
        <v>218437.277</v>
      </c>
      <c r="AC18" s="83">
        <v>480836.81900000002</v>
      </c>
      <c r="AD18" s="85">
        <f t="shared" ref="AD18:AD22" si="18">+AC18-AA18</f>
        <v>40215.819000000018</v>
      </c>
      <c r="AE18" s="86">
        <f t="shared" si="12"/>
        <v>1.0912707723871535</v>
      </c>
      <c r="AF18" s="86">
        <f t="shared" si="11"/>
        <v>1.2012580709839191</v>
      </c>
      <c r="AG18" s="78"/>
      <c r="AH18" s="78"/>
      <c r="AI18" s="78"/>
      <c r="AJ18" s="78"/>
      <c r="AK18" s="79">
        <v>13474.714</v>
      </c>
      <c r="AL18" s="87"/>
    </row>
    <row r="19" spans="1:38" ht="15.75" thickBot="1" x14ac:dyDescent="0.3">
      <c r="C19" s="119" t="s">
        <v>61</v>
      </c>
      <c r="D19" s="120">
        <f>+D17-D18</f>
        <v>791342</v>
      </c>
      <c r="E19" s="121">
        <f t="shared" si="15"/>
        <v>0.91743202227781884</v>
      </c>
      <c r="F19" s="120">
        <f>+F17-F18</f>
        <v>674105.19383</v>
      </c>
      <c r="G19" s="121">
        <f t="shared" si="17"/>
        <v>0.95573209080498722</v>
      </c>
      <c r="H19" s="120">
        <f>+H17-H18</f>
        <v>775190.70680000004</v>
      </c>
      <c r="I19" s="122">
        <f t="shared" si="3"/>
        <v>0.89338303245536965</v>
      </c>
      <c r="J19" s="123">
        <f t="shared" si="7"/>
        <v>0.97958999623424514</v>
      </c>
      <c r="K19" s="123">
        <f t="shared" si="8"/>
        <v>0.14995510180788255</v>
      </c>
      <c r="L19" s="120">
        <f>+L17-L18</f>
        <v>3969673</v>
      </c>
      <c r="M19" s="121">
        <f t="shared" si="4"/>
        <v>0.9238961092158432</v>
      </c>
      <c r="N19" s="120">
        <f>+N17-N18</f>
        <v>3625741.2426699996</v>
      </c>
      <c r="O19" s="121">
        <f t="shared" si="5"/>
        <v>0.94974823203644243</v>
      </c>
      <c r="P19" s="120">
        <f>+P17-P18</f>
        <v>3881005.6943799998</v>
      </c>
      <c r="Q19" s="122">
        <f t="shared" si="6"/>
        <v>0.92182995342651231</v>
      </c>
      <c r="R19" s="124">
        <f t="shared" si="9"/>
        <v>0.97766382631012672</v>
      </c>
      <c r="S19" s="125">
        <f t="shared" si="10"/>
        <v>7.0403383646325285E-2</v>
      </c>
      <c r="T19" s="71">
        <v>10302152</v>
      </c>
      <c r="U19" s="71">
        <v>9693210.0629900005</v>
      </c>
      <c r="V19" s="71">
        <v>9642381.9901999999</v>
      </c>
      <c r="W19" s="81" t="s">
        <v>62</v>
      </c>
      <c r="X19" s="82">
        <v>310684</v>
      </c>
      <c r="Y19" s="82">
        <v>250763.03784999999</v>
      </c>
      <c r="Z19" s="83">
        <v>295845.38814999996</v>
      </c>
      <c r="AA19" s="88">
        <v>919931</v>
      </c>
      <c r="AB19" s="82">
        <v>841801.91015999997</v>
      </c>
      <c r="AC19" s="83">
        <v>946846.70085999998</v>
      </c>
      <c r="AD19" s="85">
        <f t="shared" si="18"/>
        <v>26915.700859999983</v>
      </c>
      <c r="AE19" s="86">
        <f t="shared" si="12"/>
        <v>1.0292583909662789</v>
      </c>
      <c r="AF19" s="86">
        <f t="shared" si="11"/>
        <v>0.12478564069786241</v>
      </c>
      <c r="AG19" s="78"/>
      <c r="AH19" s="78"/>
      <c r="AI19" s="78"/>
      <c r="AJ19" s="78"/>
      <c r="AK19" s="79">
        <v>1271793.6424499999</v>
      </c>
      <c r="AL19" s="87"/>
    </row>
    <row r="20" spans="1:38" x14ac:dyDescent="0.25">
      <c r="C20" s="81" t="s">
        <v>63</v>
      </c>
      <c r="D20" s="83">
        <v>215585</v>
      </c>
      <c r="E20" s="126">
        <f t="shared" si="15"/>
        <v>0.24993565679916344</v>
      </c>
      <c r="F20" s="83">
        <v>148400.72158000001</v>
      </c>
      <c r="G20" s="126">
        <f t="shared" si="17"/>
        <v>0.21039940533137338</v>
      </c>
      <c r="H20" s="83">
        <v>190278.01527</v>
      </c>
      <c r="I20" s="127">
        <f t="shared" si="3"/>
        <v>0.21928945845239553</v>
      </c>
      <c r="J20" s="128">
        <f t="shared" si="7"/>
        <v>0.88261249748359116</v>
      </c>
      <c r="K20" s="128">
        <f t="shared" si="8"/>
        <v>0.28219063387387061</v>
      </c>
      <c r="L20" s="83">
        <v>952291</v>
      </c>
      <c r="M20" s="126">
        <f t="shared" si="4"/>
        <v>0.22163486759268697</v>
      </c>
      <c r="N20" s="83">
        <v>751606.61002000002</v>
      </c>
      <c r="O20" s="126">
        <f t="shared" si="5"/>
        <v>0.19688030702591686</v>
      </c>
      <c r="P20" s="83">
        <v>947800.94261000003</v>
      </c>
      <c r="Q20" s="127">
        <f t="shared" si="6"/>
        <v>0.22512497213002886</v>
      </c>
      <c r="R20" s="128">
        <f t="shared" si="9"/>
        <v>0.99528499440822193</v>
      </c>
      <c r="S20" s="129">
        <f t="shared" si="10"/>
        <v>0.26103327189309755</v>
      </c>
      <c r="T20" s="71">
        <v>2590902</v>
      </c>
      <c r="U20" s="71">
        <v>2426904.14591</v>
      </c>
      <c r="V20" s="71">
        <v>2475291.4580900003</v>
      </c>
      <c r="W20" s="81" t="s">
        <v>64</v>
      </c>
      <c r="X20" s="82">
        <v>5260</v>
      </c>
      <c r="Y20" s="83">
        <v>-362795.679</v>
      </c>
      <c r="Z20" s="83">
        <v>57476.090549999994</v>
      </c>
      <c r="AA20" s="82">
        <v>-151547</v>
      </c>
      <c r="AB20" s="82">
        <v>-143649.18136000002</v>
      </c>
      <c r="AC20" s="83">
        <v>-145663.59468000001</v>
      </c>
      <c r="AD20" s="85">
        <f t="shared" si="18"/>
        <v>5883.4053199999908</v>
      </c>
      <c r="AE20" s="86">
        <f t="shared" si="12"/>
        <v>1.0388223146614581</v>
      </c>
      <c r="AF20" s="86">
        <f t="shared" si="11"/>
        <v>-1.4023145143804613E-2</v>
      </c>
      <c r="AG20" s="78"/>
      <c r="AH20" s="78"/>
      <c r="AI20" s="78"/>
      <c r="AJ20" s="78"/>
      <c r="AK20" s="79">
        <v>531751.59172999999</v>
      </c>
      <c r="AL20" s="87"/>
    </row>
    <row r="21" spans="1:38" ht="15.75" thickBot="1" x14ac:dyDescent="0.3">
      <c r="C21" s="81" t="s">
        <v>65</v>
      </c>
      <c r="D21" s="83">
        <v>277983</v>
      </c>
      <c r="E21" s="126">
        <f t="shared" si="15"/>
        <v>0.32227596393070873</v>
      </c>
      <c r="F21" s="83">
        <v>286671.35294999997</v>
      </c>
      <c r="G21" s="126">
        <f t="shared" si="17"/>
        <v>0.40643658294953311</v>
      </c>
      <c r="H21" s="83">
        <v>276512.65124000004</v>
      </c>
      <c r="I21" s="127">
        <f t="shared" si="3"/>
        <v>0.31867217796871716</v>
      </c>
      <c r="J21" s="128">
        <f t="shared" si="7"/>
        <v>0.99471065223412958</v>
      </c>
      <c r="K21" s="128">
        <f t="shared" si="8"/>
        <v>-3.5436752244204096E-2</v>
      </c>
      <c r="L21" s="83">
        <v>1412429</v>
      </c>
      <c r="M21" s="126">
        <f t="shared" si="4"/>
        <v>0.32872673835946292</v>
      </c>
      <c r="N21" s="83">
        <v>1459357.5679500001</v>
      </c>
      <c r="O21" s="126">
        <f t="shared" si="5"/>
        <v>0.38227280362920951</v>
      </c>
      <c r="P21" s="83">
        <v>1368343.89484</v>
      </c>
      <c r="Q21" s="127">
        <f t="shared" si="6"/>
        <v>0.32501379492392585</v>
      </c>
      <c r="R21" s="128">
        <f t="shared" si="9"/>
        <v>0.96878773718183353</v>
      </c>
      <c r="S21" s="129">
        <f t="shared" si="10"/>
        <v>-6.2365574488950998E-2</v>
      </c>
      <c r="T21" s="71">
        <v>3499722</v>
      </c>
      <c r="U21" s="71">
        <v>3222370.52978</v>
      </c>
      <c r="V21" s="71">
        <v>3164019.7139599998</v>
      </c>
      <c r="W21" s="81" t="s">
        <v>66</v>
      </c>
      <c r="X21" s="82">
        <v>77500</v>
      </c>
      <c r="Y21" s="83">
        <v>0</v>
      </c>
      <c r="Z21" s="83">
        <v>73719.837</v>
      </c>
      <c r="AA21" s="88">
        <v>155000</v>
      </c>
      <c r="AB21" s="82">
        <v>0</v>
      </c>
      <c r="AC21" s="110">
        <v>133390.07</v>
      </c>
      <c r="AD21" s="85">
        <f t="shared" si="18"/>
        <v>-21609.929999999993</v>
      </c>
      <c r="AE21" s="86">
        <f t="shared" si="12"/>
        <v>0.86058109677419359</v>
      </c>
      <c r="AF21" s="86" t="str">
        <f t="shared" si="11"/>
        <v/>
      </c>
      <c r="AG21" s="78">
        <v>162019</v>
      </c>
      <c r="AH21" s="78"/>
      <c r="AI21" s="78"/>
      <c r="AJ21" s="78"/>
      <c r="AK21" s="79">
        <v>40164</v>
      </c>
      <c r="AL21" s="87"/>
    </row>
    <row r="22" spans="1:38" ht="15.75" thickBot="1" x14ac:dyDescent="0.3">
      <c r="C22" s="112" t="s">
        <v>67</v>
      </c>
      <c r="D22" s="117">
        <f>SUM(D20:D21)</f>
        <v>493568</v>
      </c>
      <c r="E22" s="113">
        <f t="shared" si="15"/>
        <v>0.57221162072987219</v>
      </c>
      <c r="F22" s="117">
        <f>SUM(F20:F21)</f>
        <v>435072.07452999998</v>
      </c>
      <c r="G22" s="113">
        <f t="shared" si="17"/>
        <v>0.61683598828090647</v>
      </c>
      <c r="H22" s="117">
        <f>SUM(H20:H21)</f>
        <v>466790.66651000001</v>
      </c>
      <c r="I22" s="115">
        <f t="shared" si="3"/>
        <v>0.53796163642111272</v>
      </c>
      <c r="J22" s="116">
        <f t="shared" si="7"/>
        <v>0.94574742793292921</v>
      </c>
      <c r="K22" s="116">
        <f t="shared" si="8"/>
        <v>7.2904224005332946E-2</v>
      </c>
      <c r="L22" s="117">
        <f>SUM(L20:L21)</f>
        <v>2364720</v>
      </c>
      <c r="M22" s="113">
        <f t="shared" si="4"/>
        <v>0.55036160595214989</v>
      </c>
      <c r="N22" s="117">
        <f>SUM(N20:N21)</f>
        <v>2210964.1779700001</v>
      </c>
      <c r="O22" s="113">
        <f t="shared" si="5"/>
        <v>0.57915311065512642</v>
      </c>
      <c r="P22" s="117">
        <f>SUM(P20:P21)</f>
        <v>2316144.83745</v>
      </c>
      <c r="Q22" s="115">
        <f t="shared" si="6"/>
        <v>0.5501387670539547</v>
      </c>
      <c r="R22" s="116">
        <f t="shared" si="9"/>
        <v>0.97945838722977774</v>
      </c>
      <c r="S22" s="118">
        <f t="shared" si="10"/>
        <v>4.7572303761416745E-2</v>
      </c>
      <c r="T22" s="71">
        <v>6090624</v>
      </c>
      <c r="U22" s="71">
        <v>5649274.6756899999</v>
      </c>
      <c r="V22" s="71">
        <v>5639311.1720500002</v>
      </c>
      <c r="W22" s="73" t="s">
        <v>68</v>
      </c>
      <c r="X22" s="75">
        <f>X17-X18-X19-X20-X21</f>
        <v>26363.484143459296</v>
      </c>
      <c r="Y22" s="75">
        <f>Y17-Y18-Y19-Y20-Y21</f>
        <v>944674.3603099999</v>
      </c>
      <c r="Z22" s="74">
        <f>Z17-Z18-Z19-Z20-Z21</f>
        <v>40026.978390000033</v>
      </c>
      <c r="AA22" s="130">
        <f t="shared" ref="AA22:AC22" si="19">AA17-AA18-AA19-AA20-AA21</f>
        <v>26363</v>
      </c>
      <c r="AB22" s="131">
        <f t="shared" si="19"/>
        <v>944674.81478000013</v>
      </c>
      <c r="AC22" s="132">
        <f t="shared" si="19"/>
        <v>40026.678260000044</v>
      </c>
      <c r="AD22" s="76">
        <f t="shared" si="18"/>
        <v>13663.678260000044</v>
      </c>
      <c r="AE22" s="77">
        <f t="shared" ref="AE22" si="20">IF(X22=0,"",(Z22-X22)/ABS(X22)+1)</f>
        <v>1.5182734638634861</v>
      </c>
      <c r="AF22" s="77">
        <f t="shared" si="11"/>
        <v>-0.95762914641762553</v>
      </c>
      <c r="AG22" s="78"/>
      <c r="AH22" s="78"/>
      <c r="AI22" s="78"/>
      <c r="AJ22" s="78">
        <v>1957.327520624036</v>
      </c>
      <c r="AK22" s="79">
        <v>137026.3924599993</v>
      </c>
      <c r="AL22" s="87"/>
    </row>
    <row r="23" spans="1:38" x14ac:dyDescent="0.25">
      <c r="A23" s="9"/>
      <c r="C23" s="81" t="s">
        <v>69</v>
      </c>
      <c r="D23" s="83">
        <v>51457</v>
      </c>
      <c r="E23" s="126">
        <f t="shared" si="15"/>
        <v>5.9656001539599469E-2</v>
      </c>
      <c r="F23" s="83">
        <v>38592.391439999999</v>
      </c>
      <c r="G23" s="126">
        <f t="shared" si="17"/>
        <v>5.4715476601738394E-2</v>
      </c>
      <c r="H23" s="83">
        <v>50030.065979999999</v>
      </c>
      <c r="I23" s="127">
        <f t="shared" si="3"/>
        <v>5.7658085509900522E-2</v>
      </c>
      <c r="J23" s="133">
        <f t="shared" si="7"/>
        <v>0.97226938958742248</v>
      </c>
      <c r="K23" s="128">
        <f t="shared" si="8"/>
        <v>0.29637123052564063</v>
      </c>
      <c r="L23" s="83">
        <v>255784</v>
      </c>
      <c r="M23" s="126">
        <f t="shared" si="4"/>
        <v>5.9530808305788718E-2</v>
      </c>
      <c r="N23" s="83">
        <v>202807.13125999999</v>
      </c>
      <c r="O23" s="126">
        <f t="shared" si="5"/>
        <v>5.3124506539999332E-2</v>
      </c>
      <c r="P23" s="83">
        <v>240595.96393999999</v>
      </c>
      <c r="Q23" s="127">
        <f t="shared" si="6"/>
        <v>5.7147189079001924E-2</v>
      </c>
      <c r="R23" s="128">
        <f t="shared" si="9"/>
        <v>0.94062163364401208</v>
      </c>
      <c r="S23" s="129">
        <f t="shared" si="10"/>
        <v>0.18632891479321048</v>
      </c>
      <c r="T23" s="71">
        <v>494757</v>
      </c>
      <c r="U23" s="71">
        <v>469182.92499000003</v>
      </c>
      <c r="V23" s="72"/>
      <c r="W23" s="134"/>
      <c r="X23" s="135" t="s">
        <v>70</v>
      </c>
      <c r="Y23" s="48" t="s">
        <v>70</v>
      </c>
      <c r="Z23" s="135"/>
      <c r="AA23" s="135" t="s">
        <v>70</v>
      </c>
      <c r="AB23" s="136" t="s">
        <v>70</v>
      </c>
      <c r="AC23" s="136"/>
      <c r="AD23" s="48"/>
      <c r="AE23" s="48"/>
      <c r="AF23" s="48"/>
      <c r="AG23" s="137"/>
      <c r="AH23" s="137"/>
      <c r="AI23" s="138"/>
      <c r="AJ23" s="139"/>
      <c r="AK23" s="15"/>
      <c r="AL23" s="15"/>
    </row>
    <row r="24" spans="1:38" x14ac:dyDescent="0.25">
      <c r="C24" s="81" t="s">
        <v>71</v>
      </c>
      <c r="D24" s="83">
        <v>168385</v>
      </c>
      <c r="E24" s="126">
        <f t="shared" si="15"/>
        <v>0.19521495266427225</v>
      </c>
      <c r="F24" s="83">
        <v>146925.72810000001</v>
      </c>
      <c r="G24" s="126">
        <f t="shared" si="17"/>
        <v>0.20830819076209411</v>
      </c>
      <c r="H24" s="83">
        <v>162273.38584999999</v>
      </c>
      <c r="I24" s="127">
        <f t="shared" si="3"/>
        <v>0.18701499936179738</v>
      </c>
      <c r="J24" s="128">
        <f t="shared" si="7"/>
        <v>0.96370452148350505</v>
      </c>
      <c r="K24" s="128">
        <f t="shared" si="8"/>
        <v>0.10445861285474878</v>
      </c>
      <c r="L24" s="83">
        <v>905400</v>
      </c>
      <c r="M24" s="126">
        <f t="shared" si="4"/>
        <v>0.2107215222221136</v>
      </c>
      <c r="N24" s="83">
        <v>770457.69829999993</v>
      </c>
      <c r="O24" s="126">
        <f t="shared" si="5"/>
        <v>0.20181827324236656</v>
      </c>
      <c r="P24" s="83">
        <v>865932.66046000004</v>
      </c>
      <c r="Q24" s="127">
        <f t="shared" si="6"/>
        <v>0.2056793333795556</v>
      </c>
      <c r="R24" s="128">
        <f t="shared" si="9"/>
        <v>0.95640894683013034</v>
      </c>
      <c r="S24" s="129">
        <f t="shared" si="10"/>
        <v>0.12391979776522939</v>
      </c>
      <c r="T24" s="71">
        <v>2173047</v>
      </c>
      <c r="U24" s="71">
        <v>2274632.2021900001</v>
      </c>
      <c r="V24" s="72"/>
      <c r="W24" s="48"/>
      <c r="X24" s="136"/>
      <c r="Y24" s="48"/>
      <c r="Z24" s="136"/>
      <c r="AA24" s="136"/>
      <c r="AB24" s="136"/>
      <c r="AC24" s="136"/>
      <c r="AD24" s="48"/>
      <c r="AE24" s="48"/>
      <c r="AF24" s="48"/>
      <c r="AG24" s="137"/>
      <c r="AH24" s="137"/>
      <c r="AI24" s="138"/>
      <c r="AJ24" s="139"/>
      <c r="AK24" s="20"/>
    </row>
    <row r="25" spans="1:38" x14ac:dyDescent="0.25">
      <c r="C25" s="112" t="s">
        <v>72</v>
      </c>
      <c r="D25" s="117">
        <f>SUM(D23:D24)</f>
        <v>219842</v>
      </c>
      <c r="E25" s="113">
        <f t="shared" si="15"/>
        <v>0.25487095420387174</v>
      </c>
      <c r="F25" s="117">
        <f>SUM(F23:F24)</f>
        <v>185518.11954000001</v>
      </c>
      <c r="G25" s="113">
        <f t="shared" si="17"/>
        <v>0.26302366736383254</v>
      </c>
      <c r="H25" s="117">
        <f>SUM(H23:H24)</f>
        <v>212303.45182999998</v>
      </c>
      <c r="I25" s="115">
        <f t="shared" si="3"/>
        <v>0.24467308487169789</v>
      </c>
      <c r="J25" s="116">
        <f t="shared" si="7"/>
        <v>0.96570924495774224</v>
      </c>
      <c r="K25" s="116">
        <f t="shared" si="8"/>
        <v>0.14438121923839742</v>
      </c>
      <c r="L25" s="117">
        <f>SUM(L23:L24)</f>
        <v>1161184</v>
      </c>
      <c r="M25" s="113">
        <f t="shared" si="4"/>
        <v>0.27025233052790232</v>
      </c>
      <c r="N25" s="117">
        <f>SUM(N23:N24)</f>
        <v>973264.82955999998</v>
      </c>
      <c r="O25" s="113">
        <f t="shared" si="5"/>
        <v>0.2549427797823659</v>
      </c>
      <c r="P25" s="117">
        <f>SUM(P23:P24)</f>
        <v>1106528.6244000001</v>
      </c>
      <c r="Q25" s="115">
        <f t="shared" si="6"/>
        <v>0.26282652245855753</v>
      </c>
      <c r="R25" s="116">
        <f t="shared" si="9"/>
        <v>0.95293133939151775</v>
      </c>
      <c r="S25" s="118">
        <f t="shared" si="10"/>
        <v>0.13692449453890868</v>
      </c>
      <c r="T25" s="71">
        <v>2667804</v>
      </c>
      <c r="U25" s="71">
        <v>2743815.1271800003</v>
      </c>
      <c r="V25" s="72"/>
      <c r="W25" s="48" t="s">
        <v>73</v>
      </c>
      <c r="X25" s="136"/>
      <c r="Y25" s="136"/>
      <c r="Z25" s="136"/>
      <c r="AA25" s="136"/>
      <c r="AB25" s="136"/>
      <c r="AC25" s="136"/>
      <c r="AD25" s="48"/>
      <c r="AE25" s="48"/>
      <c r="AF25" s="48"/>
      <c r="AJ25" s="20"/>
      <c r="AK25" s="20"/>
    </row>
    <row r="26" spans="1:38" ht="15.75" thickBot="1" x14ac:dyDescent="0.3">
      <c r="C26" s="112" t="s">
        <v>74</v>
      </c>
      <c r="D26" s="117">
        <f>D22+D25</f>
        <v>713410</v>
      </c>
      <c r="E26" s="113">
        <f t="shared" si="15"/>
        <v>0.82708257493374393</v>
      </c>
      <c r="F26" s="117">
        <f>F22+F25</f>
        <v>620590.19406999997</v>
      </c>
      <c r="G26" s="113">
        <f t="shared" si="17"/>
        <v>0.879859655644739</v>
      </c>
      <c r="H26" s="117">
        <f>H22+H25</f>
        <v>679094.11834000004</v>
      </c>
      <c r="I26" s="115">
        <f t="shared" si="3"/>
        <v>0.78263472129281064</v>
      </c>
      <c r="J26" s="116">
        <f t="shared" si="7"/>
        <v>0.95189879359694995</v>
      </c>
      <c r="K26" s="116">
        <f t="shared" si="8"/>
        <v>9.4271428760927339E-2</v>
      </c>
      <c r="L26" s="117">
        <f>L22+L25</f>
        <v>3525904</v>
      </c>
      <c r="M26" s="113">
        <f t="shared" si="4"/>
        <v>0.82061393648005221</v>
      </c>
      <c r="N26" s="117">
        <f>N22+N25</f>
        <v>3184229.0075300001</v>
      </c>
      <c r="O26" s="113">
        <f t="shared" si="5"/>
        <v>0.83409589043749233</v>
      </c>
      <c r="P26" s="117">
        <f>P22+P25</f>
        <v>3422673.4618500001</v>
      </c>
      <c r="Q26" s="115">
        <f t="shared" si="6"/>
        <v>0.81296528951251223</v>
      </c>
      <c r="R26" s="116">
        <f t="shared" si="9"/>
        <v>0.97072224934371443</v>
      </c>
      <c r="S26" s="118">
        <f t="shared" si="10"/>
        <v>7.4882947726476773E-2</v>
      </c>
      <c r="T26" s="71">
        <v>8758428</v>
      </c>
      <c r="U26" s="71">
        <v>8393089.8028699998</v>
      </c>
      <c r="V26" s="72"/>
      <c r="W26" s="20"/>
      <c r="X26" s="140"/>
      <c r="Y26" s="140"/>
      <c r="Z26" s="140"/>
      <c r="AA26" s="136"/>
      <c r="AB26" s="20"/>
      <c r="AC26" s="140"/>
      <c r="AD26" s="20"/>
      <c r="AE26" s="20"/>
      <c r="AF26" s="20"/>
      <c r="AG26" s="20"/>
      <c r="AH26" s="20"/>
      <c r="AI26" s="20"/>
      <c r="AJ26" s="20"/>
    </row>
    <row r="27" spans="1:38" ht="15.75" thickBot="1" x14ac:dyDescent="0.3">
      <c r="C27" s="73" t="s">
        <v>75</v>
      </c>
      <c r="D27" s="141">
        <f>D19-D26</f>
        <v>77932</v>
      </c>
      <c r="E27" s="142">
        <f t="shared" si="15"/>
        <v>9.0349447344074976E-2</v>
      </c>
      <c r="F27" s="141">
        <f>F19-F26</f>
        <v>53514.999760000035</v>
      </c>
      <c r="G27" s="142">
        <f t="shared" si="17"/>
        <v>7.5872435160248206E-2</v>
      </c>
      <c r="H27" s="141">
        <f>H19-H26</f>
        <v>96096.588459999999</v>
      </c>
      <c r="I27" s="143">
        <f t="shared" si="3"/>
        <v>0.11074831116255905</v>
      </c>
      <c r="J27" s="144">
        <f t="shared" si="7"/>
        <v>1.2330825393933171</v>
      </c>
      <c r="K27" s="144">
        <f t="shared" si="8"/>
        <v>0.79569445745990108</v>
      </c>
      <c r="L27" s="141">
        <f>L19-L26</f>
        <v>443769</v>
      </c>
      <c r="M27" s="142">
        <f t="shared" si="4"/>
        <v>0.10328217273579096</v>
      </c>
      <c r="N27" s="141">
        <f>N19-N26</f>
        <v>441512.23513999954</v>
      </c>
      <c r="O27" s="142">
        <f t="shared" si="5"/>
        <v>0.11565234159895009</v>
      </c>
      <c r="P27" s="141">
        <f>+P19-P26</f>
        <v>458332.23252999969</v>
      </c>
      <c r="Q27" s="145">
        <f t="shared" si="6"/>
        <v>0.10886466391400003</v>
      </c>
      <c r="R27" s="146">
        <f t="shared" si="9"/>
        <v>1.0328171470517311</v>
      </c>
      <c r="S27" s="147">
        <f t="shared" si="10"/>
        <v>3.8096333581031296E-2</v>
      </c>
      <c r="T27" s="71">
        <v>1543724</v>
      </c>
      <c r="U27" s="71">
        <v>1300120.2601200007</v>
      </c>
      <c r="V27" s="72"/>
      <c r="W27" s="20"/>
      <c r="X27" s="20"/>
      <c r="Y27" s="140"/>
      <c r="Z27" s="140"/>
      <c r="AA27" s="136"/>
      <c r="AB27" s="20"/>
      <c r="AC27" s="20"/>
      <c r="AD27" s="20"/>
      <c r="AE27" s="20"/>
      <c r="AF27" s="20"/>
      <c r="AG27" s="20"/>
      <c r="AH27" s="20"/>
      <c r="AI27" s="20"/>
      <c r="AJ27" s="20"/>
    </row>
    <row r="28" spans="1:38" x14ac:dyDescent="0.25">
      <c r="C28" s="81" t="s">
        <v>76</v>
      </c>
      <c r="D28" s="83">
        <v>640</v>
      </c>
      <c r="E28" s="126">
        <f t="shared" si="15"/>
        <v>7.4197564928666E-4</v>
      </c>
      <c r="F28" s="83">
        <v>3310.30413</v>
      </c>
      <c r="G28" s="126">
        <f t="shared" si="17"/>
        <v>4.6932792037842411E-3</v>
      </c>
      <c r="H28" s="83">
        <v>386.82592</v>
      </c>
      <c r="I28" s="127">
        <f t="shared" si="3"/>
        <v>4.4580476831115981E-4</v>
      </c>
      <c r="J28" s="128">
        <f t="shared" si="7"/>
        <v>0.60441549999999999</v>
      </c>
      <c r="K28" s="128">
        <f t="shared" si="8"/>
        <v>-0.88314490004276447</v>
      </c>
      <c r="L28" s="83">
        <v>3200</v>
      </c>
      <c r="M28" s="126">
        <f t="shared" si="4"/>
        <v>7.4476349802381659E-4</v>
      </c>
      <c r="N28" s="83">
        <v>163350.57924000002</v>
      </c>
      <c r="O28" s="126">
        <f t="shared" si="5"/>
        <v>4.2789022561652013E-2</v>
      </c>
      <c r="P28" s="83">
        <v>8538.7470299999986</v>
      </c>
      <c r="Q28" s="127">
        <f t="shared" si="6"/>
        <v>2.0281528543964491E-3</v>
      </c>
      <c r="R28" s="148">
        <f t="shared" si="9"/>
        <v>2.6683584468749997</v>
      </c>
      <c r="S28" s="129">
        <f t="shared" si="10"/>
        <v>-0.94772747626774811</v>
      </c>
      <c r="T28" s="71">
        <v>190492</v>
      </c>
      <c r="U28" s="71">
        <v>166790.61462999997</v>
      </c>
      <c r="V28" s="72"/>
      <c r="Z28" s="149"/>
      <c r="AA28" s="150"/>
      <c r="AF28" s="20"/>
      <c r="AG28" s="20"/>
    </row>
    <row r="29" spans="1:38" ht="15.75" thickBot="1" x14ac:dyDescent="0.3">
      <c r="C29" s="81" t="s">
        <v>77</v>
      </c>
      <c r="D29" s="83">
        <v>15110</v>
      </c>
      <c r="E29" s="126">
        <f t="shared" si="15"/>
        <v>1.7517581344877239E-2</v>
      </c>
      <c r="F29" s="83">
        <v>14622.616480000001</v>
      </c>
      <c r="G29" s="126">
        <f t="shared" si="17"/>
        <v>2.0731636470663718E-2</v>
      </c>
      <c r="H29" s="83">
        <v>16785.837230000001</v>
      </c>
      <c r="I29" s="127">
        <f t="shared" si="3"/>
        <v>1.9345152148100602E-2</v>
      </c>
      <c r="J29" s="128">
        <f t="shared" si="7"/>
        <v>1.1109091482461946</v>
      </c>
      <c r="K29" s="128">
        <f t="shared" si="8"/>
        <v>0.14793663999590861</v>
      </c>
      <c r="L29" s="83">
        <v>77231</v>
      </c>
      <c r="M29" s="126">
        <f t="shared" si="4"/>
        <v>1.7974634286211683E-2</v>
      </c>
      <c r="N29" s="83">
        <v>139816.08406999998</v>
      </c>
      <c r="O29" s="126">
        <f t="shared" si="5"/>
        <v>3.6624256881043815E-2</v>
      </c>
      <c r="P29" s="83">
        <v>81070.953760000004</v>
      </c>
      <c r="Q29" s="127">
        <f t="shared" si="6"/>
        <v>1.925625454171425E-2</v>
      </c>
      <c r="R29" s="148">
        <f t="shared" si="9"/>
        <v>1.0497203682459118</v>
      </c>
      <c r="S29" s="129">
        <f t="shared" si="10"/>
        <v>-0.420160031664088</v>
      </c>
      <c r="T29" s="71">
        <v>312197</v>
      </c>
      <c r="U29" s="71">
        <v>795602.53936000005</v>
      </c>
      <c r="V29" s="71"/>
      <c r="W29" s="20"/>
      <c r="X29" s="20"/>
      <c r="Y29" s="20"/>
      <c r="Z29" s="20"/>
      <c r="AA29" s="136"/>
      <c r="AB29" s="20"/>
      <c r="AC29" s="20"/>
      <c r="AD29" s="20"/>
      <c r="AE29" s="20"/>
      <c r="AF29" s="20"/>
      <c r="AG29" s="20"/>
    </row>
    <row r="30" spans="1:38" ht="15.75" thickBot="1" x14ac:dyDescent="0.3">
      <c r="C30" s="73" t="s">
        <v>78</v>
      </c>
      <c r="D30" s="141">
        <f>D27+D28-D29</f>
        <v>63462</v>
      </c>
      <c r="E30" s="142">
        <f t="shared" si="15"/>
        <v>7.3573841648484392E-2</v>
      </c>
      <c r="F30" s="141">
        <f>F27+F28-F29</f>
        <v>42202.687410000028</v>
      </c>
      <c r="G30" s="142">
        <f t="shared" si="17"/>
        <v>5.9834077893368719E-2</v>
      </c>
      <c r="H30" s="141">
        <f>H27+H28-H29</f>
        <v>79697.577149999997</v>
      </c>
      <c r="I30" s="143">
        <f t="shared" si="3"/>
        <v>9.1848963782769605E-2</v>
      </c>
      <c r="J30" s="144">
        <f t="shared" si="7"/>
        <v>1.2558314763165359</v>
      </c>
      <c r="K30" s="144">
        <f t="shared" si="8"/>
        <v>0.88844791744507401</v>
      </c>
      <c r="L30" s="141">
        <f>L27+L28-L29</f>
        <v>369738</v>
      </c>
      <c r="M30" s="142">
        <f t="shared" si="4"/>
        <v>8.6052301947603091E-2</v>
      </c>
      <c r="N30" s="141">
        <f>N27+N28-N29</f>
        <v>465046.73030999955</v>
      </c>
      <c r="O30" s="142">
        <f t="shared" si="5"/>
        <v>0.12181710727955829</v>
      </c>
      <c r="P30" s="141">
        <f>P27+P28-P29</f>
        <v>385800.02579999965</v>
      </c>
      <c r="Q30" s="143">
        <f t="shared" si="6"/>
        <v>9.1636562226682233E-2</v>
      </c>
      <c r="R30" s="144">
        <f t="shared" si="9"/>
        <v>1.0434416419194124</v>
      </c>
      <c r="S30" s="147">
        <f t="shared" si="10"/>
        <v>-0.17040589546167573</v>
      </c>
      <c r="T30" s="71">
        <v>1422019</v>
      </c>
      <c r="U30" s="71">
        <v>671308.3353900006</v>
      </c>
      <c r="V30" s="71">
        <v>1319051.3092399999</v>
      </c>
      <c r="W30" s="20"/>
      <c r="X30" s="20"/>
      <c r="Y30" s="20"/>
      <c r="Z30" s="20"/>
      <c r="AA30" s="136"/>
      <c r="AB30" s="20"/>
      <c r="AC30" s="20"/>
      <c r="AD30" s="20"/>
      <c r="AE30" s="20"/>
      <c r="AF30" s="20"/>
      <c r="AG30" s="20"/>
    </row>
    <row r="31" spans="1:38" ht="15.75" thickBot="1" x14ac:dyDescent="0.3">
      <c r="C31" s="81" t="s">
        <v>62</v>
      </c>
      <c r="D31" s="83">
        <v>22849</v>
      </c>
      <c r="E31" s="126">
        <f t="shared" si="15"/>
        <v>2.6489690016485771E-2</v>
      </c>
      <c r="F31" s="83">
        <v>12965.962</v>
      </c>
      <c r="G31" s="126">
        <f t="shared" si="17"/>
        <v>1.838286677655105E-2</v>
      </c>
      <c r="H31" s="83">
        <v>28285.675999999999</v>
      </c>
      <c r="I31" s="127">
        <f t="shared" si="3"/>
        <v>3.2598356479587857E-2</v>
      </c>
      <c r="J31" s="128">
        <f t="shared" si="7"/>
        <v>1.2379393408901922</v>
      </c>
      <c r="K31" s="128">
        <f t="shared" si="8"/>
        <v>1.181533155812118</v>
      </c>
      <c r="L31" s="83">
        <v>133115</v>
      </c>
      <c r="M31" s="126">
        <f t="shared" si="4"/>
        <v>3.0980997824825107E-2</v>
      </c>
      <c r="N31" s="83">
        <v>146859.196</v>
      </c>
      <c r="O31" s="126">
        <f t="shared" si="5"/>
        <v>3.8469171522174238E-2</v>
      </c>
      <c r="P31" s="83">
        <v>133995.63</v>
      </c>
      <c r="Q31" s="127">
        <f t="shared" si="6"/>
        <v>3.1827107479157922E-2</v>
      </c>
      <c r="R31" s="148">
        <f t="shared" si="9"/>
        <v>1.006615557976186</v>
      </c>
      <c r="S31" s="129">
        <f t="shared" si="10"/>
        <v>-8.7591150914376456E-2</v>
      </c>
      <c r="T31" s="71">
        <v>532650</v>
      </c>
      <c r="U31" s="71">
        <v>248089.64799999999</v>
      </c>
      <c r="V31" s="71">
        <v>315500.18699999998</v>
      </c>
      <c r="W31" s="20"/>
      <c r="X31" s="20"/>
      <c r="Y31" s="20"/>
      <c r="Z31" s="20"/>
      <c r="AA31" s="136"/>
      <c r="AB31" s="20"/>
      <c r="AC31" s="20"/>
      <c r="AD31" s="20"/>
      <c r="AE31" s="20"/>
      <c r="AF31" s="20"/>
      <c r="AG31" s="20"/>
    </row>
    <row r="32" spans="1:38" ht="15.75" thickBot="1" x14ac:dyDescent="0.3">
      <c r="C32" s="73" t="s">
        <v>79</v>
      </c>
      <c r="D32" s="141">
        <f>+D30-D31</f>
        <v>40613</v>
      </c>
      <c r="E32" s="142">
        <f t="shared" si="15"/>
        <v>4.7084151631998625E-2</v>
      </c>
      <c r="F32" s="141">
        <f>+F30-F31</f>
        <v>29236.725410000028</v>
      </c>
      <c r="G32" s="142">
        <f t="shared" si="17"/>
        <v>4.1451211116817668E-2</v>
      </c>
      <c r="H32" s="141">
        <f>H30-H31</f>
        <v>51411.901149999998</v>
      </c>
      <c r="I32" s="143">
        <f t="shared" si="3"/>
        <v>5.9250607303181754E-2</v>
      </c>
      <c r="J32" s="144">
        <f t="shared" si="7"/>
        <v>1.2658976473050501</v>
      </c>
      <c r="K32" s="144">
        <f t="shared" si="8"/>
        <v>0.75846988433305362</v>
      </c>
      <c r="L32" s="141">
        <f>+L30-L31</f>
        <v>236623</v>
      </c>
      <c r="M32" s="142">
        <f t="shared" si="4"/>
        <v>5.5071304122777984E-2</v>
      </c>
      <c r="N32" s="141">
        <f>N30-N31</f>
        <v>318187.53430999955</v>
      </c>
      <c r="O32" s="142">
        <f t="shared" si="5"/>
        <v>8.3347935757384042E-2</v>
      </c>
      <c r="P32" s="141">
        <f>+P30-P31</f>
        <v>251804.39579999965</v>
      </c>
      <c r="Q32" s="143">
        <f t="shared" si="6"/>
        <v>5.9809454747524304E-2</v>
      </c>
      <c r="R32" s="144">
        <f t="shared" si="9"/>
        <v>1.0641585805268281</v>
      </c>
      <c r="S32" s="147">
        <f t="shared" si="10"/>
        <v>-0.20862897301729305</v>
      </c>
      <c r="T32" s="71">
        <v>889369</v>
      </c>
      <c r="U32" s="71">
        <v>423218.68739000062</v>
      </c>
      <c r="V32" s="71">
        <v>1003551.1222399999</v>
      </c>
      <c r="W32" s="20"/>
      <c r="X32" s="20"/>
      <c r="Y32" s="140"/>
      <c r="Z32" s="20"/>
      <c r="AA32" s="136"/>
      <c r="AB32" s="20"/>
      <c r="AC32" s="20"/>
      <c r="AD32" s="20"/>
      <c r="AE32" s="20"/>
      <c r="AF32" s="20"/>
      <c r="AG32" s="20"/>
    </row>
    <row r="33" spans="1:35" ht="15.75" thickBot="1" x14ac:dyDescent="0.3">
      <c r="B33" s="151" t="s">
        <v>80</v>
      </c>
      <c r="C33" s="73" t="s">
        <v>81</v>
      </c>
      <c r="D33" s="141">
        <v>118592</v>
      </c>
      <c r="E33" s="142">
        <f t="shared" si="15"/>
        <v>0.1374880878128181</v>
      </c>
      <c r="F33" s="141">
        <v>56771.144240000023</v>
      </c>
      <c r="G33" s="142">
        <f t="shared" si="17"/>
        <v>8.0488927957392126E-2</v>
      </c>
      <c r="H33" s="141">
        <v>136263.14812</v>
      </c>
      <c r="I33" s="143">
        <f t="shared" si="3"/>
        <v>0.1570390142857693</v>
      </c>
      <c r="J33" s="144">
        <f t="shared" si="7"/>
        <v>1.1490079273475444</v>
      </c>
      <c r="K33" s="144">
        <f t="shared" si="8"/>
        <v>1.4002184550649097</v>
      </c>
      <c r="L33" s="141">
        <v>657332</v>
      </c>
      <c r="M33" s="142">
        <f t="shared" si="4"/>
        <v>0.15298652490093481</v>
      </c>
      <c r="N33" s="141">
        <v>604313.53537999955</v>
      </c>
      <c r="O33" s="142">
        <f t="shared" si="5"/>
        <v>0.15829748275146971</v>
      </c>
      <c r="P33" s="141">
        <v>658429.17678999971</v>
      </c>
      <c r="Q33" s="143">
        <f t="shared" si="6"/>
        <v>0.15639238516292503</v>
      </c>
      <c r="R33" s="144">
        <f t="shared" si="9"/>
        <v>1.0016691364333392</v>
      </c>
      <c r="S33" s="147">
        <f t="shared" si="10"/>
        <v>8.9548948090284949E-2</v>
      </c>
      <c r="T33" s="71">
        <v>1894770</v>
      </c>
      <c r="U33" s="71">
        <v>1831556.2048200006</v>
      </c>
      <c r="V33" s="71">
        <v>1847014.7036299994</v>
      </c>
      <c r="Z33" s="20"/>
      <c r="AA33" s="150"/>
    </row>
    <row r="34" spans="1:35" ht="15.75" thickBot="1" x14ac:dyDescent="0.3">
      <c r="B34" s="152"/>
      <c r="C34" s="153" t="s">
        <v>45</v>
      </c>
      <c r="D34" s="154">
        <v>372874</v>
      </c>
      <c r="E34" s="155">
        <f t="shared" si="15"/>
        <v>0.43228660664392821</v>
      </c>
      <c r="F34" s="154">
        <v>320960.29399999999</v>
      </c>
      <c r="G34" s="155">
        <f t="shared" si="17"/>
        <v>0.45505071857874158</v>
      </c>
      <c r="H34" s="154">
        <v>338175.02100000001</v>
      </c>
      <c r="I34" s="156">
        <f t="shared" si="3"/>
        <v>0.38973612958905807</v>
      </c>
      <c r="J34" s="157">
        <f t="shared" si="7"/>
        <v>0.90694181144300756</v>
      </c>
      <c r="K34" s="157">
        <f t="shared" si="8"/>
        <v>5.3635067395595086E-2</v>
      </c>
      <c r="L34" s="158">
        <v>1778988</v>
      </c>
      <c r="M34" s="155">
        <f t="shared" si="4"/>
        <v>0.41403916431949794</v>
      </c>
      <c r="N34" s="158">
        <v>1595768.726</v>
      </c>
      <c r="O34" s="155">
        <f t="shared" si="5"/>
        <v>0.4180051539313579</v>
      </c>
      <c r="P34" s="154">
        <v>1699692.0279999999</v>
      </c>
      <c r="Q34" s="159">
        <f t="shared" si="6"/>
        <v>0.4037167544689621</v>
      </c>
      <c r="R34" s="160">
        <f t="shared" si="9"/>
        <v>0.95542635925593644</v>
      </c>
      <c r="S34" s="161">
        <f t="shared" si="10"/>
        <v>6.5124287941459455E-2</v>
      </c>
      <c r="T34" s="71"/>
      <c r="U34" s="71"/>
      <c r="V34" s="71">
        <v>4268422.6160000004</v>
      </c>
      <c r="AA34" s="150"/>
    </row>
    <row r="35" spans="1:35" s="15" customFormat="1" x14ac:dyDescent="0.25">
      <c r="A35" s="162"/>
      <c r="B35" s="163"/>
      <c r="C35" s="164" t="s">
        <v>73</v>
      </c>
      <c r="D35" s="165"/>
      <c r="H35" s="165"/>
      <c r="K35" s="165"/>
      <c r="L35" s="165"/>
      <c r="M35" s="165"/>
      <c r="N35" s="166"/>
      <c r="O35" s="165"/>
      <c r="P35" s="165"/>
      <c r="Q35" s="165"/>
      <c r="R35" s="167"/>
      <c r="S35" s="168"/>
      <c r="T35" s="169"/>
      <c r="U35" s="169"/>
      <c r="V35" s="169"/>
      <c r="AA35" s="150"/>
      <c r="AG35" s="15">
        <v>457061</v>
      </c>
    </row>
    <row r="36" spans="1:35" s="15" customFormat="1" x14ac:dyDescent="0.25">
      <c r="A36" s="162"/>
      <c r="B36" s="163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6"/>
      <c r="O36" s="165"/>
      <c r="P36" s="165"/>
      <c r="Q36" s="165"/>
      <c r="R36" s="165"/>
      <c r="T36" s="169"/>
      <c r="U36" s="169"/>
      <c r="V36" s="169"/>
      <c r="AA36" s="150"/>
      <c r="AG36" s="15">
        <v>457061</v>
      </c>
    </row>
    <row r="37" spans="1:35" s="15" customFormat="1" x14ac:dyDescent="0.25">
      <c r="A37" s="162"/>
      <c r="B37" s="163"/>
      <c r="C37" s="1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1"/>
      <c r="O37" s="170"/>
      <c r="P37" s="170"/>
      <c r="Q37" s="170"/>
      <c r="R37" s="170"/>
      <c r="S37" s="10"/>
      <c r="T37" s="172"/>
      <c r="U37" s="172"/>
      <c r="V37" s="172"/>
      <c r="AA37" s="150"/>
      <c r="AG37" s="15">
        <v>457061</v>
      </c>
    </row>
    <row r="38" spans="1:35" s="15" customFormat="1" x14ac:dyDescent="0.25">
      <c r="A38" s="162"/>
      <c r="B38" s="163"/>
      <c r="C38" s="10"/>
      <c r="D38" s="170"/>
      <c r="E38" s="170"/>
      <c r="F38" s="170"/>
      <c r="G38" s="170"/>
      <c r="H38" s="170"/>
      <c r="I38" s="170"/>
      <c r="J38" s="170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4"/>
    </row>
    <row r="39" spans="1:35" s="178" customFormat="1" x14ac:dyDescent="0.25">
      <c r="A39" s="175"/>
      <c r="B39" s="176"/>
      <c r="C39" s="177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4"/>
      <c r="AG39" s="15"/>
      <c r="AH39" s="15"/>
      <c r="AI39" s="15"/>
    </row>
    <row r="40" spans="1:35" s="15" customFormat="1" x14ac:dyDescent="0.25">
      <c r="A40" s="162"/>
      <c r="B40" s="163"/>
      <c r="C40" s="10"/>
      <c r="D40" s="170"/>
      <c r="E40" s="170"/>
      <c r="F40" s="170"/>
      <c r="G40" s="170"/>
      <c r="H40" s="170"/>
      <c r="I40" s="170"/>
      <c r="J40" s="170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4"/>
    </row>
    <row r="41" spans="1:35" s="15" customFormat="1" x14ac:dyDescent="0.25">
      <c r="A41" s="162"/>
      <c r="B41" s="163"/>
      <c r="C41" s="10"/>
      <c r="D41" s="170"/>
      <c r="E41" s="170"/>
      <c r="F41" s="170"/>
      <c r="G41" s="170"/>
      <c r="H41" s="170"/>
      <c r="I41" s="170"/>
      <c r="J41" s="170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4"/>
    </row>
    <row r="42" spans="1:35" s="15" customFormat="1" x14ac:dyDescent="0.25">
      <c r="A42" s="162"/>
      <c r="B42" s="163"/>
      <c r="C42" s="10"/>
      <c r="D42" s="10"/>
      <c r="E42" s="10"/>
      <c r="F42" s="10"/>
      <c r="G42" s="10"/>
      <c r="H42" s="149"/>
      <c r="I42" s="10"/>
      <c r="J42" s="10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4"/>
    </row>
    <row r="43" spans="1:35" s="15" customFormat="1" x14ac:dyDescent="0.25">
      <c r="A43" s="162"/>
      <c r="B43" s="163" t="s">
        <v>82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72"/>
      <c r="U43" s="172"/>
      <c r="V43" s="172"/>
    </row>
    <row r="44" spans="1:35" x14ac:dyDescent="0.25">
      <c r="D44" s="179"/>
      <c r="F44" s="10"/>
      <c r="T44" s="172"/>
      <c r="U44" s="172"/>
      <c r="V44" s="172"/>
    </row>
  </sheetData>
  <mergeCells count="10">
    <mergeCell ref="C3:S3"/>
    <mergeCell ref="W3:AF3"/>
    <mergeCell ref="L4:S4"/>
    <mergeCell ref="AA4:AC4"/>
    <mergeCell ref="D5:E5"/>
    <mergeCell ref="F5:G5"/>
    <mergeCell ref="H5:I5"/>
    <mergeCell ref="L5:M5"/>
    <mergeCell ref="N5:O5"/>
    <mergeCell ref="P5:Q5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51D4C-BCDB-47F8-8864-0A23762DC8BD}">
  <sheetPr>
    <tabColor rgb="FFFF0000"/>
  </sheetPr>
  <dimension ref="A1:AJ45"/>
  <sheetViews>
    <sheetView topLeftCell="C3" zoomScale="78" zoomScaleNormal="78" workbookViewId="0">
      <selection activeCell="D22" sqref="D22"/>
    </sheetView>
  </sheetViews>
  <sheetFormatPr baseColWidth="10" defaultRowHeight="15" x14ac:dyDescent="0.25"/>
  <cols>
    <col min="1" max="1" width="0" style="10" hidden="1" customWidth="1"/>
    <col min="2" max="2" width="15" style="10" hidden="1" customWidth="1"/>
    <col min="3" max="3" width="35.7109375" style="10" customWidth="1"/>
    <col min="4" max="4" width="13.42578125" style="10" customWidth="1"/>
    <col min="5" max="5" width="8.5703125" style="10" customWidth="1"/>
    <col min="6" max="6" width="11.28515625" style="10" customWidth="1"/>
    <col min="7" max="7" width="8.5703125" style="10" customWidth="1"/>
    <col min="8" max="8" width="11.7109375" style="10" customWidth="1"/>
    <col min="9" max="9" width="6.42578125" style="10" customWidth="1"/>
    <col min="10" max="10" width="9.5703125" style="10" customWidth="1"/>
    <col min="11" max="11" width="7.85546875" style="10" customWidth="1"/>
    <col min="12" max="12" width="17.5703125" style="10" customWidth="1"/>
    <col min="13" max="13" width="9.85546875" style="10" customWidth="1"/>
    <col min="14" max="14" width="10.42578125" style="10" customWidth="1"/>
    <col min="15" max="15" width="6.7109375" style="10" customWidth="1"/>
    <col min="16" max="16" width="12.5703125" style="10" customWidth="1"/>
    <col min="17" max="17" width="8.5703125" style="10" customWidth="1"/>
    <col min="18" max="18" width="9.28515625" style="10" customWidth="1"/>
    <col min="19" max="19" width="11.42578125" style="10" customWidth="1"/>
    <col min="20" max="20" width="11.42578125" style="10"/>
    <col min="21" max="22" width="0" style="10" hidden="1" customWidth="1"/>
    <col min="23" max="23" width="34.140625" style="10" customWidth="1"/>
    <col min="24" max="30" width="11.42578125" style="10"/>
    <col min="31" max="31" width="10.42578125" style="10" customWidth="1"/>
    <col min="32" max="32" width="10" style="10" customWidth="1"/>
    <col min="33" max="16384" width="11.42578125" style="10"/>
  </cols>
  <sheetData>
    <row r="1" spans="1:36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</row>
    <row r="2" spans="1:36" ht="30.75" hidden="1" x14ac:dyDescent="0.3">
      <c r="A2" s="4" t="s">
        <v>8</v>
      </c>
      <c r="B2" s="195">
        <v>201301</v>
      </c>
      <c r="D2" s="11">
        <f>B2</f>
        <v>201301</v>
      </c>
      <c r="F2" s="11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1" t="str">
        <f>+F2</f>
        <v>201201</v>
      </c>
      <c r="P2" s="11">
        <f>D2</f>
        <v>201301</v>
      </c>
      <c r="Z2" s="14"/>
      <c r="AA2" s="14"/>
      <c r="AB2" s="14"/>
      <c r="AC2" s="14"/>
    </row>
    <row r="3" spans="1:36" ht="19.5" thickBot="1" x14ac:dyDescent="0.35">
      <c r="B3" s="10">
        <v>1000</v>
      </c>
      <c r="C3" s="17" t="s">
        <v>163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233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  <c r="AH3" s="10" t="s">
        <v>110</v>
      </c>
      <c r="AI3" s="10">
        <v>914.48</v>
      </c>
      <c r="AJ3" s="10" t="s">
        <v>178</v>
      </c>
    </row>
    <row r="4" spans="1:36" ht="19.5" thickBot="1" x14ac:dyDescent="0.35">
      <c r="A4" s="10" t="s">
        <v>93</v>
      </c>
      <c r="B4" s="10">
        <v>1</v>
      </c>
      <c r="C4" s="21"/>
      <c r="D4" s="182">
        <f>+'COLOMB$ 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W4" s="14"/>
      <c r="X4" s="613" t="str">
        <f>+'COLOMB$ '!X4:Z4</f>
        <v>MAYO</v>
      </c>
      <c r="Y4" s="613"/>
      <c r="Z4" s="613"/>
      <c r="AA4" s="614" t="str">
        <f>+'COLOMB$ '!AA4:AC4</f>
        <v>ACUM  MAYO</v>
      </c>
      <c r="AB4" s="615"/>
      <c r="AC4" s="616"/>
      <c r="AD4" s="10" t="s">
        <v>23</v>
      </c>
      <c r="AE4" s="10" t="s">
        <v>19</v>
      </c>
      <c r="AF4" s="10" t="s">
        <v>20</v>
      </c>
    </row>
    <row r="5" spans="1:36" ht="15.75" customHeight="1" thickBot="1" x14ac:dyDescent="0.3">
      <c r="A5" s="10" t="s">
        <v>94</v>
      </c>
      <c r="B5" s="10" t="s">
        <v>95</v>
      </c>
      <c r="C5" s="36" t="s">
        <v>111</v>
      </c>
      <c r="D5" s="184" t="str">
        <f>+'VZLA CONS .BL '!D5:E5</f>
        <v>Ppto 2022</v>
      </c>
      <c r="E5" s="206"/>
      <c r="F5" s="184" t="str">
        <f>+'VZLA CONS .BL '!F5:G5</f>
        <v>Real 2021</v>
      </c>
      <c r="G5" s="206"/>
      <c r="H5" s="184" t="str">
        <f>+'VZLA CONS .BL '!H5:I5</f>
        <v>real 2022</v>
      </c>
      <c r="I5" s="206"/>
      <c r="J5" s="39" t="s">
        <v>19</v>
      </c>
      <c r="K5" s="40" t="s">
        <v>20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19</v>
      </c>
      <c r="S5" s="41" t="s">
        <v>20</v>
      </c>
      <c r="T5" s="242"/>
      <c r="U5" s="243"/>
      <c r="W5" s="208" t="s">
        <v>111</v>
      </c>
      <c r="X5" s="617" t="str">
        <f>+'COLOMB$ '!X5</f>
        <v>Ppto 2022</v>
      </c>
      <c r="Y5" s="617" t="str">
        <f>+'COLOMB$ '!Y5</f>
        <v>Real 2021</v>
      </c>
      <c r="Z5" s="618" t="str">
        <f>+'COLOMB$ '!Z5</f>
        <v>real 2022</v>
      </c>
      <c r="AA5" s="619" t="str">
        <f>+'VZLA CONS .BL '!AA5</f>
        <v>Ppto 2022</v>
      </c>
      <c r="AB5" s="209" t="str">
        <f>+Y5</f>
        <v>Real 2021</v>
      </c>
      <c r="AC5" s="620" t="str">
        <f>+'VZLA CONS .BL '!AC5</f>
        <v>real 2022</v>
      </c>
      <c r="AD5" s="47" t="s">
        <v>23</v>
      </c>
      <c r="AE5" s="47" t="s">
        <v>19</v>
      </c>
      <c r="AF5" s="47" t="s">
        <v>20</v>
      </c>
    </row>
    <row r="6" spans="1:36" ht="15.75" thickBot="1" x14ac:dyDescent="0.3">
      <c r="C6" s="50" t="s">
        <v>25</v>
      </c>
      <c r="D6" s="51" t="s">
        <v>26</v>
      </c>
      <c r="E6" s="52" t="s">
        <v>27</v>
      </c>
      <c r="F6" s="186" t="s">
        <v>26</v>
      </c>
      <c r="G6" s="53" t="s">
        <v>27</v>
      </c>
      <c r="H6" s="186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186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6" t="s">
        <v>28</v>
      </c>
      <c r="T6" s="249"/>
      <c r="U6" s="250" t="s">
        <v>114</v>
      </c>
      <c r="V6" s="251"/>
      <c r="W6" s="57" t="str">
        <f>+'COLOMB$ '!W6</f>
        <v xml:space="preserve">Flujo de Caja </v>
      </c>
      <c r="X6" s="621" t="s">
        <v>26</v>
      </c>
      <c r="Y6" s="622" t="s">
        <v>26</v>
      </c>
      <c r="Z6" s="623" t="s">
        <v>26</v>
      </c>
      <c r="AA6" s="624" t="str">
        <f>+'VZLA CONS .BL '!AA6</f>
        <v>ACUM</v>
      </c>
      <c r="AB6" s="625"/>
      <c r="AC6" s="626"/>
      <c r="AD6" s="627" t="s">
        <v>30</v>
      </c>
      <c r="AE6" s="622" t="s">
        <v>28</v>
      </c>
      <c r="AF6" s="622" t="s">
        <v>28</v>
      </c>
    </row>
    <row r="7" spans="1:36" ht="15.75" thickBot="1" x14ac:dyDescent="0.3">
      <c r="B7" s="11" t="s">
        <v>96</v>
      </c>
      <c r="C7" s="65" t="str">
        <f>+'VZLA CONS .BL '!C7</f>
        <v>Fact. Musical Experience  (Ambiental)</v>
      </c>
      <c r="D7" s="66">
        <f>+'VZLA CONS .BL '!D7/'VENEZUELA USD'!$AI$3</f>
        <v>0</v>
      </c>
      <c r="E7" s="67" t="e">
        <f t="shared" ref="E7:E12" si="0">+D7/$D$17</f>
        <v>#DIV/0!</v>
      </c>
      <c r="F7" s="66">
        <f>+'VZLA CONS .BL '!F7/'VENEZUELA USD'!$AI$3</f>
        <v>3082978.7857580264</v>
      </c>
      <c r="G7" s="67">
        <f t="shared" ref="G7:G12" si="1">+F7/$F$17</f>
        <v>0.43797631041626972</v>
      </c>
      <c r="H7" s="66">
        <f>+'VZLA CONS .BL '!H7/'VENEZUELA USD'!$AI$3</f>
        <v>11.710480272942</v>
      </c>
      <c r="I7" s="67">
        <f t="shared" ref="I7:I12" si="2">+H7/$H$17</f>
        <v>0.54246955605535629</v>
      </c>
      <c r="J7" s="67" t="str">
        <f>IF(D7=0,"",(H7-D7)/ABS(D7)+1)</f>
        <v/>
      </c>
      <c r="K7" s="67">
        <f>IF(F7=0,"",(H7-F7)/ABS(F7))</f>
        <v>-0.99999620156962254</v>
      </c>
      <c r="L7" s="66">
        <f>+'VZLA CONS .BL '!L7/'VENEZUELA USD'!$AI$3</f>
        <v>0</v>
      </c>
      <c r="M7" s="67" t="e">
        <f t="shared" ref="M7:M12" si="3">+L7/$L$17</f>
        <v>#DIV/0!</v>
      </c>
      <c r="N7" s="66">
        <f>+'VZLA CONS .BL '!N7/'VENEZUELA USD'!$AI$3</f>
        <v>8830793.187385181</v>
      </c>
      <c r="O7" s="67">
        <f t="shared" ref="O7:O12" si="4">+N7/$N$17</f>
        <v>0.46605508895082715</v>
      </c>
      <c r="P7" s="66">
        <f>+'VZLA CONS .BL '!P7/'VENEZUELA USD'!$AI$3</f>
        <v>44.359636077333569</v>
      </c>
      <c r="Q7" s="68">
        <f t="shared" ref="Q7:Q12" si="5">+P7/$P$17</f>
        <v>0.28723922433372095</v>
      </c>
      <c r="R7" s="69" t="str">
        <f>IF(L7=0,"",(P7-L7)/ABS(L7)+1)</f>
        <v/>
      </c>
      <c r="S7" s="69">
        <f>IF(N7=0,"",(P7-N7)/ABS(N7))</f>
        <v>-0.99999497670989046</v>
      </c>
      <c r="T7" s="115"/>
      <c r="U7" s="102"/>
      <c r="V7" s="256" t="s">
        <v>116</v>
      </c>
      <c r="W7" s="73" t="s">
        <v>34</v>
      </c>
      <c r="X7" s="75">
        <f>+'VZLA CONS .BL '!X7/'VENEZUELA USD'!$AI$3</f>
        <v>258.78313358411339</v>
      </c>
      <c r="Y7" s="75">
        <f>+'VZLA CONS .BL '!Y7/'VENEZUELA USD'!$AI$3</f>
        <v>785204.6147099993</v>
      </c>
      <c r="Z7" s="74">
        <f>+'VZLA CONS .BL '!Z7/'VENEZUELA USD'!$AI$3</f>
        <v>8.9919954509666695</v>
      </c>
      <c r="AA7" s="420">
        <f>+'VZLA CONS .BL '!AA7/'VENEZUELA USD'!$AI$3</f>
        <v>258.78313358411339</v>
      </c>
      <c r="AB7" s="258">
        <f>+'VZLA CONS .BL '!AB7/'VENEZUELA USD'!$AI$3</f>
        <v>501455.09682005073</v>
      </c>
      <c r="AC7" s="421">
        <f>+'VZLA CONS .BL '!AC7/'VENEZUELA USD'!$AI$3</f>
        <v>16.147974805353861</v>
      </c>
      <c r="AD7" s="76">
        <f>+AC7-AA7</f>
        <v>-242.63515877875952</v>
      </c>
      <c r="AE7" s="77">
        <f>IF(AA7=0,"",(AC7-AA7)/ABS(AA7)+1)</f>
        <v>6.2399641667934325E-2</v>
      </c>
      <c r="AF7" s="77">
        <f>IF(Y7=0,"",(AC7-AB7)/ABS(AB7))</f>
        <v>-0.99996779776512834</v>
      </c>
    </row>
    <row r="8" spans="1:36" x14ac:dyDescent="0.25">
      <c r="B8" s="11" t="s">
        <v>97</v>
      </c>
      <c r="C8" s="65" t="str">
        <f>+'VZLA CONS .BL '!C8</f>
        <v>Instalaciones</v>
      </c>
      <c r="D8" s="66">
        <f>+'VZLA CONS .BL '!D8/'VENEZUELA USD'!$AI$3</f>
        <v>0</v>
      </c>
      <c r="E8" s="67" t="e">
        <f t="shared" si="0"/>
        <v>#DIV/0!</v>
      </c>
      <c r="F8" s="66">
        <f>+'VZLA CONS .BL '!F8/'VENEZUELA USD'!$AI$3</f>
        <v>2177263.6266512116</v>
      </c>
      <c r="G8" s="67">
        <f t="shared" si="1"/>
        <v>0.30930796358684015</v>
      </c>
      <c r="H8" s="66">
        <f>+'VZLA CONS .BL '!H8/'VENEZUELA USD'!$AI$3</f>
        <v>1.5672294637389554</v>
      </c>
      <c r="I8" s="67">
        <f t="shared" si="2"/>
        <v>7.2599436711040868E-2</v>
      </c>
      <c r="J8" s="67" t="str">
        <f t="shared" ref="J8:J34" si="6">IF(D8=0,"",(H8-D8)/ABS(D8)+1)</f>
        <v/>
      </c>
      <c r="K8" s="67">
        <f t="shared" ref="K8:K14" si="7">IF(F8=0,"",(H8-F8)/ABS(F8))</f>
        <v>-0.9999992801838764</v>
      </c>
      <c r="L8" s="66">
        <f>+'VZLA CONS .BL '!L8/'VENEZUELA USD'!$AI$3</f>
        <v>0</v>
      </c>
      <c r="M8" s="67" t="e">
        <f t="shared" si="3"/>
        <v>#DIV/0!</v>
      </c>
      <c r="N8" s="66">
        <f>+'VZLA CONS .BL '!N8/'VENEZUELA USD'!$AI$3</f>
        <v>3666357.4818476075</v>
      </c>
      <c r="O8" s="67">
        <f t="shared" si="4"/>
        <v>0.19349615895986971</v>
      </c>
      <c r="P8" s="66">
        <f>+'VZLA CONS .BL '!P8/'VENEZUELA USD'!$AI$3</f>
        <v>12.470201644650512</v>
      </c>
      <c r="Q8" s="68">
        <f t="shared" si="5"/>
        <v>8.0747530062014253E-2</v>
      </c>
      <c r="R8" s="69" t="str">
        <f t="shared" ref="R8:R34" si="8">IF(L8=0,"",(P8-L8)/ABS(L8)+1)</f>
        <v/>
      </c>
      <c r="S8" s="69">
        <f t="shared" ref="S8:S34" si="9">IF(N8=0,"",(P8-N8)/ABS(N8))</f>
        <v>-0.99999659874911095</v>
      </c>
      <c r="T8" s="115"/>
      <c r="U8" s="102"/>
      <c r="V8" s="260" t="s">
        <v>117</v>
      </c>
      <c r="W8" s="81" t="s">
        <v>37</v>
      </c>
      <c r="X8" s="82">
        <f>+'VZLA CONS .BL '!X8/'VENEZUELA USD'!$AI$3</f>
        <v>0</v>
      </c>
      <c r="Y8" s="82">
        <f>+'VZLA CONS .BL '!Y8/'VENEZUELA USD'!$AI$3</f>
        <v>6885877.9399877526</v>
      </c>
      <c r="Z8" s="83">
        <f>+'VZLA CONS .BL '!Z8/'VENEZUELA USD'!$AI$3</f>
        <v>19.718659784795729</v>
      </c>
      <c r="AA8" s="358">
        <f>+'VZLA CONS .BL '!AA8/'VENEZUELA USD'!$AI$3</f>
        <v>0</v>
      </c>
      <c r="AB8" s="82">
        <f>+'VZLA CONS .BL '!AB8/'VENEZUELA USD'!$AI$3</f>
        <v>16892359.66898128</v>
      </c>
      <c r="AC8" s="424">
        <f>+'VZLA CONS .BL '!AC8/'VENEZUELA USD'!$AI$3</f>
        <v>147.87783221065524</v>
      </c>
      <c r="AD8" s="85">
        <f>+AC8-AA8</f>
        <v>147.87783221065524</v>
      </c>
      <c r="AE8" s="86" t="str">
        <f>IF(AA8=0,"",(AC8-AA8)/ABS(AA8)+1)</f>
        <v/>
      </c>
      <c r="AF8" s="86">
        <f>IF(AB8=0,"",(AC8-AB8)/ABS(AB8))</f>
        <v>-0.99999124587475585</v>
      </c>
    </row>
    <row r="9" spans="1:36" x14ac:dyDescent="0.25">
      <c r="B9" s="11" t="s">
        <v>98</v>
      </c>
      <c r="C9" s="65" t="str">
        <f>+'VZLA CONS .BL '!C9</f>
        <v>Publihold- Audicom</v>
      </c>
      <c r="D9" s="66">
        <f>+'VZLA CONS .BL '!D9/'VENEZUELA USD'!$AI$3</f>
        <v>0</v>
      </c>
      <c r="E9" s="67" t="e">
        <f t="shared" si="0"/>
        <v>#DIV/0!</v>
      </c>
      <c r="F9" s="66">
        <f>+'VZLA CONS .BL '!F9/'VENEZUELA USD'!$AI$3</f>
        <v>739709.06777622248</v>
      </c>
      <c r="G9" s="67">
        <f t="shared" si="1"/>
        <v>0.10508507219793634</v>
      </c>
      <c r="H9" s="66">
        <f>+'VZLA CONS .BL '!H9/'VENEZUELA USD'!$AI$3</f>
        <v>4.0106727320444406</v>
      </c>
      <c r="I9" s="67">
        <f t="shared" si="2"/>
        <v>0.18578809798796425</v>
      </c>
      <c r="J9" s="67" t="str">
        <f t="shared" si="6"/>
        <v/>
      </c>
      <c r="K9" s="67">
        <f t="shared" si="7"/>
        <v>-0.99999457804033132</v>
      </c>
      <c r="L9" s="66">
        <f>+'VZLA CONS .BL '!L9/'VENEZUELA USD'!$AI$3</f>
        <v>0</v>
      </c>
      <c r="M9" s="67" t="e">
        <f t="shared" si="3"/>
        <v>#DIV/0!</v>
      </c>
      <c r="N9" s="66">
        <f>+'VZLA CONS .BL '!N9/'VENEZUELA USD'!$AI$3</f>
        <v>3040642.4065479836</v>
      </c>
      <c r="O9" s="67">
        <f t="shared" si="4"/>
        <v>0.16047333882484302</v>
      </c>
      <c r="P9" s="66">
        <f>+'VZLA CONS .BL '!P9/'VENEZUELA USD'!$AI$3</f>
        <v>18.359034642638438</v>
      </c>
      <c r="Q9" s="68">
        <f t="shared" si="5"/>
        <v>0.11887912833806907</v>
      </c>
      <c r="R9" s="69" t="str">
        <f t="shared" si="8"/>
        <v/>
      </c>
      <c r="S9" s="69">
        <f t="shared" si="9"/>
        <v>-0.99999396211977998</v>
      </c>
      <c r="T9" s="115"/>
      <c r="U9" s="263" t="e">
        <f>+H18/D18</f>
        <v>#DIV/0!</v>
      </c>
      <c r="V9" s="260" t="s">
        <v>118</v>
      </c>
      <c r="W9" s="81" t="s">
        <v>40</v>
      </c>
      <c r="X9" s="82">
        <f>+'VZLA CONS .BL '!X9/'VENEZUELA USD'!$AI$3</f>
        <v>0</v>
      </c>
      <c r="Y9" s="82">
        <f>+'VZLA CONS .BL '!Y9/'VENEZUELA USD'!$AI$3</f>
        <v>0</v>
      </c>
      <c r="Z9" s="83">
        <f>+'VZLA CONS .BL '!Z9/'VENEZUELA USD'!$AI$3</f>
        <v>0</v>
      </c>
      <c r="AA9" s="358">
        <f>+'VZLA CONS .BL '!AA9/'VENEZUELA USD'!$AI$3</f>
        <v>0</v>
      </c>
      <c r="AB9" s="82">
        <f>+'VZLA CONS .BL '!AB9/'VENEZUELA USD'!$AI$3</f>
        <v>0</v>
      </c>
      <c r="AC9" s="424">
        <f>+'VZLA CONS .BL '!AC9/'VENEZUELA USD'!$AI$3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1" si="10">IF(AB9=0,"",(AC9-AB9)/ABS(AB9))</f>
        <v/>
      </c>
    </row>
    <row r="10" spans="1:36" x14ac:dyDescent="0.25">
      <c r="B10" s="11"/>
      <c r="C10" s="65" t="str">
        <f>+'VZLA CONS .BL '!C10</f>
        <v>Soluciones para Redes de Audio</v>
      </c>
      <c r="D10" s="66">
        <f>+'VZLA CONS .BL '!D10/'VENEZUELA USD'!$AI$3</f>
        <v>0</v>
      </c>
      <c r="E10" s="67" t="e">
        <f t="shared" si="0"/>
        <v>#DIV/0!</v>
      </c>
      <c r="F10" s="66">
        <f>+'VZLA CONS .BL '!F10/'VENEZUELA USD'!$AI$3</f>
        <v>0</v>
      </c>
      <c r="G10" s="67">
        <f t="shared" si="1"/>
        <v>0</v>
      </c>
      <c r="H10" s="66">
        <f>+'VZLA CONS .BL '!H10/'VENEZUELA USD'!$AI$3</f>
        <v>0</v>
      </c>
      <c r="I10" s="67">
        <f t="shared" si="2"/>
        <v>0</v>
      </c>
      <c r="J10" s="67" t="str">
        <f>IF(D10=0,"",(H10-D10)/ABS(D10)+1)</f>
        <v/>
      </c>
      <c r="K10" s="67" t="str">
        <f t="shared" si="7"/>
        <v/>
      </c>
      <c r="L10" s="66">
        <f>+'VZLA CONS .BL '!L10/'VENEZUELA USD'!$AI$3</f>
        <v>0</v>
      </c>
      <c r="M10" s="67" t="e">
        <f t="shared" si="3"/>
        <v>#DIV/0!</v>
      </c>
      <c r="N10" s="66">
        <f>+'VZLA CONS .BL '!N10/'VENEZUELA USD'!$AI$3</f>
        <v>361118.51981453941</v>
      </c>
      <c r="O10" s="67">
        <f t="shared" si="4"/>
        <v>1.9058437934473989E-2</v>
      </c>
      <c r="P10" s="66">
        <f>+'VZLA CONS .BL '!P10/'VENEZUELA USD'!$AI$3</f>
        <v>63.277567579389377</v>
      </c>
      <c r="Q10" s="68">
        <f t="shared" si="5"/>
        <v>0.40973734314551097</v>
      </c>
      <c r="R10" s="69" t="str">
        <f>IF(L10=0,"",(P10-L10)/ABS(L10)+1)</f>
        <v/>
      </c>
      <c r="S10" s="69">
        <f>IF(N10=0,"",(P10-N10)/ABS(N10))</f>
        <v>-0.99982477340787757</v>
      </c>
      <c r="T10" s="115"/>
      <c r="U10" s="263"/>
      <c r="V10" s="260"/>
      <c r="W10" s="81" t="s">
        <v>43</v>
      </c>
      <c r="X10" s="82">
        <f>+'VZLA CONS .BL '!X10/'VENEZUELA USD'!$AI$3</f>
        <v>0</v>
      </c>
      <c r="Y10" s="82">
        <f>+'VZLA CONS .BL '!Y10/'VENEZUELA USD'!$AI$3</f>
        <v>0</v>
      </c>
      <c r="Z10" s="83">
        <f>+'VZLA CONS .BL '!Z10/'VENEZUELA USD'!$AI$3</f>
        <v>0</v>
      </c>
      <c r="AA10" s="358">
        <f>+'VZLA CONS .BL '!AA10/'VENEZUELA USD'!$AI$3</f>
        <v>0</v>
      </c>
      <c r="AB10" s="82">
        <f>+'VZLA CONS .BL '!AB10/'VENEZUELA USD'!$AI$3</f>
        <v>0</v>
      </c>
      <c r="AC10" s="424">
        <f>+'VZLA CONS .BL '!AC10/'VENEZUELA USD'!$AI$3</f>
        <v>0</v>
      </c>
      <c r="AD10" s="85">
        <f>+AA10-AC10</f>
        <v>0</v>
      </c>
      <c r="AE10" s="86" t="str">
        <f t="shared" ref="AE10:AE21" si="11">IF(AA10=0,"",(AC10-AA10)/ABS(AA10)+1)</f>
        <v/>
      </c>
      <c r="AF10" s="86" t="str">
        <f t="shared" si="10"/>
        <v/>
      </c>
    </row>
    <row r="11" spans="1:36" ht="15.75" thickBot="1" x14ac:dyDescent="0.3">
      <c r="B11" s="219" t="s">
        <v>99</v>
      </c>
      <c r="C11" s="65" t="str">
        <f>+'VZLA CONS .BL '!C11</f>
        <v>POP Satelital</v>
      </c>
      <c r="D11" s="66">
        <f>+'VZLA CONS .BL '!D11/'VENEZUELA USD'!$AI$3</f>
        <v>0</v>
      </c>
      <c r="E11" s="67" t="e">
        <f t="shared" si="0"/>
        <v>#DIV/0!</v>
      </c>
      <c r="F11" s="66">
        <f>+'VZLA CONS .BL '!F11/'VENEZUELA USD'!$AI$3</f>
        <v>0</v>
      </c>
      <c r="G11" s="67">
        <f t="shared" si="1"/>
        <v>0</v>
      </c>
      <c r="H11" s="66">
        <f>+'VZLA CONS .BL '!H11/'VENEZUELA USD'!$AI$3</f>
        <v>0</v>
      </c>
      <c r="I11" s="67">
        <f t="shared" si="2"/>
        <v>0</v>
      </c>
      <c r="J11" s="67" t="str">
        <f>IF(D11=0,"",(H11-D11)/ABS(D11)+1)</f>
        <v/>
      </c>
      <c r="K11" s="67" t="str">
        <f t="shared" si="7"/>
        <v/>
      </c>
      <c r="L11" s="66">
        <f>+'VZLA CONS .BL '!L11/'VENEZUELA USD'!$AI$3</f>
        <v>0</v>
      </c>
      <c r="M11" s="67" t="e">
        <f t="shared" si="3"/>
        <v>#DIV/0!</v>
      </c>
      <c r="N11" s="66">
        <f>+'VZLA CONS .BL '!N11/'VENEZUELA USD'!$AI$3</f>
        <v>0</v>
      </c>
      <c r="O11" s="67">
        <f t="shared" si="4"/>
        <v>0</v>
      </c>
      <c r="P11" s="66">
        <f>+'VZLA CONS .BL '!P11/'VENEZUELA USD'!$AI$3</f>
        <v>0</v>
      </c>
      <c r="Q11" s="68">
        <f t="shared" si="5"/>
        <v>0</v>
      </c>
      <c r="R11" s="69" t="str">
        <f>IF(L11=0,"",(P11-L11)/ABS(L11)+1)</f>
        <v/>
      </c>
      <c r="S11" s="69" t="str">
        <f>IF(N11=0,"",(P11-N11)/ABS(N11))</f>
        <v/>
      </c>
      <c r="T11" s="115"/>
      <c r="U11" s="264" t="e">
        <f>+H19/D19</f>
        <v>#DIV/0!</v>
      </c>
      <c r="V11" s="265">
        <v>1208</v>
      </c>
      <c r="W11" s="81" t="s">
        <v>45</v>
      </c>
      <c r="X11" s="82">
        <f>+'VZLA CONS .BL '!X11/'VENEZUELA USD'!$AI$3</f>
        <v>0</v>
      </c>
      <c r="Y11" s="82">
        <f>+'VZLA CONS .BL '!Y11/'VENEZUELA USD'!$AI$3</f>
        <v>716896.86575977597</v>
      </c>
      <c r="Z11" s="83">
        <f>+'VZLA CONS .BL '!Z11/'VENEZUELA USD'!$AI$3</f>
        <v>9.2354343452016447</v>
      </c>
      <c r="AA11" s="358">
        <f>+'VZLA CONS .BL '!AA11/'VENEZUELA USD'!$AI$3</f>
        <v>0</v>
      </c>
      <c r="AB11" s="82">
        <f>+'VZLA CONS .BL '!AB11/'VENEZUELA USD'!$AI$3</f>
        <v>2700083.6557387803</v>
      </c>
      <c r="AC11" s="424">
        <f>+'VZLA CONS .BL '!AC11/'VENEZUELA USD'!$AI$3</f>
        <v>32.731847607383436</v>
      </c>
      <c r="AD11" s="85">
        <f>+AA11-AC11</f>
        <v>-32.731847607383436</v>
      </c>
      <c r="AE11" s="86" t="str">
        <f t="shared" si="11"/>
        <v/>
      </c>
      <c r="AF11" s="86">
        <f t="shared" si="10"/>
        <v>-0.99998787746907847</v>
      </c>
    </row>
    <row r="12" spans="1:36" x14ac:dyDescent="0.25">
      <c r="B12" s="11"/>
      <c r="C12" s="65" t="str">
        <f>+'VZLA CONS .BL '!C12</f>
        <v>Lineas Nuevas</v>
      </c>
      <c r="D12" s="66">
        <f>+'VZLA CONS .BL '!D12/'VENEZUELA USD'!$AI$3</f>
        <v>0</v>
      </c>
      <c r="E12" s="67" t="e">
        <f t="shared" si="0"/>
        <v>#DIV/0!</v>
      </c>
      <c r="F12" s="66">
        <f>+'VZLA CONS .BL '!F12/'VENEZUELA USD'!$AI$3</f>
        <v>1039193.58870615</v>
      </c>
      <c r="G12" s="67">
        <f t="shared" si="1"/>
        <v>0.14763065379895376</v>
      </c>
      <c r="H12" s="66">
        <f>+'VZLA CONS .BL '!H12/'VENEZUELA USD'!$AI$3</f>
        <v>4.2989677193596361</v>
      </c>
      <c r="I12" s="67">
        <f t="shared" si="2"/>
        <v>0.19914290924563854</v>
      </c>
      <c r="J12" s="67" t="str">
        <f>IF(D12=0,"",(H12-D12)/ABS(D12)+1)</f>
        <v/>
      </c>
      <c r="K12" s="67">
        <f t="shared" si="7"/>
        <v>-0.99999586316951328</v>
      </c>
      <c r="L12" s="66">
        <f>+'VZLA CONS .BL '!L12/'VENEZUELA USD'!$AI$3</f>
        <v>0</v>
      </c>
      <c r="M12" s="67" t="e">
        <f t="shared" si="3"/>
        <v>#DIV/0!</v>
      </c>
      <c r="N12" s="66">
        <f>+'VZLA CONS .BL '!N12/'VENEZUELA USD'!$AI$3</f>
        <v>3049048.4133059224</v>
      </c>
      <c r="O12" s="67">
        <f t="shared" si="4"/>
        <v>0.16091697532998606</v>
      </c>
      <c r="P12" s="66">
        <f>+'VZLA CONS .BL '!P12/'VENEZUELA USD'!$AI$3</f>
        <v>15.968025544571777</v>
      </c>
      <c r="Q12" s="68">
        <f t="shared" si="5"/>
        <v>0.10339677412068479</v>
      </c>
      <c r="R12" s="69" t="str">
        <f>IF(L12=0,"",(P12-L12)/ABS(L12)+1)</f>
        <v/>
      </c>
      <c r="S12" s="69">
        <f>IF(N12=0,"",(P12-N12)/ABS(N12))</f>
        <v>-0.99999476294785117</v>
      </c>
      <c r="T12" s="115"/>
      <c r="U12" s="102"/>
      <c r="V12" s="265"/>
      <c r="W12" s="81" t="s">
        <v>48</v>
      </c>
      <c r="X12" s="82">
        <f>+'VZLA CONS .BL '!X12/'VENEZUELA USD'!$AI$3</f>
        <v>0</v>
      </c>
      <c r="Y12" s="82">
        <f>+'VZLA CONS .BL '!Y12/'VENEZUELA USD'!$AI$3</f>
        <v>4120764.2634065258</v>
      </c>
      <c r="Z12" s="83">
        <f>+'VZLA CONS .BL '!Z12/'VENEZUELA USD'!$AI$3</f>
        <v>4.3007501530924674</v>
      </c>
      <c r="AA12" s="358">
        <f>+'VZLA CONS .BL '!AA12/'VENEZUELA USD'!$AI$3</f>
        <v>0</v>
      </c>
      <c r="AB12" s="82">
        <f>+'VZLA CONS .BL '!AB12/'VENEZUELA USD'!$AI$3</f>
        <v>10887224.665569505</v>
      </c>
      <c r="AC12" s="424">
        <f>+'VZLA CONS .BL '!AC12/'VENEZUELA USD'!$AI$3</f>
        <v>85.382895197270571</v>
      </c>
      <c r="AD12" s="85">
        <f>+AA12-AC12</f>
        <v>-85.382895197270571</v>
      </c>
      <c r="AE12" s="86" t="str">
        <f t="shared" si="11"/>
        <v/>
      </c>
      <c r="AF12" s="86">
        <f t="shared" si="10"/>
        <v>-0.99999215751508574</v>
      </c>
    </row>
    <row r="13" spans="1:36" ht="15.75" thickBot="1" x14ac:dyDescent="0.3">
      <c r="B13" s="11">
        <v>4170250500</v>
      </c>
      <c r="C13" s="65" t="str">
        <f>+'VZLA CONS .BL '!C13</f>
        <v>Fact. Servicio Satelital</v>
      </c>
      <c r="D13" s="66">
        <f>+'VZLA CONS .BL '!D13/'VENEZUELA USD'!$AI$3</f>
        <v>0</v>
      </c>
      <c r="E13" s="67"/>
      <c r="F13" s="66">
        <f>+'VZLA CONS .BL '!F13/'VENEZUELA USD'!$AI$3</f>
        <v>0</v>
      </c>
      <c r="G13" s="67"/>
      <c r="H13" s="66">
        <f>+'VZLA CONS .BL '!H13/'VENEZUELA USD'!$AI$3</f>
        <v>0</v>
      </c>
      <c r="I13" s="67"/>
      <c r="J13" s="67"/>
      <c r="K13" s="67" t="str">
        <f t="shared" si="7"/>
        <v/>
      </c>
      <c r="L13" s="66">
        <f>+'VZLA CONS .BL '!L13/'VENEZUELA USD'!$AI$3</f>
        <v>0</v>
      </c>
      <c r="M13" s="67"/>
      <c r="N13" s="66">
        <f>+'VZLA CONS .BL '!N13/'VENEZUELA USD'!$AI$3</f>
        <v>0</v>
      </c>
      <c r="O13" s="67"/>
      <c r="P13" s="66">
        <f>+'VZLA CONS .BL '!P13/'VENEZUELA USD'!$AI$3</f>
        <v>0</v>
      </c>
      <c r="Q13" s="68"/>
      <c r="R13" s="69"/>
      <c r="S13" s="69"/>
      <c r="T13" s="115"/>
      <c r="U13" s="86" t="e">
        <f>+H20/D20</f>
        <v>#DIV/0!</v>
      </c>
      <c r="V13" s="260" t="s">
        <v>119</v>
      </c>
      <c r="W13" s="81" t="s">
        <v>50</v>
      </c>
      <c r="X13" s="82">
        <f>+'VZLA CONS .BL '!X13/'VENEZUELA USD'!$AI$3</f>
        <v>0</v>
      </c>
      <c r="Y13" s="82">
        <f>+'VZLA CONS .BL '!Y13/'VENEZUELA USD'!$AI$3</f>
        <v>4837661.1291663013</v>
      </c>
      <c r="Z13" s="83">
        <f>+'VZLA CONS .BL '!Z13/'VENEZUELA USD'!$AI$3</f>
        <v>13.536184498294112</v>
      </c>
      <c r="AA13" s="358">
        <f>SUM(AA9:AA12)</f>
        <v>0</v>
      </c>
      <c r="AB13" s="261">
        <f>SUM(AB9:AB12)</f>
        <v>13587308.321308285</v>
      </c>
      <c r="AC13" s="424">
        <f>SUM(AC9:AC12)</f>
        <v>118.11474280465401</v>
      </c>
      <c r="AD13" s="85">
        <f>+AC13-AA13</f>
        <v>118.11474280465401</v>
      </c>
      <c r="AE13" s="86" t="str">
        <f t="shared" si="11"/>
        <v/>
      </c>
      <c r="AF13" s="86">
        <f t="shared" si="10"/>
        <v>-0.99999130698001315</v>
      </c>
      <c r="AH13" s="149"/>
    </row>
    <row r="14" spans="1:36" ht="15.75" thickBot="1" x14ac:dyDescent="0.3">
      <c r="B14" s="11"/>
      <c r="C14" s="65" t="str">
        <f>+'VZLA CONS .BL '!C14</f>
        <v>Fact. Visual Experience</v>
      </c>
      <c r="D14" s="66">
        <f>+'VZLA CONS .BL '!D14/'VENEZUELA USD'!$AI$3</f>
        <v>0</v>
      </c>
      <c r="E14" s="67"/>
      <c r="F14" s="66">
        <f>+'VZLA CONS .BL '!F14/'VENEZUELA USD'!$AI$3</f>
        <v>0</v>
      </c>
      <c r="G14" s="67"/>
      <c r="H14" s="66">
        <f>+'VZLA CONS .BL '!H14/'VENEZUELA USD'!$AI$3</f>
        <v>0</v>
      </c>
      <c r="I14" s="67"/>
      <c r="J14" s="67"/>
      <c r="K14" s="67" t="str">
        <f t="shared" si="7"/>
        <v/>
      </c>
      <c r="L14" s="66">
        <f>+'VZLA CONS .BL '!L14/'VENEZUELA USD'!$AI$3</f>
        <v>0</v>
      </c>
      <c r="M14" s="67"/>
      <c r="N14" s="66">
        <f>+'VZLA CONS .BL '!N14/'VENEZUELA USD'!$AI$3</f>
        <v>0</v>
      </c>
      <c r="O14" s="67"/>
      <c r="P14" s="66">
        <f>+'VZLA CONS .BL '!P14/'VENEZUELA USD'!$AI$3</f>
        <v>0</v>
      </c>
      <c r="Q14" s="68"/>
      <c r="R14" s="69"/>
      <c r="S14" s="69"/>
      <c r="T14" s="115"/>
      <c r="U14" s="86" t="e">
        <f>+H21/D21</f>
        <v>#DIV/0!</v>
      </c>
      <c r="V14" s="260" t="s">
        <v>120</v>
      </c>
      <c r="W14" s="73" t="s">
        <v>52</v>
      </c>
      <c r="X14" s="75">
        <f>'VZLA BFS'!X14/'VENEZUELA USD'!$AI$3</f>
        <v>0</v>
      </c>
      <c r="Y14" s="95">
        <f>'VZLA BFS'!Y14/'VENEZUELA USD'!$AI$3</f>
        <v>2048216.8108214512</v>
      </c>
      <c r="Z14" s="257">
        <f>'VZLA BFS'!Z14/'VENEZUELA USD'!$AI$3</f>
        <v>6.1824752865016182</v>
      </c>
      <c r="AA14" s="420">
        <f>'VZLA BFS'!AA14/'VENEZUELA USD'!$AI$3</f>
        <v>0</v>
      </c>
      <c r="AB14" s="95">
        <f>'VZLA BFS'!AB14/'VENEZUELA USD'!$AI$3</f>
        <v>3305051.3476729947</v>
      </c>
      <c r="AC14" s="628">
        <f>'VZLA BFS'!AC14/'VENEZUELA USD'!$AI$3</f>
        <v>29.763089406001225</v>
      </c>
      <c r="AD14" s="76">
        <f>+AC14-AA14</f>
        <v>29.763089406001225</v>
      </c>
      <c r="AE14" s="77" t="str">
        <f t="shared" si="11"/>
        <v/>
      </c>
      <c r="AF14" s="77">
        <f t="shared" si="10"/>
        <v>-0.99999099466656494</v>
      </c>
    </row>
    <row r="15" spans="1:36" x14ac:dyDescent="0.25">
      <c r="B15" s="11"/>
      <c r="C15" s="65" t="str">
        <f>+'VZLA CONS .BL '!C15</f>
        <v>Fac.   Olfa Experience</v>
      </c>
      <c r="D15" s="66"/>
      <c r="E15" s="67"/>
      <c r="F15" s="66"/>
      <c r="G15" s="67"/>
      <c r="H15" s="66"/>
      <c r="I15" s="67"/>
      <c r="J15" s="67"/>
      <c r="K15" s="67"/>
      <c r="L15" s="66"/>
      <c r="M15" s="67"/>
      <c r="N15" s="66"/>
      <c r="O15" s="67"/>
      <c r="P15" s="66"/>
      <c r="Q15" s="68"/>
      <c r="R15" s="69"/>
      <c r="S15" s="69"/>
      <c r="T15" s="115"/>
      <c r="U15" s="86"/>
      <c r="V15" s="260"/>
      <c r="W15" s="89"/>
      <c r="X15" s="97"/>
      <c r="Y15" s="101"/>
      <c r="Z15" s="270"/>
      <c r="AA15" s="362"/>
      <c r="AB15" s="101"/>
      <c r="AC15" s="363"/>
      <c r="AD15" s="103"/>
      <c r="AE15" s="102"/>
      <c r="AF15" s="102"/>
    </row>
    <row r="16" spans="1:36" ht="15.75" thickBot="1" x14ac:dyDescent="0.3">
      <c r="B16" s="11"/>
      <c r="C16" s="65" t="str">
        <f>+'VZLA CONS .BL '!C16</f>
        <v>Otros</v>
      </c>
      <c r="D16" s="66">
        <f>+'VZLA CONS .BL '!D16/'VENEZUELA USD'!$AI$3</f>
        <v>0</v>
      </c>
      <c r="E16" s="67"/>
      <c r="F16" s="66">
        <f>+'VZLA CONS .BL '!F16/'VENEZUELA USD'!$AI$3</f>
        <v>0</v>
      </c>
      <c r="G16" s="67"/>
      <c r="H16" s="66">
        <f>+'VZLA CONS .BL '!H16/'VENEZUELA USD'!$AI$3</f>
        <v>0</v>
      </c>
      <c r="I16" s="67">
        <f t="shared" ref="I16:I34" si="12">+H16/$H$17</f>
        <v>0</v>
      </c>
      <c r="J16" s="67" t="str">
        <f>IF(D16=0,"",(H16-D16)/ABS(D16)+1)</f>
        <v/>
      </c>
      <c r="K16" s="67"/>
      <c r="L16" s="66">
        <f>+'VZLA CONS .BL '!L16/'VENEZUELA USD'!$AI$3</f>
        <v>0</v>
      </c>
      <c r="M16" s="67"/>
      <c r="N16" s="66">
        <f>+'VZLA CONS .BL '!N16/'VENEZUELA USD'!$AI$3</f>
        <v>0</v>
      </c>
      <c r="O16" s="67"/>
      <c r="P16" s="66">
        <f>+'VZLA CONS .BL '!P16/'VENEZUELA USD'!$AI$3</f>
        <v>0</v>
      </c>
      <c r="Q16" s="68"/>
      <c r="R16" s="69"/>
      <c r="S16" s="69"/>
      <c r="T16" s="115"/>
      <c r="U16" s="86"/>
      <c r="V16" s="260"/>
      <c r="W16" s="89"/>
      <c r="X16" s="97"/>
      <c r="Y16" s="101"/>
      <c r="Z16" s="270"/>
      <c r="AA16" s="362"/>
      <c r="AB16" s="101"/>
      <c r="AC16" s="363"/>
      <c r="AD16" s="103"/>
      <c r="AE16" s="102"/>
      <c r="AF16" s="102" t="str">
        <f t="shared" si="10"/>
        <v/>
      </c>
    </row>
    <row r="17" spans="1:34" x14ac:dyDescent="0.25">
      <c r="B17" s="11" t="s">
        <v>100</v>
      </c>
      <c r="C17" s="104" t="s">
        <v>57</v>
      </c>
      <c r="D17" s="105">
        <f>SUM(D7:D16)</f>
        <v>0</v>
      </c>
      <c r="E17" s="106" t="e">
        <f t="shared" ref="E17:E34" si="13">+D17/$D$17</f>
        <v>#DIV/0!</v>
      </c>
      <c r="F17" s="105">
        <f>SUM(F7:F16)</f>
        <v>7039145.068891611</v>
      </c>
      <c r="G17" s="106">
        <f t="shared" ref="G17:G34" si="14">+F17/$F$17</f>
        <v>1</v>
      </c>
      <c r="H17" s="105">
        <f>SUM(H7:H16)</f>
        <v>21.587350188085033</v>
      </c>
      <c r="I17" s="106">
        <f t="shared" si="12"/>
        <v>1</v>
      </c>
      <c r="J17" s="106" t="str">
        <f t="shared" si="6"/>
        <v/>
      </c>
      <c r="K17" s="106">
        <f t="shared" ref="K17:K34" si="15">IF(F17=0,"",(H17-F17)/ABS(F17))</f>
        <v>-0.99999693324260597</v>
      </c>
      <c r="L17" s="105">
        <f>SUM(L7:L16)</f>
        <v>0</v>
      </c>
      <c r="M17" s="106" t="e">
        <f t="shared" ref="M17:M34" si="16">+L17/$L$17</f>
        <v>#DIV/0!</v>
      </c>
      <c r="N17" s="105">
        <f>SUM(N7:N16)</f>
        <v>18947960.008901235</v>
      </c>
      <c r="O17" s="106">
        <f t="shared" ref="O17:O34" si="17">+N17/$N$17</f>
        <v>1</v>
      </c>
      <c r="P17" s="105">
        <f>SUM(P7:P16)</f>
        <v>154.43446548858367</v>
      </c>
      <c r="Q17" s="107">
        <f t="shared" ref="Q17:Q34" si="18">+P17/$P$17</f>
        <v>1</v>
      </c>
      <c r="R17" s="108" t="str">
        <f t="shared" si="8"/>
        <v/>
      </c>
      <c r="S17" s="108">
        <f t="shared" si="9"/>
        <v>-0.99999184954657827</v>
      </c>
      <c r="T17" s="115"/>
      <c r="U17" s="263" t="e">
        <f t="shared" ref="U17:U29" si="19">+H22/D22</f>
        <v>#DIV/0!</v>
      </c>
      <c r="V17" s="260"/>
      <c r="W17" s="81" t="s">
        <v>58</v>
      </c>
      <c r="X17" s="82">
        <f>+'VZLA CONS .BL '!X17/'VENEZUELA USD'!$AI$3</f>
        <v>258.78313358411339</v>
      </c>
      <c r="Y17" s="82">
        <f>+'VZLA CONS .BL '!Y17/'VENEZUELA USD'!$AI$3</f>
        <v>2833421.4255314507</v>
      </c>
      <c r="Z17" s="83">
        <f>+'VZLA CONS .BL '!Z17/'VENEZUELA USD'!$AI$3</f>
        <v>15.174470737468289</v>
      </c>
      <c r="AA17" s="629">
        <f>+'VZLA CONS .BL '!AA17/'VENEZUELA USD'!$AI$3</f>
        <v>258.78313358411339</v>
      </c>
      <c r="AB17" s="82">
        <f>+'VZLA CONS .BL '!AB17/'VENEZUELA USD'!$AI$3</f>
        <v>3806506.4444930451</v>
      </c>
      <c r="AC17" s="424">
        <f>+'VZLA CONS .BL '!AC17/'VENEZUELA USD'!$AI$3</f>
        <v>45.91106421135509</v>
      </c>
      <c r="AD17" s="85">
        <f>+AC17-AA17</f>
        <v>-212.87206937275829</v>
      </c>
      <c r="AE17" s="86">
        <f t="shared" si="11"/>
        <v>0.17741134661866376</v>
      </c>
      <c r="AF17" s="86">
        <f t="shared" si="10"/>
        <v>-0.99998793879246473</v>
      </c>
      <c r="AH17" s="149"/>
    </row>
    <row r="18" spans="1:34" ht="15.75" thickBot="1" x14ac:dyDescent="0.3">
      <c r="B18" s="11"/>
      <c r="C18" s="112" t="s">
        <v>59</v>
      </c>
      <c r="D18" s="117">
        <f>+'VZLA CONS .BL '!D18/'VENEZUELA USD'!$AI$3</f>
        <v>0</v>
      </c>
      <c r="E18" s="113" t="e">
        <f t="shared" si="13"/>
        <v>#DIV/0!</v>
      </c>
      <c r="F18" s="117">
        <f>+'VZLA CONS .BL '!F18/'VENEZUELA USD'!$AI$3</f>
        <v>0</v>
      </c>
      <c r="G18" s="113">
        <f t="shared" si="14"/>
        <v>0</v>
      </c>
      <c r="H18" s="117">
        <f>+'VZLA CONS .BL '!H18/'VENEZUELA USD'!$AI$3</f>
        <v>0</v>
      </c>
      <c r="I18" s="113">
        <f t="shared" si="12"/>
        <v>0</v>
      </c>
      <c r="J18" s="113" t="str">
        <f t="shared" si="6"/>
        <v/>
      </c>
      <c r="K18" s="113" t="str">
        <f t="shared" si="15"/>
        <v/>
      </c>
      <c r="L18" s="117">
        <f>+'VZLA CONS .BL '!L18/'VENEZUELA USD'!$AI$3</f>
        <v>0</v>
      </c>
      <c r="M18" s="113" t="e">
        <f t="shared" si="16"/>
        <v>#DIV/0!</v>
      </c>
      <c r="N18" s="117">
        <f>+'VZLA CONS .BL '!N18/'VENEZUELA USD'!$AI$3</f>
        <v>0</v>
      </c>
      <c r="O18" s="113">
        <f t="shared" si="17"/>
        <v>0</v>
      </c>
      <c r="P18" s="117">
        <f>+'VZLA CONS .BL '!P18/'VENEZUELA USD'!$AI$3</f>
        <v>59.724717872452104</v>
      </c>
      <c r="Q18" s="115">
        <f t="shared" si="18"/>
        <v>0.38673179386156625</v>
      </c>
      <c r="R18" s="116" t="str">
        <f t="shared" si="8"/>
        <v/>
      </c>
      <c r="S18" s="116" t="str">
        <f t="shared" si="9"/>
        <v/>
      </c>
      <c r="T18" s="115"/>
      <c r="U18" s="86" t="e">
        <f t="shared" si="19"/>
        <v>#DIV/0!</v>
      </c>
      <c r="V18" s="276"/>
      <c r="W18" s="81" t="s">
        <v>60</v>
      </c>
      <c r="X18" s="82">
        <f>+'VZLA CONS .BL '!X18/'VENEZUELA USD'!$AI$3</f>
        <v>0</v>
      </c>
      <c r="Y18" s="82">
        <f>+'VZLA CONS .BL '!Y18/'VENEZUELA USD'!$AI$3</f>
        <v>0</v>
      </c>
      <c r="Z18" s="83">
        <f>+'VZLA CONS .BL '!Z18/'VENEZUELA USD'!$AI$3</f>
        <v>0</v>
      </c>
      <c r="AA18" s="358">
        <f>+'VZLA CONS .BL '!AA18/'VENEZUELA USD'!$AI$3</f>
        <v>0</v>
      </c>
      <c r="AB18" s="82">
        <f>+'VZLA CONS .BL '!AB18/'VENEZUELA USD'!$AI$3</f>
        <v>0</v>
      </c>
      <c r="AC18" s="424">
        <f>+'VZLA CONS .BL '!AC18/'VENEZUELA USD'!$AI$3</f>
        <v>0</v>
      </c>
      <c r="AD18" s="85">
        <f t="shared" ref="AD18:AD21" si="20">+AC18-AA18</f>
        <v>0</v>
      </c>
      <c r="AE18" s="86" t="str">
        <f t="shared" si="11"/>
        <v/>
      </c>
      <c r="AF18" s="86" t="str">
        <f t="shared" si="10"/>
        <v/>
      </c>
    </row>
    <row r="19" spans="1:34" ht="15.75" thickBot="1" x14ac:dyDescent="0.3">
      <c r="B19" s="11" t="s">
        <v>101</v>
      </c>
      <c r="C19" s="119" t="s">
        <v>61</v>
      </c>
      <c r="D19" s="120">
        <f>+D17-D18</f>
        <v>0</v>
      </c>
      <c r="E19" s="121" t="e">
        <f t="shared" si="13"/>
        <v>#DIV/0!</v>
      </c>
      <c r="F19" s="120">
        <f>+F17-F18</f>
        <v>7039145.068891611</v>
      </c>
      <c r="G19" s="121">
        <f t="shared" si="14"/>
        <v>1</v>
      </c>
      <c r="H19" s="105">
        <f>+H17-H18</f>
        <v>21.587350188085033</v>
      </c>
      <c r="I19" s="121">
        <f t="shared" si="12"/>
        <v>1</v>
      </c>
      <c r="J19" s="121" t="str">
        <f t="shared" si="6"/>
        <v/>
      </c>
      <c r="K19" s="121">
        <f t="shared" si="15"/>
        <v>-0.99999693324260597</v>
      </c>
      <c r="L19" s="630">
        <f>+L17-L18</f>
        <v>0</v>
      </c>
      <c r="M19" s="121" t="e">
        <f t="shared" si="16"/>
        <v>#DIV/0!</v>
      </c>
      <c r="N19" s="120">
        <f>+N17-N18</f>
        <v>18947960.008901235</v>
      </c>
      <c r="O19" s="121">
        <f t="shared" si="17"/>
        <v>1</v>
      </c>
      <c r="P19" s="630">
        <f>+P17-P18</f>
        <v>94.709747616131565</v>
      </c>
      <c r="Q19" s="122">
        <f t="shared" si="18"/>
        <v>0.6132682061384338</v>
      </c>
      <c r="R19" s="123" t="str">
        <f t="shared" si="8"/>
        <v/>
      </c>
      <c r="S19" s="123">
        <f t="shared" si="9"/>
        <v>-0.99999500158605081</v>
      </c>
      <c r="T19" s="127"/>
      <c r="U19" s="86" t="e">
        <f t="shared" si="19"/>
        <v>#DIV/0!</v>
      </c>
      <c r="V19" s="276"/>
      <c r="W19" s="81" t="s">
        <v>62</v>
      </c>
      <c r="X19" s="82">
        <f>+'VZLA CONS .BL '!X19/'VENEZUELA USD'!$AI$3</f>
        <v>0</v>
      </c>
      <c r="Y19" s="82">
        <f>+'VZLA CONS .BL '!Y19/'VENEZUELA USD'!$AI$3</f>
        <v>824576.5039366635</v>
      </c>
      <c r="Z19" s="83">
        <f>+'VZLA CONS .BL '!Z19/'VENEZUELA USD'!$AI$3</f>
        <v>1.8984450179336889</v>
      </c>
      <c r="AA19" s="358">
        <f>+'VZLA CONS .BL '!AA19/'VENEZUELA USD'!$AI$3</f>
        <v>0</v>
      </c>
      <c r="AB19" s="82">
        <f>+'VZLA CONS .BL '!AB19/'VENEZUELA USD'!$AI$3</f>
        <v>1797661.5228982591</v>
      </c>
      <c r="AC19" s="424">
        <f>+'VZLA CONS .BL '!AC19/'VENEZUELA USD'!$AI$3</f>
        <v>32.635038491820488</v>
      </c>
      <c r="AD19" s="85">
        <f t="shared" si="20"/>
        <v>32.635038491820488</v>
      </c>
      <c r="AE19" s="86" t="str">
        <f t="shared" si="11"/>
        <v/>
      </c>
      <c r="AF19" s="86">
        <f t="shared" si="10"/>
        <v>-0.99998184583800898</v>
      </c>
      <c r="AH19" s="149"/>
    </row>
    <row r="20" spans="1:34" x14ac:dyDescent="0.25">
      <c r="B20" s="11" t="s">
        <v>102</v>
      </c>
      <c r="C20" s="81" t="s">
        <v>63</v>
      </c>
      <c r="D20" s="83">
        <f>+'VZLA CONS .BL '!D20/'VENEZUELA USD'!$AI$3</f>
        <v>0</v>
      </c>
      <c r="E20" s="126" t="e">
        <f t="shared" si="13"/>
        <v>#DIV/0!</v>
      </c>
      <c r="F20" s="83">
        <f>+'VZLA CONS .BL '!F20/'VENEZUELA USD'!$AI$3</f>
        <v>92192.758135771161</v>
      </c>
      <c r="G20" s="126">
        <f t="shared" si="14"/>
        <v>1.3097152741346742E-2</v>
      </c>
      <c r="H20" s="83">
        <f>+'VZLA CONS .BL '!H20/'VENEZUELA USD'!$AI$3</f>
        <v>0.45095573440643866</v>
      </c>
      <c r="I20" s="126">
        <f t="shared" si="12"/>
        <v>2.0889814195692257E-2</v>
      </c>
      <c r="J20" s="126" t="str">
        <f t="shared" si="6"/>
        <v/>
      </c>
      <c r="K20" s="126">
        <f t="shared" si="15"/>
        <v>-0.99999510855577456</v>
      </c>
      <c r="L20" s="83">
        <f>+'VZLA CONS .BL '!L20/'VENEZUELA USD'!$AI$3</f>
        <v>0</v>
      </c>
      <c r="M20" s="126" t="e">
        <f t="shared" si="16"/>
        <v>#DIV/0!</v>
      </c>
      <c r="N20" s="83">
        <f>+'VZLA CONS .BL '!N20/'VENEZUELA USD'!$AI$3</f>
        <v>261640.91392922751</v>
      </c>
      <c r="O20" s="126">
        <f t="shared" si="17"/>
        <v>1.380839487767104E-2</v>
      </c>
      <c r="P20" s="83">
        <f>+'VZLA CONS .BL '!P20/'VENEZUELA USD'!$AI$3</f>
        <v>2.0971043653223691</v>
      </c>
      <c r="Q20" s="127">
        <f t="shared" si="18"/>
        <v>1.3579250970227202E-2</v>
      </c>
      <c r="R20" s="128" t="str">
        <f t="shared" si="8"/>
        <v/>
      </c>
      <c r="S20" s="128">
        <f t="shared" si="9"/>
        <v>-0.99999198479957196</v>
      </c>
      <c r="T20" s="127"/>
      <c r="U20" s="263" t="e">
        <f t="shared" si="19"/>
        <v>#DIV/0!</v>
      </c>
      <c r="V20" s="265">
        <v>2101</v>
      </c>
      <c r="W20" s="81" t="s">
        <v>64</v>
      </c>
      <c r="X20" s="82">
        <f>+'VZLA CONS .BL '!X20/'VENEZUELA USD'!$AI$3</f>
        <v>0</v>
      </c>
      <c r="Y20" s="82">
        <f>+'VZLA CONS .BL '!Y20/'VENEZUELA USD'!$AI$3</f>
        <v>0</v>
      </c>
      <c r="Z20" s="83">
        <f>+'VZLA CONS .BL '!Z20/'VENEZUELA USD'!$AI$3</f>
        <v>0</v>
      </c>
      <c r="AA20" s="358">
        <f>+'VZLA CONS .BL '!AA20/'VENEZUELA USD'!$AI$3</f>
        <v>0</v>
      </c>
      <c r="AB20" s="82">
        <f>+'VZLA CONS .BL '!AB20/'VENEZUELA USD'!$AI$3</f>
        <v>0</v>
      </c>
      <c r="AC20" s="424">
        <f>+'VZLA CONS .BL '!AC20/'VENEZUELA USD'!$AI$3</f>
        <v>0</v>
      </c>
      <c r="AD20" s="85">
        <f t="shared" si="20"/>
        <v>0</v>
      </c>
      <c r="AE20" s="86" t="str">
        <f t="shared" si="11"/>
        <v/>
      </c>
      <c r="AF20" s="86" t="str">
        <f t="shared" si="10"/>
        <v/>
      </c>
    </row>
    <row r="21" spans="1:34" ht="15.75" thickBot="1" x14ac:dyDescent="0.3">
      <c r="B21" s="11"/>
      <c r="C21" s="81" t="s">
        <v>65</v>
      </c>
      <c r="D21" s="83">
        <f>+'VZLA CONS .BL '!D21/'VENEZUELA USD'!$AI$3</f>
        <v>0</v>
      </c>
      <c r="E21" s="126" t="e">
        <f t="shared" si="13"/>
        <v>#DIV/0!</v>
      </c>
      <c r="F21" s="83">
        <f>+'VZLA CONS .BL '!F21/'VENEZUELA USD'!$AI$3</f>
        <v>1635873.3352068935</v>
      </c>
      <c r="G21" s="126">
        <f t="shared" si="14"/>
        <v>0.23239659350627354</v>
      </c>
      <c r="H21" s="83">
        <f>+'VZLA CONS .BL '!H21/'VENEZUELA USD'!$AI$3</f>
        <v>2.4328142769661447</v>
      </c>
      <c r="I21" s="126">
        <f t="shared" si="12"/>
        <v>0.11269628999250299</v>
      </c>
      <c r="J21" s="126" t="str">
        <f t="shared" si="6"/>
        <v/>
      </c>
      <c r="K21" s="126">
        <f t="shared" si="15"/>
        <v>-0.99999851283456698</v>
      </c>
      <c r="L21" s="83">
        <f>+'VZLA CONS .BL '!L21/'VENEZUELA USD'!$AI$3</f>
        <v>0</v>
      </c>
      <c r="M21" s="126" t="e">
        <f t="shared" si="16"/>
        <v>#DIV/0!</v>
      </c>
      <c r="N21" s="83">
        <f>+'VZLA CONS .BL '!N21/'VENEZUELA USD'!$AI$3</f>
        <v>4266921.5624835975</v>
      </c>
      <c r="O21" s="126">
        <f t="shared" si="17"/>
        <v>0.22519160693178128</v>
      </c>
      <c r="P21" s="83">
        <f>+'VZLA CONS .BL '!P21/'VENEZUELA USD'!$AI$3</f>
        <v>17.068071472312131</v>
      </c>
      <c r="Q21" s="127">
        <f t="shared" si="18"/>
        <v>0.11051983388755836</v>
      </c>
      <c r="R21" s="128" t="str">
        <f t="shared" si="8"/>
        <v/>
      </c>
      <c r="S21" s="128">
        <f t="shared" si="9"/>
        <v>-0.99999599990971888</v>
      </c>
      <c r="T21" s="115"/>
      <c r="U21" s="263" t="e">
        <f t="shared" si="19"/>
        <v>#DIV/0!</v>
      </c>
      <c r="V21" s="260" t="s">
        <v>121</v>
      </c>
      <c r="W21" s="81" t="s">
        <v>66</v>
      </c>
      <c r="X21" s="82">
        <f>+'VZLA CONS .BL '!X21/'VENEZUELA USD'!$AI$3</f>
        <v>0</v>
      </c>
      <c r="Y21" s="82">
        <f>+'VZLA CONS .BL '!Y21/'VENEZUELA USD'!$AI$3</f>
        <v>0</v>
      </c>
      <c r="Z21" s="83">
        <f>+'VZLA CONS .BL '!Z21/'VENEZUELA USD'!$AI$3</f>
        <v>0</v>
      </c>
      <c r="AA21" s="358">
        <f>+'VZLA CONS .BL '!AA21/'VENEZUELA USD'!$AI$3</f>
        <v>0</v>
      </c>
      <c r="AB21" s="82"/>
      <c r="AC21" s="424">
        <f>+'VZLA CONS .BL '!AC21/'VENEZUELA USD'!$AI$3</f>
        <v>0</v>
      </c>
      <c r="AD21" s="85">
        <f t="shared" si="20"/>
        <v>0</v>
      </c>
      <c r="AE21" s="86" t="str">
        <f t="shared" si="11"/>
        <v/>
      </c>
      <c r="AF21" s="86" t="str">
        <f t="shared" si="10"/>
        <v/>
      </c>
    </row>
    <row r="22" spans="1:34" ht="15.75" thickBot="1" x14ac:dyDescent="0.3">
      <c r="B22" s="11" t="s">
        <v>103</v>
      </c>
      <c r="C22" s="112" t="s">
        <v>67</v>
      </c>
      <c r="D22" s="117">
        <f>SUM(D20:D21)</f>
        <v>0</v>
      </c>
      <c r="E22" s="113" t="e">
        <f t="shared" si="13"/>
        <v>#DIV/0!</v>
      </c>
      <c r="F22" s="117">
        <f>SUM(F20:F21)</f>
        <v>1728066.0933426647</v>
      </c>
      <c r="G22" s="113">
        <f t="shared" si="14"/>
        <v>0.24549374624762027</v>
      </c>
      <c r="H22" s="117">
        <f>SUM(H20:H21)</f>
        <v>2.8837700113725835</v>
      </c>
      <c r="I22" s="113">
        <f t="shared" si="12"/>
        <v>0.13358610418819525</v>
      </c>
      <c r="J22" s="113" t="str">
        <f t="shared" si="6"/>
        <v/>
      </c>
      <c r="K22" s="113">
        <f t="shared" si="15"/>
        <v>-0.99999833121544224</v>
      </c>
      <c r="L22" s="114">
        <f>SUM(L20:L21)</f>
        <v>0</v>
      </c>
      <c r="M22" s="113" t="e">
        <f t="shared" si="16"/>
        <v>#DIV/0!</v>
      </c>
      <c r="N22" s="114">
        <f>SUM(N20:N21)</f>
        <v>4528562.4764128253</v>
      </c>
      <c r="O22" s="113">
        <f t="shared" si="17"/>
        <v>0.23900000180945233</v>
      </c>
      <c r="P22" s="114">
        <f>SUM(P20:P21)</f>
        <v>19.1651758376345</v>
      </c>
      <c r="Q22" s="115">
        <f t="shared" si="18"/>
        <v>0.12409908485778556</v>
      </c>
      <c r="R22" s="116" t="str">
        <f t="shared" si="8"/>
        <v/>
      </c>
      <c r="S22" s="116">
        <f t="shared" si="9"/>
        <v>-0.99999576793387812</v>
      </c>
      <c r="T22" s="127"/>
      <c r="U22" s="77" t="e">
        <f t="shared" si="19"/>
        <v>#DIV/0!</v>
      </c>
      <c r="V22" s="265" t="s">
        <v>122</v>
      </c>
      <c r="W22" s="73" t="s">
        <v>68</v>
      </c>
      <c r="X22" s="75">
        <f>+X17-X19-X20-X18</f>
        <v>258.78313358411339</v>
      </c>
      <c r="Y22" s="75">
        <f t="shared" ref="Y22:AC22" si="21">+Y17-Y19-Y20-Y18</f>
        <v>2008844.9215947872</v>
      </c>
      <c r="Z22" s="74">
        <f t="shared" si="21"/>
        <v>13.2760257195346</v>
      </c>
      <c r="AA22" s="430">
        <f t="shared" si="21"/>
        <v>258.78313358411339</v>
      </c>
      <c r="AB22" s="631">
        <f t="shared" si="21"/>
        <v>2008844.921594786</v>
      </c>
      <c r="AC22" s="431">
        <f t="shared" si="21"/>
        <v>13.276025719534601</v>
      </c>
      <c r="AD22" s="76">
        <f t="shared" ref="AD22" si="22">Z22-X22</f>
        <v>-245.50710786457878</v>
      </c>
      <c r="AE22" s="77">
        <f t="shared" ref="AE22" si="23">IF(X22=0,"",(Z22-X22)/ABS(X22)+1)</f>
        <v>5.1301742643206083E-2</v>
      </c>
      <c r="AF22" s="77">
        <f t="shared" ref="AF22" si="24">IF(Y22=0,"",(Z22-Y22)/ABS(Y22))</f>
        <v>-0.99999339121423625</v>
      </c>
    </row>
    <row r="23" spans="1:34" x14ac:dyDescent="0.25">
      <c r="A23" s="11" t="s">
        <v>104</v>
      </c>
      <c r="B23" s="11" t="s">
        <v>105</v>
      </c>
      <c r="C23" s="81" t="s">
        <v>69</v>
      </c>
      <c r="D23" s="83">
        <f>+'VZLA CONS .BL '!D23/'VENEZUELA USD'!$AI$3</f>
        <v>0</v>
      </c>
      <c r="E23" s="126" t="e">
        <f t="shared" si="13"/>
        <v>#DIV/0!</v>
      </c>
      <c r="F23" s="83">
        <f>+'VZLA CONS .BL '!F23/'VENEZUELA USD'!$AI$3</f>
        <v>2446615.3317513778</v>
      </c>
      <c r="G23" s="126">
        <f t="shared" si="14"/>
        <v>0.34757279581632827</v>
      </c>
      <c r="H23" s="83">
        <f>+'VZLA CONS .BL '!H23/'VENEZUELA USD'!$AI$3</f>
        <v>17.029535911118888</v>
      </c>
      <c r="I23" s="126">
        <f t="shared" si="12"/>
        <v>0.78886643162523051</v>
      </c>
      <c r="J23" s="126" t="str">
        <f t="shared" si="6"/>
        <v/>
      </c>
      <c r="K23" s="126">
        <f t="shared" si="15"/>
        <v>-0.99999303955317775</v>
      </c>
      <c r="L23" s="83">
        <f>+'VZLA CONS .BL '!L23/'VENEZUELA USD'!$AI$3</f>
        <v>0</v>
      </c>
      <c r="M23" s="126" t="e">
        <f t="shared" si="16"/>
        <v>#DIV/0!</v>
      </c>
      <c r="N23" s="83">
        <f>+'VZLA CONS .BL '!N23/'VENEZUELA USD'!$AI$3</f>
        <v>7084370.3672469594</v>
      </c>
      <c r="O23" s="126">
        <f t="shared" si="17"/>
        <v>0.37388565122149908</v>
      </c>
      <c r="P23" s="83">
        <f>+'VZLA CONS .BL '!P23/'VENEZUELA USD'!$AI$3</f>
        <v>63.963771761000785</v>
      </c>
      <c r="Q23" s="127">
        <f>+P28/$P$17</f>
        <v>0</v>
      </c>
      <c r="R23" s="128" t="str">
        <f>IF(L23=0,"",(P28-L23)/ABS(L23)+1)</f>
        <v/>
      </c>
      <c r="S23" s="128">
        <f>IF(N23=0,"",(P28-N23)/ABS(N23))</f>
        <v>-1</v>
      </c>
      <c r="T23" s="127"/>
      <c r="U23" s="86" t="e">
        <f t="shared" si="19"/>
        <v>#DIV/0!</v>
      </c>
      <c r="V23" s="265" t="s">
        <v>123</v>
      </c>
      <c r="X23" s="401"/>
    </row>
    <row r="24" spans="1:34" ht="15.75" thickBot="1" x14ac:dyDescent="0.3">
      <c r="B24" s="11"/>
      <c r="C24" s="81" t="s">
        <v>71</v>
      </c>
      <c r="D24" s="83">
        <f>+'VZLA CONS .BL '!D24/'VENEZUELA USD'!$AI$3</f>
        <v>0</v>
      </c>
      <c r="E24" s="126" t="e">
        <f t="shared" si="13"/>
        <v>#DIV/0!</v>
      </c>
      <c r="F24" s="83">
        <f>+'VZLA CONS .BL '!F24/'VENEZUELA USD'!$AI$3</f>
        <v>960678.05909369257</v>
      </c>
      <c r="G24" s="126">
        <f t="shared" si="14"/>
        <v>0.13647652515917841</v>
      </c>
      <c r="H24" s="83">
        <f>+'VZLA CONS .BL '!H24/'VENEZUELA USD'!$AI$3</f>
        <v>2.177084244598023</v>
      </c>
      <c r="I24" s="126">
        <f t="shared" si="12"/>
        <v>0.10084999898689036</v>
      </c>
      <c r="J24" s="126" t="str">
        <f t="shared" si="6"/>
        <v/>
      </c>
      <c r="K24" s="126">
        <f t="shared" si="15"/>
        <v>-0.99999773380455192</v>
      </c>
      <c r="L24" s="83">
        <f>+'VZLA CONS .BL '!L24/'VENEZUELA USD'!$AI$3</f>
        <v>0</v>
      </c>
      <c r="M24" s="126" t="e">
        <f t="shared" si="16"/>
        <v>#DIV/0!</v>
      </c>
      <c r="N24" s="83">
        <f>+'VZLA CONS .BL '!N24/'VENEZUELA USD'!$AI$3</f>
        <v>3247440.8550542383</v>
      </c>
      <c r="O24" s="126">
        <f t="shared" si="17"/>
        <v>0.17138736061975426</v>
      </c>
      <c r="P24" s="83">
        <f>+'VZLA CONS .BL '!P24/'VENEZUELA USD'!$AI$3</f>
        <v>12.369805791269354</v>
      </c>
      <c r="Q24" s="127">
        <f t="shared" si="18"/>
        <v>8.0097442964788018E-2</v>
      </c>
      <c r="R24" s="128" t="str">
        <f t="shared" si="8"/>
        <v/>
      </c>
      <c r="S24" s="128">
        <f t="shared" si="9"/>
        <v>-0.99999619090651881</v>
      </c>
      <c r="T24" s="115"/>
      <c r="U24" s="86" t="e">
        <f t="shared" si="19"/>
        <v>#DIV/0!</v>
      </c>
      <c r="V24" s="276"/>
      <c r="W24" s="15"/>
      <c r="X24" s="611"/>
      <c r="Y24" s="87">
        <f>+'VZLA CONS .BL '!Y22/'VENEZUELA USD'!$AI$3</f>
        <v>2008844.9215947872</v>
      </c>
      <c r="Z24" s="87">
        <f>+'VZLA CONS .BL '!Z22/'VENEZUELA USD'!$AI$3</f>
        <v>13.276025719534598</v>
      </c>
      <c r="AA24" s="87"/>
      <c r="AB24" s="87"/>
      <c r="AC24" s="87"/>
      <c r="AD24" s="15"/>
      <c r="AE24" s="15"/>
    </row>
    <row r="25" spans="1:34" ht="15.75" thickBot="1" x14ac:dyDescent="0.3">
      <c r="B25" s="11"/>
      <c r="C25" s="112" t="s">
        <v>72</v>
      </c>
      <c r="D25" s="117">
        <f>SUM(D23:D24)</f>
        <v>0</v>
      </c>
      <c r="E25" s="113" t="e">
        <f t="shared" si="13"/>
        <v>#DIV/0!</v>
      </c>
      <c r="F25" s="117">
        <f>SUM(F23:F24)</f>
        <v>3407293.3908450706</v>
      </c>
      <c r="G25" s="113">
        <f t="shared" si="14"/>
        <v>0.48404932097550668</v>
      </c>
      <c r="H25" s="117">
        <f>SUM(H23:H24)</f>
        <v>19.206620155716912</v>
      </c>
      <c r="I25" s="113">
        <f t="shared" si="12"/>
        <v>0.88971643061212091</v>
      </c>
      <c r="J25" s="113" t="str">
        <f t="shared" si="6"/>
        <v/>
      </c>
      <c r="K25" s="113">
        <f t="shared" si="15"/>
        <v>-0.99999436308590051</v>
      </c>
      <c r="L25" s="114">
        <f>SUM(L23:L24)</f>
        <v>0</v>
      </c>
      <c r="M25" s="113" t="e">
        <f t="shared" si="16"/>
        <v>#DIV/0!</v>
      </c>
      <c r="N25" s="114">
        <f>+N24+N23</f>
        <v>10331811.222301198</v>
      </c>
      <c r="O25" s="113">
        <f t="shared" si="17"/>
        <v>0.54527301184125332</v>
      </c>
      <c r="P25" s="114">
        <f>SUM(P23:P24)</f>
        <v>76.333577552270143</v>
      </c>
      <c r="Q25" s="115">
        <f t="shared" si="18"/>
        <v>0.49427812186077713</v>
      </c>
      <c r="R25" s="116" t="str">
        <f t="shared" si="8"/>
        <v/>
      </c>
      <c r="S25" s="116">
        <f t="shared" si="9"/>
        <v>-0.99999261179130061</v>
      </c>
      <c r="T25" s="115"/>
      <c r="U25" s="77" t="e">
        <f t="shared" si="19"/>
        <v>#DIV/0!</v>
      </c>
      <c r="V25" s="256"/>
      <c r="W25" s="15"/>
      <c r="X25" s="401"/>
      <c r="Y25" s="15"/>
      <c r="Z25" s="15"/>
      <c r="AA25" s="15"/>
      <c r="AB25" s="15"/>
      <c r="AC25" s="15"/>
      <c r="AD25" s="15"/>
      <c r="AE25" s="15"/>
    </row>
    <row r="26" spans="1:34" ht="15.75" thickBot="1" x14ac:dyDescent="0.3">
      <c r="B26" s="11"/>
      <c r="C26" s="112" t="s">
        <v>74</v>
      </c>
      <c r="D26" s="117">
        <f>D22+D25</f>
        <v>0</v>
      </c>
      <c r="E26" s="113" t="e">
        <f t="shared" si="13"/>
        <v>#DIV/0!</v>
      </c>
      <c r="F26" s="117">
        <f>F22+F25</f>
        <v>5135359.4841877352</v>
      </c>
      <c r="G26" s="113">
        <f t="shared" si="14"/>
        <v>0.72954306722312701</v>
      </c>
      <c r="H26" s="117">
        <f>H22+H25</f>
        <v>22.090390167089495</v>
      </c>
      <c r="I26" s="113">
        <f t="shared" si="12"/>
        <v>1.0233025348003162</v>
      </c>
      <c r="J26" s="113" t="str">
        <f t="shared" si="6"/>
        <v/>
      </c>
      <c r="K26" s="113">
        <f t="shared" si="15"/>
        <v>-0.99999569837511182</v>
      </c>
      <c r="L26" s="117">
        <f>L22+L25</f>
        <v>0</v>
      </c>
      <c r="M26" s="113" t="e">
        <f t="shared" si="16"/>
        <v>#DIV/0!</v>
      </c>
      <c r="N26" s="117">
        <f>+N25+N22</f>
        <v>14860373.698714023</v>
      </c>
      <c r="O26" s="113">
        <f t="shared" si="17"/>
        <v>0.78427301365070567</v>
      </c>
      <c r="P26" s="117">
        <f>P22+P25</f>
        <v>95.498753389904635</v>
      </c>
      <c r="Q26" s="115">
        <f t="shared" si="18"/>
        <v>0.61837720671856267</v>
      </c>
      <c r="R26" s="116" t="str">
        <f t="shared" si="8"/>
        <v/>
      </c>
      <c r="S26" s="116">
        <f t="shared" si="9"/>
        <v>-0.99999357359677987</v>
      </c>
      <c r="T26" s="115"/>
      <c r="U26" s="86" t="e">
        <f t="shared" si="19"/>
        <v>#DIV/0!</v>
      </c>
      <c r="V26" s="632"/>
      <c r="X26" s="401"/>
    </row>
    <row r="27" spans="1:34" ht="15.75" thickBot="1" x14ac:dyDescent="0.3">
      <c r="B27" s="11" t="s">
        <v>106</v>
      </c>
      <c r="C27" s="73" t="s">
        <v>75</v>
      </c>
      <c r="D27" s="141">
        <f>D19-D26</f>
        <v>0</v>
      </c>
      <c r="E27" s="142" t="e">
        <f t="shared" si="13"/>
        <v>#DIV/0!</v>
      </c>
      <c r="F27" s="141">
        <f>F19-F26</f>
        <v>1903785.5847038757</v>
      </c>
      <c r="G27" s="142">
        <f t="shared" si="14"/>
        <v>0.27045693277687305</v>
      </c>
      <c r="H27" s="141">
        <f>H19-H26</f>
        <v>-0.50303997900446262</v>
      </c>
      <c r="I27" s="142">
        <f t="shared" si="12"/>
        <v>-2.3302534800316139E-2</v>
      </c>
      <c r="J27" s="142" t="str">
        <f t="shared" si="6"/>
        <v/>
      </c>
      <c r="K27" s="142">
        <f t="shared" si="15"/>
        <v>-1.0000002642314254</v>
      </c>
      <c r="L27" s="633">
        <f>L19-L26</f>
        <v>0</v>
      </c>
      <c r="M27" s="142" t="e">
        <f t="shared" si="16"/>
        <v>#DIV/0!</v>
      </c>
      <c r="N27" s="141">
        <f>N19-N26</f>
        <v>4087586.3101872113</v>
      </c>
      <c r="O27" s="142">
        <f t="shared" si="17"/>
        <v>0.21572698634929433</v>
      </c>
      <c r="P27" s="633">
        <f>P19-P26</f>
        <v>-0.78900577377307002</v>
      </c>
      <c r="Q27" s="145">
        <f t="shared" si="18"/>
        <v>-5.1090005801288961E-3</v>
      </c>
      <c r="R27" s="144" t="str">
        <f t="shared" si="8"/>
        <v/>
      </c>
      <c r="S27" s="144">
        <f t="shared" si="9"/>
        <v>-1.0000001930248597</v>
      </c>
      <c r="T27" s="127"/>
      <c r="U27" s="77" t="e">
        <f t="shared" si="19"/>
        <v>#DIV/0!</v>
      </c>
      <c r="V27" s="297"/>
      <c r="X27" s="401"/>
    </row>
    <row r="28" spans="1:34" ht="15.75" thickBot="1" x14ac:dyDescent="0.3">
      <c r="B28" s="11" t="s">
        <v>107</v>
      </c>
      <c r="C28" s="81" t="s">
        <v>76</v>
      </c>
      <c r="D28" s="83">
        <f>+'VZLA CONS .BL '!D28/'VENEZUELA USD'!$AI$3</f>
        <v>0</v>
      </c>
      <c r="E28" s="126" t="e">
        <f t="shared" si="13"/>
        <v>#DIV/0!</v>
      </c>
      <c r="F28" s="83">
        <f>+'VZLA CONS .BL '!F28/'VENEZUELA USD'!$AI$3</f>
        <v>0</v>
      </c>
      <c r="G28" s="126">
        <f t="shared" si="14"/>
        <v>0</v>
      </c>
      <c r="H28" s="83">
        <f>+'VZLA CONS .BL '!H28/'VENEZUELA USD'!$AI$3</f>
        <v>0</v>
      </c>
      <c r="I28" s="126">
        <f t="shared" si="12"/>
        <v>0</v>
      </c>
      <c r="J28" s="126" t="str">
        <f t="shared" si="6"/>
        <v/>
      </c>
      <c r="K28" s="126" t="str">
        <f t="shared" si="15"/>
        <v/>
      </c>
      <c r="L28" s="83">
        <f>+'VZLA CONS .BL '!L28/'VENEZUELA USD'!$AI$3</f>
        <v>0</v>
      </c>
      <c r="M28" s="126" t="e">
        <f t="shared" si="16"/>
        <v>#DIV/0!</v>
      </c>
      <c r="N28" s="83">
        <f>+'VZLA CONS .BL '!N28/'VENEZUELA USD'!$AI$3</f>
        <v>0</v>
      </c>
      <c r="O28" s="126">
        <f t="shared" si="17"/>
        <v>0</v>
      </c>
      <c r="P28" s="83">
        <f>+'VZLA CONS .BL '!P28/'VENEZUELA USD'!$AI$3</f>
        <v>0</v>
      </c>
      <c r="Q28" s="127"/>
      <c r="R28" s="128" t="str">
        <f>IF(L28=0,"",(#REF!-L28)/ABS(L28)+1)</f>
        <v/>
      </c>
      <c r="S28" s="128"/>
      <c r="T28" s="127"/>
      <c r="U28" s="77" t="e">
        <f t="shared" si="19"/>
        <v>#DIV/0!</v>
      </c>
      <c r="V28" s="297"/>
      <c r="Z28" s="149"/>
      <c r="AA28" s="149"/>
      <c r="AB28" s="149"/>
      <c r="AC28" s="149"/>
    </row>
    <row r="29" spans="1:34" ht="15.75" thickBot="1" x14ac:dyDescent="0.3">
      <c r="B29" s="11"/>
      <c r="C29" s="81" t="s">
        <v>77</v>
      </c>
      <c r="D29" s="83">
        <f>+'VZLA CONS .BL '!D29/'VENEZUELA USD'!$AI$3</f>
        <v>0</v>
      </c>
      <c r="E29" s="126" t="e">
        <f t="shared" si="13"/>
        <v>#DIV/0!</v>
      </c>
      <c r="F29" s="83">
        <f>+'VZLA CONS .BL '!F29/'VENEZUELA USD'!$AI$3</f>
        <v>84705.901736505984</v>
      </c>
      <c r="G29" s="126">
        <f t="shared" si="14"/>
        <v>1.2033549658018887E-2</v>
      </c>
      <c r="H29" s="83">
        <f>+'VZLA CONS .BL '!H29/'VENEZUELA USD'!$AI$3</f>
        <v>0.31165252383868425</v>
      </c>
      <c r="I29" s="126">
        <f t="shared" si="12"/>
        <v>1.4436812351832713E-2</v>
      </c>
      <c r="J29" s="126" t="str">
        <f t="shared" si="6"/>
        <v/>
      </c>
      <c r="K29" s="126">
        <f t="shared" si="15"/>
        <v>-0.99999632076965761</v>
      </c>
      <c r="L29" s="83">
        <f>+'VZLA CONS .BL '!L29/'VENEZUELA USD'!$AI$3</f>
        <v>0</v>
      </c>
      <c r="M29" s="126" t="e">
        <f t="shared" si="16"/>
        <v>#DIV/0!</v>
      </c>
      <c r="N29" s="83">
        <f>+'VZLA CONS .BL '!N29/'VENEZUELA USD'!$AI$3</f>
        <v>243411.02859548596</v>
      </c>
      <c r="O29" s="126">
        <f t="shared" si="17"/>
        <v>1.2846292080051789E-2</v>
      </c>
      <c r="P29" s="83">
        <f>+'VZLA CONS .BL '!P29/'VENEZUELA USD'!$AI$3</f>
        <v>2.8016577727232961</v>
      </c>
      <c r="Q29" s="127">
        <f t="shared" si="18"/>
        <v>1.8141402334379851E-2</v>
      </c>
      <c r="R29" s="128" t="str">
        <f t="shared" si="8"/>
        <v/>
      </c>
      <c r="S29" s="128">
        <f t="shared" si="9"/>
        <v>-0.9999884900130086</v>
      </c>
      <c r="T29" s="115"/>
      <c r="U29" s="298" t="e">
        <f t="shared" si="19"/>
        <v>#DIV/0!</v>
      </c>
      <c r="V29" s="297"/>
    </row>
    <row r="30" spans="1:34" ht="15.75" thickBot="1" x14ac:dyDescent="0.3">
      <c r="B30" s="11" t="s">
        <v>108</v>
      </c>
      <c r="C30" s="73" t="s">
        <v>78</v>
      </c>
      <c r="D30" s="141">
        <f>D27+D28-D29</f>
        <v>0</v>
      </c>
      <c r="E30" s="142" t="e">
        <f t="shared" si="13"/>
        <v>#DIV/0!</v>
      </c>
      <c r="F30" s="141">
        <f>F27+F28-F29</f>
        <v>1819079.6829673697</v>
      </c>
      <c r="G30" s="142">
        <f t="shared" si="14"/>
        <v>0.25842338311885416</v>
      </c>
      <c r="H30" s="141">
        <f>H27+H28-H29</f>
        <v>-0.81469250284314687</v>
      </c>
      <c r="I30" s="142">
        <f t="shared" si="12"/>
        <v>-3.7739347152148855E-2</v>
      </c>
      <c r="J30" s="142" t="str">
        <f t="shared" si="6"/>
        <v/>
      </c>
      <c r="K30" s="142">
        <f t="shared" si="15"/>
        <v>-1.000000447859712</v>
      </c>
      <c r="L30" s="633">
        <f>L27+L28-L29</f>
        <v>0</v>
      </c>
      <c r="M30" s="142" t="e">
        <f t="shared" si="16"/>
        <v>#DIV/0!</v>
      </c>
      <c r="N30" s="141">
        <f>N27+N28-N29</f>
        <v>3844175.2815917255</v>
      </c>
      <c r="O30" s="142">
        <f t="shared" si="17"/>
        <v>0.20288069426924255</v>
      </c>
      <c r="P30" s="633">
        <f>P27+P28-P29</f>
        <v>-3.5906635464963661</v>
      </c>
      <c r="Q30" s="143">
        <f t="shared" si="18"/>
        <v>-2.3250402914508746E-2</v>
      </c>
      <c r="R30" s="144" t="str">
        <f t="shared" si="8"/>
        <v/>
      </c>
      <c r="S30" s="144">
        <f t="shared" si="9"/>
        <v>-1.000000934053024</v>
      </c>
      <c r="T30" s="127"/>
    </row>
    <row r="31" spans="1:34" ht="15.75" thickBot="1" x14ac:dyDescent="0.3">
      <c r="B31" s="11"/>
      <c r="C31" s="81" t="s">
        <v>62</v>
      </c>
      <c r="D31" s="83">
        <f>+'VZLA CONS .BL '!D31/'VENEZUELA USD'!$AI$3</f>
        <v>0</v>
      </c>
      <c r="E31" s="126" t="e">
        <f t="shared" si="13"/>
        <v>#DIV/0!</v>
      </c>
      <c r="F31" s="83">
        <f>+'VZLA CONS .BL '!F31/'VENEZUELA USD'!$AI$3</f>
        <v>0</v>
      </c>
      <c r="G31" s="126">
        <f t="shared" si="14"/>
        <v>0</v>
      </c>
      <c r="H31" s="83">
        <f>+'VZLA CONS .BL '!H31/'VENEZUELA USD'!$AI$3</f>
        <v>0</v>
      </c>
      <c r="I31" s="126">
        <f t="shared" si="12"/>
        <v>0</v>
      </c>
      <c r="J31" s="126" t="str">
        <f t="shared" si="6"/>
        <v/>
      </c>
      <c r="K31" s="634" t="str">
        <f t="shared" si="15"/>
        <v/>
      </c>
      <c r="L31" s="83">
        <f>+'VZLA CONS .BL '!L31/'VENEZUELA USD'!$AI$3</f>
        <v>0</v>
      </c>
      <c r="M31" s="126" t="e">
        <f t="shared" si="16"/>
        <v>#DIV/0!</v>
      </c>
      <c r="N31" s="83">
        <f>+'VZLA CONS .BL '!N31/'VENEZUELA USD'!$AI$3</f>
        <v>21649.10855349488</v>
      </c>
      <c r="O31" s="126">
        <f t="shared" si="17"/>
        <v>1.1425561666440461E-3</v>
      </c>
      <c r="P31" s="83">
        <f>+'VZLA CONS .BL '!P31/'VENEZUELA USD'!$AI$3</f>
        <v>0</v>
      </c>
      <c r="Q31" s="127">
        <f t="shared" si="18"/>
        <v>0</v>
      </c>
      <c r="R31" s="128" t="str">
        <f t="shared" si="8"/>
        <v/>
      </c>
      <c r="S31" s="128">
        <f t="shared" si="9"/>
        <v>-1</v>
      </c>
      <c r="T31" s="115"/>
    </row>
    <row r="32" spans="1:34" ht="15.75" thickBot="1" x14ac:dyDescent="0.3">
      <c r="B32" s="11"/>
      <c r="C32" s="73" t="s">
        <v>79</v>
      </c>
      <c r="D32" s="141">
        <f>D30-D31</f>
        <v>0</v>
      </c>
      <c r="E32" s="142" t="e">
        <f t="shared" si="13"/>
        <v>#DIV/0!</v>
      </c>
      <c r="F32" s="141">
        <f>F30-F31</f>
        <v>1819079.6829673697</v>
      </c>
      <c r="G32" s="142">
        <f t="shared" si="14"/>
        <v>0.25842338311885416</v>
      </c>
      <c r="H32" s="141">
        <f>H30-H31</f>
        <v>-0.81469250284314687</v>
      </c>
      <c r="I32" s="142">
        <f t="shared" si="12"/>
        <v>-3.7739347152148855E-2</v>
      </c>
      <c r="J32" s="142" t="str">
        <f t="shared" si="6"/>
        <v/>
      </c>
      <c r="K32" s="142">
        <f t="shared" si="15"/>
        <v>-1.000000447859712</v>
      </c>
      <c r="L32" s="633">
        <f>L30-L31</f>
        <v>0</v>
      </c>
      <c r="M32" s="142" t="e">
        <f t="shared" si="16"/>
        <v>#DIV/0!</v>
      </c>
      <c r="N32" s="141">
        <f>N30-N31</f>
        <v>3822526.1730382307</v>
      </c>
      <c r="O32" s="142">
        <f t="shared" si="17"/>
        <v>0.2017381381025985</v>
      </c>
      <c r="P32" s="633">
        <f>P30-P31</f>
        <v>-3.5906635464963661</v>
      </c>
      <c r="Q32" s="143">
        <f t="shared" si="18"/>
        <v>-2.3250402914508746E-2</v>
      </c>
      <c r="R32" s="144" t="str">
        <f t="shared" si="8"/>
        <v/>
      </c>
      <c r="S32" s="144">
        <f t="shared" si="9"/>
        <v>-1.00000093934309</v>
      </c>
      <c r="T32" s="115"/>
    </row>
    <row r="33" spans="2:20" ht="15.75" thickBot="1" x14ac:dyDescent="0.3">
      <c r="B33" s="11" t="s">
        <v>109</v>
      </c>
      <c r="C33" s="73" t="s">
        <v>81</v>
      </c>
      <c r="D33" s="141">
        <f>+'VZLA CONS .BL '!D33/'VENEZUELA USD'!$AI$3</f>
        <v>0</v>
      </c>
      <c r="E33" s="142" t="e">
        <f t="shared" si="13"/>
        <v>#DIV/0!</v>
      </c>
      <c r="F33" s="141">
        <f>+'VZLA CONS .BL '!F33/'VENEZUELA USD'!$AI$3</f>
        <v>1819079.6829673694</v>
      </c>
      <c r="G33" s="142">
        <f t="shared" si="14"/>
        <v>0.2584233831188541</v>
      </c>
      <c r="H33" s="141">
        <f>+'VZLA CONS .BL '!H33/'VENEZUELA USD'!$AI$3</f>
        <v>-0.81469250284314632</v>
      </c>
      <c r="I33" s="142">
        <f t="shared" si="12"/>
        <v>-3.7739347152148828E-2</v>
      </c>
      <c r="J33" s="142" t="str">
        <f t="shared" si="6"/>
        <v/>
      </c>
      <c r="K33" s="142">
        <f t="shared" si="15"/>
        <v>-1.000000447859712</v>
      </c>
      <c r="L33" s="141">
        <f>+'VZLA CONS .BL '!L33/'VENEZUELA USD'!$AI$3</f>
        <v>0</v>
      </c>
      <c r="M33" s="142" t="e">
        <f t="shared" si="16"/>
        <v>#DIV/0!</v>
      </c>
      <c r="N33" s="141">
        <f>+'VZLA CONS .BL '!N33/'VENEZUELA USD'!$AI$3</f>
        <v>3822526.1730382321</v>
      </c>
      <c r="O33" s="142">
        <f t="shared" si="17"/>
        <v>0.20173813810259858</v>
      </c>
      <c r="P33" s="141">
        <f>+'VZLA CONS .BL '!P33/'VENEZUELA USD'!$AI$3</f>
        <v>-3.5906635464963523</v>
      </c>
      <c r="Q33" s="143">
        <f t="shared" si="18"/>
        <v>-2.3250402914508656E-2</v>
      </c>
      <c r="R33" s="144" t="str">
        <f t="shared" si="8"/>
        <v/>
      </c>
      <c r="S33" s="144">
        <f t="shared" si="9"/>
        <v>-1.00000093934309</v>
      </c>
      <c r="T33" s="115"/>
    </row>
    <row r="34" spans="2:20" ht="15.75" thickBot="1" x14ac:dyDescent="0.3">
      <c r="C34" s="153" t="s">
        <v>45</v>
      </c>
      <c r="D34" s="158">
        <f>+'VZLA CONS .BL '!D34/'VENEZUELA USD'!$AI$3</f>
        <v>0</v>
      </c>
      <c r="E34" s="155" t="e">
        <f t="shared" si="13"/>
        <v>#DIV/0!</v>
      </c>
      <c r="F34" s="158">
        <f>+'VZLA CONS .BL '!F34/'VENEZUELA USD'!$AI$3</f>
        <v>1103222.9422841396</v>
      </c>
      <c r="G34" s="155">
        <f t="shared" si="14"/>
        <v>0.15672683706429905</v>
      </c>
      <c r="H34" s="158">
        <f>+'VZLA CONS .BL '!H34/'VENEZUELA USD'!$AI$3</f>
        <v>12.233367596885662</v>
      </c>
      <c r="I34" s="155">
        <f t="shared" si="12"/>
        <v>0.56669148785281542</v>
      </c>
      <c r="J34" s="155" t="str">
        <f t="shared" si="6"/>
        <v/>
      </c>
      <c r="K34" s="155">
        <f t="shared" si="15"/>
        <v>-0.99998891124619682</v>
      </c>
      <c r="L34" s="158">
        <f>+'VZLA CONS .BL '!L34/'VENEZUELA USD'!$AI$3</f>
        <v>0</v>
      </c>
      <c r="M34" s="155" t="e">
        <f t="shared" si="16"/>
        <v>#DIV/0!</v>
      </c>
      <c r="N34" s="158">
        <f>+'VZLA CONS .BL '!N34/'VENEZUELA USD'!$AI$3</f>
        <v>4017975.190621993</v>
      </c>
      <c r="O34" s="155">
        <f t="shared" si="17"/>
        <v>0.21205318085611632</v>
      </c>
      <c r="P34" s="158">
        <f>+'VZLA CONS .BL '!P34/'VENEZUELA USD'!$AI$3</f>
        <v>45.123687778846993</v>
      </c>
      <c r="Q34" s="159">
        <f t="shared" si="18"/>
        <v>0.2921866413438825</v>
      </c>
      <c r="R34" s="157" t="str">
        <f t="shared" si="8"/>
        <v/>
      </c>
      <c r="S34" s="157">
        <f t="shared" si="9"/>
        <v>-0.99998876954544558</v>
      </c>
    </row>
    <row r="35" spans="2:20" s="15" customFormat="1" ht="13.5" customHeight="1" x14ac:dyDescent="0.25">
      <c r="D35" s="87">
        <f>+('VZLA BFS'!D27+'VZLA VIT. bls '!D26+'VZLA Otros BLS'!D27)/$AI$3</f>
        <v>0</v>
      </c>
      <c r="F35" s="87">
        <f>+('VZLA BFS'!F27+'VZLA VIT. bls '!F26+'VZLA Otros BLS'!F27)/$AI$3</f>
        <v>1903785.5847038755</v>
      </c>
      <c r="G35" s="87"/>
      <c r="H35" s="87">
        <f>+('VZLA BFS'!H27+'VZLA VIT. bls '!H26+'VZLA Otros BLS'!H27)/$AI$3</f>
        <v>-0.50303997900446207</v>
      </c>
      <c r="I35" s="87"/>
      <c r="J35" s="87"/>
      <c r="K35" s="87"/>
      <c r="L35" s="87">
        <f>+('VZLA BFS'!L27+'VZLA VIT. bls '!L26+'VZLA Otros BLS'!L27)/$AI$3</f>
        <v>0</v>
      </c>
      <c r="M35" s="87"/>
      <c r="N35" s="87">
        <f>+('VZLA BFS'!N27+'VZLA VIT. bls '!N26+'VZLA Otros BLS'!N27)/$AI$3</f>
        <v>4087586.3101872127</v>
      </c>
      <c r="O35" s="87"/>
      <c r="P35" s="87">
        <f>+('VZLA BFS'!P27+'VZLA VIT. bls '!P26+'VZLA Otros BLS'!P27)/$AI$3</f>
        <v>-0.78900577377305603</v>
      </c>
      <c r="Q35" s="87" t="e">
        <f>+('VZLA BFS'!Q27+'VZLA VIT. bls '!Q26+'VZLA Otros BLS'!Q27)/$AI$3</f>
        <v>#DIV/0!</v>
      </c>
      <c r="R35" s="87"/>
      <c r="S35" s="87"/>
    </row>
    <row r="36" spans="2:20" s="15" customFormat="1" x14ac:dyDescent="0.25">
      <c r="C36" s="87"/>
      <c r="D36" s="87">
        <f>+('VZLA BFS'!D28+'VZLA VIT. bls '!D27+'VZLA Otros BLS'!D28)/$AI$3</f>
        <v>0</v>
      </c>
      <c r="F36" s="87">
        <f>+('VZLA BFS'!F28+'VZLA VIT. bls '!F27+'VZLA Otros BLS'!F28)/$AI$3</f>
        <v>0</v>
      </c>
      <c r="G36" s="87"/>
      <c r="H36" s="87">
        <f>+('VZLA BFS'!H28+'VZLA VIT. bls '!H27+'VZLA Otros BLS'!H28)/$AI$3</f>
        <v>0</v>
      </c>
      <c r="I36" s="87"/>
      <c r="J36" s="87"/>
      <c r="K36" s="87"/>
      <c r="L36" s="87">
        <f>+('VZLA BFS'!L28+'VZLA VIT. bls '!L27+'VZLA Otros BLS'!L28)/$AI$3</f>
        <v>0</v>
      </c>
      <c r="M36" s="87"/>
      <c r="N36" s="87">
        <f>+('VZLA BFS'!N28+'VZLA VIT. bls '!N27+'VZLA Otros BLS'!N28)/$AI$3</f>
        <v>0</v>
      </c>
      <c r="O36" s="87"/>
      <c r="P36" s="87">
        <f>+('VZLA BFS'!P28+'VZLA VIT. bls '!P27+'VZLA Otros BLS'!P28)/$AI$3</f>
        <v>0</v>
      </c>
      <c r="Q36" s="87" t="e">
        <f>+('VZLA BFS'!Q28+'VZLA VIT. bls '!Q27+'VZLA Otros BLS'!Q28)/$AI$3</f>
        <v>#DIV/0!</v>
      </c>
      <c r="R36" s="87"/>
      <c r="S36" s="87"/>
    </row>
    <row r="37" spans="2:20" s="15" customFormat="1" x14ac:dyDescent="0.25">
      <c r="C37" s="87"/>
      <c r="D37" s="87">
        <f>+('VZLA BFS'!D29+'VZLA VIT. bls '!D28+'VZLA Otros BLS'!D29)/$AI$3</f>
        <v>0</v>
      </c>
      <c r="F37" s="87">
        <f>+('VZLA BFS'!F29+'VZLA VIT. bls '!F28+'VZLA Otros BLS'!F29)/$AI$3</f>
        <v>84705.901736505984</v>
      </c>
      <c r="G37" s="87"/>
      <c r="H37" s="87">
        <f>+('VZLA BFS'!H29+'VZLA VIT. bls '!H28+'VZLA Otros BLS'!H29)/$AI$3</f>
        <v>0.31165252383868425</v>
      </c>
      <c r="I37" s="87"/>
      <c r="J37" s="87"/>
      <c r="K37" s="87"/>
      <c r="L37" s="87">
        <f>+('VZLA BFS'!L29+'VZLA VIT. bls '!L28+'VZLA Otros BLS'!L29)/$AI$3</f>
        <v>0</v>
      </c>
      <c r="M37" s="87"/>
      <c r="N37" s="87">
        <f>+('VZLA BFS'!N29+'VZLA VIT. bls '!N28+'VZLA Otros BLS'!N29)/$AI$3</f>
        <v>243411.02859548596</v>
      </c>
      <c r="O37" s="87"/>
      <c r="P37" s="87">
        <f>+('VZLA BFS'!P29+'VZLA VIT. bls '!P28+'VZLA Otros BLS'!P29)/$AI$3</f>
        <v>2.8016577727232961</v>
      </c>
      <c r="Q37" s="87" t="e">
        <f>+('VZLA BFS'!Q29+'VZLA VIT. bls '!Q28+'VZLA Otros BLS'!Q29)/$AI$3</f>
        <v>#DIV/0!</v>
      </c>
      <c r="R37" s="87"/>
      <c r="S37" s="87"/>
    </row>
    <row r="38" spans="2:20" s="15" customFormat="1" x14ac:dyDescent="0.25">
      <c r="D38" s="87">
        <f>+('VZLA BFS'!D30+'VZLA VIT. bls '!D29+'VZLA Otros BLS'!D30)/$AI$3</f>
        <v>0</v>
      </c>
      <c r="F38" s="87">
        <f>+('VZLA BFS'!F30+'VZLA VIT. bls '!F29+'VZLA Otros BLS'!F30)/$AI$3</f>
        <v>1819079.6829673694</v>
      </c>
      <c r="G38" s="87"/>
      <c r="H38" s="87">
        <f>+('VZLA BFS'!H30+'VZLA VIT. bls '!H29+'VZLA Otros BLS'!H30)/$AI$3</f>
        <v>-0.81469250284314632</v>
      </c>
      <c r="I38" s="87"/>
      <c r="J38" s="87"/>
      <c r="K38" s="87"/>
      <c r="L38" s="87">
        <f>+('VZLA BFS'!L30+'VZLA VIT. bls '!L29+'VZLA Otros BLS'!L30)/$AI$3</f>
        <v>0</v>
      </c>
      <c r="M38" s="87"/>
      <c r="N38" s="87">
        <f>+('VZLA BFS'!N30+'VZLA VIT. bls '!N29+'VZLA Otros BLS'!N30)/$AI$3</f>
        <v>3844175.2815917269</v>
      </c>
      <c r="O38" s="87"/>
      <c r="P38" s="87">
        <f>+('VZLA BFS'!P30+'VZLA VIT. bls '!P29+'VZLA Otros BLS'!P30)/$AI$3</f>
        <v>-3.5906635464963523</v>
      </c>
      <c r="Q38" s="87" t="e">
        <f>+('VZLA BFS'!Q30+'VZLA VIT. bls '!Q29+'VZLA Otros BLS'!Q30)/$AI$3</f>
        <v>#DIV/0!</v>
      </c>
      <c r="R38" s="87"/>
      <c r="S38" s="87"/>
    </row>
    <row r="39" spans="2:20" s="15" customFormat="1" x14ac:dyDescent="0.25">
      <c r="D39" s="87">
        <f>+('VZLA BFS'!D31+'VZLA VIT. bls '!D30+'VZLA Otros BLS'!D31)/$AI$3</f>
        <v>0</v>
      </c>
      <c r="E39" s="87" t="e">
        <f>+('VZLA BFS'!E31+'VZLA VIT. bls '!E30+'VZLA Otros BLS'!E31)/$AI$3</f>
        <v>#DIV/0!</v>
      </c>
      <c r="F39" s="87">
        <f>+('VZLA BFS'!F31+'VZLA VIT. bls '!F30+'VZLA Otros BLS'!F31)/$AI$3</f>
        <v>0</v>
      </c>
      <c r="G39" s="87"/>
      <c r="H39" s="87">
        <f>+('VZLA BFS'!H31+'VZLA VIT. bls '!H30+'VZLA Otros BLS'!H31)/$AI$3</f>
        <v>0</v>
      </c>
      <c r="I39" s="87"/>
      <c r="J39" s="87"/>
      <c r="K39" s="87"/>
      <c r="L39" s="87">
        <f>+('VZLA BFS'!L31+'VZLA VIT. bls '!L30+'VZLA Otros BLS'!L31)/$AI$3</f>
        <v>0</v>
      </c>
      <c r="M39" s="87" t="e">
        <f>+('VZLA BFS'!M31+'VZLA VIT. bls '!M30+'VZLA Otros BLS'!M31)/$AI$3</f>
        <v>#DIV/0!</v>
      </c>
      <c r="N39" s="87">
        <f>+('VZLA BFS'!N31+'VZLA VIT. bls '!N30+'VZLA Otros BLS'!N31)/$AI$3</f>
        <v>21649.10855349488</v>
      </c>
      <c r="O39" s="87">
        <f>+('VZLA BFS'!O31+'VZLA VIT. bls '!O30+'VZLA Otros BLS'!O31)/$AI$3</f>
        <v>1.2494053086388397E-6</v>
      </c>
      <c r="P39" s="87">
        <f>+('VZLA BFS'!P31+'VZLA VIT. bls '!P30+'VZLA Otros BLS'!P31)/$AI$3</f>
        <v>0</v>
      </c>
      <c r="Q39" s="87" t="e">
        <f>+('VZLA BFS'!Q31+'VZLA VIT. bls '!Q30+'VZLA Otros BLS'!Q31)/$AI$3</f>
        <v>#DIV/0!</v>
      </c>
      <c r="R39" s="87"/>
      <c r="S39" s="87"/>
    </row>
    <row r="40" spans="2:20" s="15" customFormat="1" x14ac:dyDescent="0.25">
      <c r="D40" s="87">
        <f>+('VZLA BFS'!D32+'VZLA VIT. bls '!D31+'VZLA Otros BLS'!D32)/$AI$3</f>
        <v>0</v>
      </c>
      <c r="E40" s="87" t="e">
        <f>+('VZLA BFS'!E32+'VZLA VIT. bls '!E31+'VZLA Otros BLS'!E32)/$AI$3</f>
        <v>#DIV/0!</v>
      </c>
      <c r="F40" s="87">
        <f>+('VZLA BFS'!F32+'VZLA VIT. bls '!F31+'VZLA Otros BLS'!F32)/$AI$3</f>
        <v>1819079.6829673694</v>
      </c>
      <c r="G40" s="87"/>
      <c r="H40" s="87">
        <f>+('VZLA BFS'!H32+'VZLA VIT. bls '!H31+'VZLA Otros BLS'!H32)/$AI$3</f>
        <v>-0.81469250284314632</v>
      </c>
      <c r="I40" s="87"/>
      <c r="J40" s="87"/>
      <c r="K40" s="87"/>
      <c r="L40" s="87">
        <f>+('VZLA BFS'!L32+'VZLA VIT. bls '!L31+'VZLA Otros BLS'!L32)/$AI$3</f>
        <v>0</v>
      </c>
      <c r="M40" s="87" t="e">
        <f>+('VZLA BFS'!M32+'VZLA VIT. bls '!M31+'VZLA Otros BLS'!M32)/$AI$3</f>
        <v>#DIV/0!</v>
      </c>
      <c r="N40" s="87">
        <f>+('VZLA BFS'!N32+'VZLA VIT. bls '!N31+'VZLA Otros BLS'!N32)/$AI$3</f>
        <v>3822526.1730382321</v>
      </c>
      <c r="O40" s="87"/>
      <c r="P40" s="87">
        <f>+('VZLA BFS'!P32+'VZLA VIT. bls '!P31+'VZLA Otros BLS'!P32)/$AI$3</f>
        <v>-3.5906635464963523</v>
      </c>
      <c r="Q40" s="87" t="e">
        <f>+('VZLA BFS'!Q32+'VZLA VIT. bls '!Q31+'VZLA Otros BLS'!Q32)/$AI$3</f>
        <v>#DIV/0!</v>
      </c>
      <c r="R40" s="87"/>
      <c r="S40" s="87"/>
    </row>
    <row r="41" spans="2:20" s="15" customFormat="1" x14ac:dyDescent="0.25">
      <c r="D41" s="87">
        <f>+('VZLA BFS'!D33+'VZLA VIT. bls '!D32+'VZLA Otros BLS'!D33)/$AI$3</f>
        <v>0</v>
      </c>
      <c r="F41" s="87">
        <f>+('VZLA BFS'!F33+'VZLA VIT. bls '!F32+'VZLA Otros BLS'!F33)/$AI$3</f>
        <v>1819079.6829673694</v>
      </c>
      <c r="G41" s="87"/>
      <c r="H41" s="87">
        <f>+('VZLA BFS'!H33+'VZLA VIT. bls '!H32+'VZLA Otros BLS'!H33)/$AI$3</f>
        <v>-0.81469250284314632</v>
      </c>
      <c r="I41" s="87"/>
      <c r="J41" s="87"/>
      <c r="K41" s="87"/>
      <c r="L41" s="87">
        <f>+('VZLA BFS'!L33+'VZLA VIT. bls '!L32+'VZLA Otros BLS'!L33)/$AI$3</f>
        <v>0</v>
      </c>
      <c r="M41" s="87"/>
      <c r="N41" s="87">
        <f>+('VZLA BFS'!N33+'VZLA VIT. bls '!N32+'VZLA Otros BLS'!N33)/$AI$3</f>
        <v>3822526.1730382321</v>
      </c>
      <c r="O41" s="87"/>
      <c r="P41" s="87">
        <f>+('VZLA BFS'!P33+'VZLA VIT. bls '!P32+'VZLA Otros BLS'!P33)/$AI$3</f>
        <v>-3.5906635464963523</v>
      </c>
      <c r="Q41" s="87" t="e">
        <f>+('VZLA BFS'!Q33+'VZLA VIT. bls '!Q32+'VZLA Otros BLS'!Q33)/$AI$3</f>
        <v>#DIV/0!</v>
      </c>
      <c r="R41" s="87"/>
      <c r="S41" s="87"/>
    </row>
    <row r="42" spans="2:20" s="15" customFormat="1" x14ac:dyDescent="0.25">
      <c r="D42" s="87">
        <f>+('VZLA BFS'!D34+'VZLA VIT. bls '!D33+'VZLA Otros BLS'!D34)/$AI$3</f>
        <v>0</v>
      </c>
      <c r="F42" s="87">
        <f>+('VZLA BFS'!F34+'VZLA VIT. bls '!F33+'VZLA Otros BLS'!F34)/$AI$3</f>
        <v>1103222.9422841396</v>
      </c>
      <c r="H42" s="87">
        <f>+('VZLA BFS'!H34+'VZLA VIT. bls '!H33+'VZLA Otros BLS'!H34)/$AI$3</f>
        <v>12.233367596885662</v>
      </c>
      <c r="N42" s="87">
        <f>+('VZLA BFS'!N34+'VZLA VIT. bls '!N33+'VZLA Otros BLS'!N34)/$AI$3</f>
        <v>4017975.190621993</v>
      </c>
      <c r="P42" s="87">
        <f>+('VZLA BFS'!P34+'VZLA VIT. bls '!P33+'VZLA Otros BLS'!P34)/$AI$3</f>
        <v>45.123687778846993</v>
      </c>
    </row>
    <row r="43" spans="2:20" s="15" customFormat="1" x14ac:dyDescent="0.25">
      <c r="B43" s="15" t="s">
        <v>82</v>
      </c>
    </row>
    <row r="44" spans="2:20" x14ac:dyDescent="0.25">
      <c r="D44" s="303"/>
      <c r="E44" s="303"/>
      <c r="G44" s="303"/>
      <c r="H44" s="303"/>
      <c r="I44" s="303"/>
      <c r="J44" s="303"/>
      <c r="K44" s="303"/>
      <c r="L44" s="303"/>
      <c r="M44" s="303"/>
      <c r="O44" s="303"/>
    </row>
    <row r="45" spans="2:20" x14ac:dyDescent="0.25">
      <c r="F45" s="303"/>
      <c r="N45" s="303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horizontalDpi="0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4C8A2-5354-4FDA-B7E7-767AE7193910}">
  <sheetPr>
    <tabColor rgb="FFFF0000"/>
  </sheetPr>
  <dimension ref="A1:AK45"/>
  <sheetViews>
    <sheetView topLeftCell="A3" zoomScale="84" zoomScaleNormal="84" workbookViewId="0">
      <selection activeCell="F9" sqref="F9"/>
    </sheetView>
  </sheetViews>
  <sheetFormatPr baseColWidth="10" defaultRowHeight="15" x14ac:dyDescent="0.25"/>
  <cols>
    <col min="1" max="1" width="11.42578125" style="10" customWidth="1"/>
    <col min="2" max="2" width="14.28515625" style="10" customWidth="1"/>
    <col min="3" max="3" width="36.140625" style="10" customWidth="1"/>
    <col min="4" max="4" width="11.140625" style="10" customWidth="1"/>
    <col min="5" max="5" width="7.5703125" style="10" hidden="1" customWidth="1"/>
    <col min="6" max="6" width="11" style="10" customWidth="1"/>
    <col min="7" max="7" width="5.42578125" style="10" hidden="1" customWidth="1"/>
    <col min="8" max="8" width="10.85546875" style="10" customWidth="1"/>
    <col min="9" max="9" width="6" style="10" hidden="1" customWidth="1"/>
    <col min="10" max="10" width="6.85546875" style="10" customWidth="1"/>
    <col min="11" max="11" width="6.5703125" style="10" customWidth="1"/>
    <col min="12" max="12" width="10.42578125" style="10" customWidth="1"/>
    <col min="13" max="13" width="5.42578125" style="10" hidden="1" customWidth="1"/>
    <col min="14" max="14" width="9.28515625" style="10" customWidth="1"/>
    <col min="15" max="15" width="2.85546875" style="10" hidden="1" customWidth="1"/>
    <col min="16" max="16" width="11.5703125" style="10" customWidth="1"/>
    <col min="17" max="17" width="5.28515625" style="10" hidden="1" customWidth="1"/>
    <col min="18" max="18" width="6.85546875" style="10" customWidth="1"/>
    <col min="19" max="19" width="8.140625" style="10" customWidth="1"/>
    <col min="20" max="20" width="10.5703125" style="15" customWidth="1"/>
    <col min="21" max="21" width="9" style="15" bestFit="1" customWidth="1"/>
    <col min="22" max="22" width="11.42578125" style="15" customWidth="1"/>
    <col min="23" max="23" width="34.140625" style="10" customWidth="1"/>
    <col min="24" max="24" width="9.7109375" style="10" customWidth="1"/>
    <col min="25" max="25" width="9.7109375" style="181" customWidth="1"/>
    <col min="26" max="27" width="9.7109375" style="10" customWidth="1"/>
    <col min="28" max="28" width="9.7109375" style="181" customWidth="1"/>
    <col min="29" max="30" width="9.7109375" style="10" customWidth="1"/>
    <col min="31" max="31" width="6.5703125" style="10" customWidth="1"/>
    <col min="32" max="32" width="6.42578125" style="10" customWidth="1"/>
    <col min="33" max="36" width="11.42578125" style="15"/>
    <col min="37" max="16384" width="11.42578125" style="10"/>
  </cols>
  <sheetData>
    <row r="1" spans="1:37" s="4" customFormat="1" ht="30" hidden="1" x14ac:dyDescent="0.25">
      <c r="D1" s="4" t="s">
        <v>1</v>
      </c>
      <c r="F1" s="4" t="s">
        <v>2</v>
      </c>
      <c r="H1" s="4" t="s">
        <v>3</v>
      </c>
      <c r="L1" s="4" t="s">
        <v>5</v>
      </c>
      <c r="N1" s="4" t="s">
        <v>6</v>
      </c>
      <c r="P1" s="4" t="s">
        <v>7</v>
      </c>
      <c r="T1" s="8" t="s">
        <v>5</v>
      </c>
      <c r="U1" s="8" t="s">
        <v>6</v>
      </c>
      <c r="V1" s="8" t="s">
        <v>7</v>
      </c>
      <c r="Y1" s="180"/>
      <c r="AB1" s="180"/>
      <c r="AG1" s="8"/>
      <c r="AH1" s="8"/>
      <c r="AI1" s="8"/>
      <c r="AJ1" s="8"/>
    </row>
    <row r="2" spans="1:37" ht="30" hidden="1" x14ac:dyDescent="0.2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T2" s="15" t="s">
        <v>10</v>
      </c>
      <c r="U2" s="15" t="s">
        <v>83</v>
      </c>
      <c r="V2" s="15">
        <v>201301</v>
      </c>
    </row>
    <row r="3" spans="1:37" ht="19.5" thickBot="1" x14ac:dyDescent="0.35">
      <c r="A3" s="10">
        <f>+'COLOMB$ '!A3</f>
        <v>202101</v>
      </c>
      <c r="B3" s="10">
        <f>+'COLOMB$ '!B3</f>
        <v>202201</v>
      </c>
      <c r="C3" s="17" t="s">
        <v>179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9" t="str">
        <f>+C3</f>
        <v>MUSICAR PANAMA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7" ht="19.5" thickBot="1" x14ac:dyDescent="0.35">
      <c r="A4" s="10">
        <f>+'COLOMB$ '!A4</f>
        <v>202105</v>
      </c>
      <c r="B4" s="10">
        <f>+'COLOMB$ '!B4</f>
        <v>202205</v>
      </c>
      <c r="C4" s="21"/>
      <c r="D4" s="182">
        <f>+'COLOMB$ 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T4" s="10" t="s">
        <v>12</v>
      </c>
      <c r="U4" s="10"/>
      <c r="V4" s="10"/>
      <c r="W4" s="14"/>
      <c r="X4" s="201" t="str">
        <f>+'COLOMBIA USD'!X4:Z4</f>
        <v>MAYO</v>
      </c>
      <c r="Y4" s="202"/>
      <c r="Z4" s="202"/>
      <c r="AA4" s="614" t="str">
        <f>+'COLOMBIA USD'!AA4:AC4</f>
        <v>ACUM  MAYO</v>
      </c>
      <c r="AB4" s="615"/>
      <c r="AC4" s="616"/>
      <c r="AD4" s="10" t="s">
        <v>23</v>
      </c>
      <c r="AE4" s="10" t="s">
        <v>19</v>
      </c>
      <c r="AF4" s="10" t="s">
        <v>20</v>
      </c>
      <c r="AJ4" s="20"/>
    </row>
    <row r="5" spans="1:37" ht="15.75" thickBot="1" x14ac:dyDescent="0.3">
      <c r="A5" s="181"/>
      <c r="B5" s="181"/>
      <c r="C5" s="36" t="s">
        <v>111</v>
      </c>
      <c r="D5" s="452" t="str">
        <f>+'COLOMB$ '!D5:E5</f>
        <v>Ppto 2022</v>
      </c>
      <c r="E5" s="453"/>
      <c r="F5" s="452" t="str">
        <f>+'COLOMB$ '!F5:G5</f>
        <v>Real 2021</v>
      </c>
      <c r="G5" s="453"/>
      <c r="H5" s="452" t="str">
        <f>+'COLOMB$ '!H5:I5</f>
        <v>real 2022</v>
      </c>
      <c r="I5" s="453"/>
      <c r="J5" s="39" t="s">
        <v>19</v>
      </c>
      <c r="K5" s="40" t="s">
        <v>20</v>
      </c>
      <c r="L5" s="184" t="str">
        <f>+D5</f>
        <v>Ppto 2022</v>
      </c>
      <c r="M5" s="206"/>
      <c r="N5" s="184" t="str">
        <f>+F5</f>
        <v>Real 2021</v>
      </c>
      <c r="O5" s="206"/>
      <c r="P5" s="452" t="str">
        <f>+H5</f>
        <v>real 2022</v>
      </c>
      <c r="Q5" s="452"/>
      <c r="R5" s="39" t="s">
        <v>19</v>
      </c>
      <c r="S5" s="635" t="s">
        <v>20</v>
      </c>
      <c r="T5" s="636" t="s">
        <v>128</v>
      </c>
      <c r="U5" s="637" t="s">
        <v>129</v>
      </c>
      <c r="V5" s="637" t="s">
        <v>130</v>
      </c>
      <c r="W5" s="208" t="s">
        <v>111</v>
      </c>
      <c r="X5" s="43" t="str">
        <f>+D5</f>
        <v>Ppto 2022</v>
      </c>
      <c r="Y5" s="43" t="str">
        <f>+F5</f>
        <v>Real 2021</v>
      </c>
      <c r="Z5" s="210" t="str">
        <f>+P5</f>
        <v>real 2022</v>
      </c>
      <c r="AA5" s="619" t="str">
        <f>+'VZLA CONS .BL '!AA5</f>
        <v>Ppto 2022</v>
      </c>
      <c r="AB5" s="43" t="str">
        <f>+Y5</f>
        <v>Real 2021</v>
      </c>
      <c r="AC5" s="620" t="str">
        <f>+'VZLA CONS .BL '!AC5</f>
        <v>real 2022</v>
      </c>
      <c r="AD5" s="47" t="s">
        <v>23</v>
      </c>
      <c r="AE5" s="47" t="s">
        <v>19</v>
      </c>
      <c r="AF5" s="47" t="s">
        <v>20</v>
      </c>
      <c r="AG5" s="15" t="s">
        <v>180</v>
      </c>
      <c r="AH5" s="15" t="s">
        <v>181</v>
      </c>
      <c r="AI5" s="15" t="s">
        <v>182</v>
      </c>
    </row>
    <row r="6" spans="1:37" ht="15.75" thickBot="1" x14ac:dyDescent="0.3">
      <c r="A6" s="181"/>
      <c r="B6" s="181"/>
      <c r="C6" s="50" t="s">
        <v>25</v>
      </c>
      <c r="D6" s="51" t="s">
        <v>26</v>
      </c>
      <c r="E6" s="52" t="s">
        <v>27</v>
      </c>
      <c r="F6" s="51" t="s">
        <v>26</v>
      </c>
      <c r="G6" s="638" t="s">
        <v>27</v>
      </c>
      <c r="H6" s="639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51" t="s">
        <v>26</v>
      </c>
      <c r="O6" s="52" t="s">
        <v>27</v>
      </c>
      <c r="P6" s="51" t="s">
        <v>26</v>
      </c>
      <c r="Q6" s="54" t="s">
        <v>27</v>
      </c>
      <c r="R6" s="55" t="s">
        <v>28</v>
      </c>
      <c r="S6" s="54" t="s">
        <v>28</v>
      </c>
      <c r="T6" s="636" t="s">
        <v>26</v>
      </c>
      <c r="U6" s="640" t="s">
        <v>26</v>
      </c>
      <c r="V6" s="640" t="s">
        <v>26</v>
      </c>
      <c r="W6" s="57" t="str">
        <f>+'COLOMB$ '!W6</f>
        <v xml:space="preserve">Flujo de Caja </v>
      </c>
      <c r="X6" s="58"/>
      <c r="Y6" s="58"/>
      <c r="Z6" s="59"/>
      <c r="AA6" s="347" t="str">
        <f>+'VZLA CONS .BL '!AA6</f>
        <v>ACUM</v>
      </c>
      <c r="AB6" s="253"/>
      <c r="AC6" s="348"/>
      <c r="AD6" s="62" t="s">
        <v>30</v>
      </c>
      <c r="AE6" s="63" t="s">
        <v>28</v>
      </c>
      <c r="AF6" s="349" t="s">
        <v>28</v>
      </c>
      <c r="AG6" s="15" t="s">
        <v>30</v>
      </c>
      <c r="AJ6" s="10"/>
      <c r="AK6" s="20"/>
    </row>
    <row r="7" spans="1:37" ht="15.75" thickBot="1" x14ac:dyDescent="0.3">
      <c r="A7" s="181"/>
      <c r="B7" s="181"/>
      <c r="C7" s="65" t="str">
        <f>+'VENEZUELA USD'!C7</f>
        <v>Fact. Musical Experience  (Ambiental)</v>
      </c>
      <c r="D7" s="66"/>
      <c r="E7" s="102" t="e">
        <f t="shared" ref="E7:E12" si="0">+D7/$D$17</f>
        <v>#DIV/0!</v>
      </c>
      <c r="F7" s="66"/>
      <c r="G7" s="641" t="e">
        <f t="shared" ref="G7:G12" si="1">+F7/$F$17</f>
        <v>#DIV/0!</v>
      </c>
      <c r="H7" s="642"/>
      <c r="I7" s="350" t="e">
        <f t="shared" ref="I7:I12" si="2">+H7/$H$17</f>
        <v>#DIV/0!</v>
      </c>
      <c r="J7" s="643" t="str">
        <f>IF(D7=0,"",(H7-D7)/ABS(D7)+1)</f>
        <v/>
      </c>
      <c r="K7" s="643" t="str">
        <f>IF(F7=0,"",(H7-F7)/ABS(F7))</f>
        <v/>
      </c>
      <c r="L7" s="98">
        <f>+T7+D7</f>
        <v>0</v>
      </c>
      <c r="M7" s="102" t="e">
        <f t="shared" ref="M7:M12" si="3">+L7/$L$17</f>
        <v>#DIV/0!</v>
      </c>
      <c r="N7" s="98"/>
      <c r="O7" s="102" t="e">
        <f t="shared" ref="O7:O12" si="4">+N7/$N$17</f>
        <v>#DIV/0!</v>
      </c>
      <c r="P7" s="66">
        <f>+V7+H7</f>
        <v>0</v>
      </c>
      <c r="Q7" s="102" t="e">
        <f t="shared" ref="Q7:Q12" si="5">+P7/$P$17</f>
        <v>#DIV/0!</v>
      </c>
      <c r="R7" s="351" t="str">
        <f>IF(L7=0,"",(P7-L7)/ABS(L7)+1)</f>
        <v/>
      </c>
      <c r="S7" s="644" t="str">
        <f>IF(N7=0,"",(P7-N7)/ABS(N7))</f>
        <v/>
      </c>
      <c r="T7" s="173">
        <v>0</v>
      </c>
      <c r="U7" s="173"/>
      <c r="V7" s="645">
        <v>0</v>
      </c>
      <c r="W7" s="73" t="s">
        <v>34</v>
      </c>
      <c r="X7" s="75">
        <f>+Z7</f>
        <v>0</v>
      </c>
      <c r="Y7" s="75">
        <v>8811.7900000000009</v>
      </c>
      <c r="Z7" s="74">
        <v>0</v>
      </c>
      <c r="AA7" s="75">
        <f>+AC7</f>
        <v>6929</v>
      </c>
      <c r="AB7" s="75">
        <v>9874.7900000000009</v>
      </c>
      <c r="AC7" s="74">
        <v>6929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-0.29831419199800713</v>
      </c>
      <c r="AG7" s="10">
        <v>10517.62</v>
      </c>
      <c r="AH7" s="173">
        <v>76979.679999999993</v>
      </c>
      <c r="AI7" s="646">
        <v>10517.62</v>
      </c>
      <c r="AJ7" s="10"/>
      <c r="AK7" s="20"/>
    </row>
    <row r="8" spans="1:37" x14ac:dyDescent="0.25">
      <c r="A8" s="181"/>
      <c r="B8" s="181"/>
      <c r="C8" s="65" t="str">
        <f>+'VENEZUELA USD'!C8</f>
        <v>Instalaciones</v>
      </c>
      <c r="D8" s="66">
        <v>0</v>
      </c>
      <c r="E8" s="102" t="e">
        <f t="shared" si="0"/>
        <v>#DIV/0!</v>
      </c>
      <c r="F8" s="66">
        <v>0</v>
      </c>
      <c r="G8" s="641" t="e">
        <f t="shared" si="1"/>
        <v>#DIV/0!</v>
      </c>
      <c r="H8" s="647">
        <v>0</v>
      </c>
      <c r="I8" s="350" t="e">
        <f t="shared" si="2"/>
        <v>#DIV/0!</v>
      </c>
      <c r="J8" s="351" t="str">
        <f t="shared" ref="J8:J34" si="6">IF(D8=0,"",(H8-D8)/ABS(D8)+1)</f>
        <v/>
      </c>
      <c r="K8" s="351" t="str">
        <f t="shared" ref="K8:K34" si="7">IF(F8=0,"",(H8-F8)/ABS(F8))</f>
        <v/>
      </c>
      <c r="L8" s="98">
        <v>0</v>
      </c>
      <c r="M8" s="102" t="e">
        <f t="shared" si="3"/>
        <v>#DIV/0!</v>
      </c>
      <c r="N8" s="98">
        <v>0</v>
      </c>
      <c r="O8" s="102" t="e">
        <f t="shared" si="4"/>
        <v>#DIV/0!</v>
      </c>
      <c r="P8" s="66">
        <v>0</v>
      </c>
      <c r="Q8" s="102" t="e">
        <f t="shared" si="5"/>
        <v>#DIV/0!</v>
      </c>
      <c r="R8" s="351" t="str">
        <f t="shared" ref="R8:R34" si="8">IF(L8=0,"",(P8-L8)/ABS(L8)+1)</f>
        <v/>
      </c>
      <c r="S8" s="644" t="str">
        <f t="shared" ref="S8:S34" si="9">IF(N8=0,"",(P8-N8)/ABS(N8))</f>
        <v/>
      </c>
      <c r="T8" s="173">
        <v>0</v>
      </c>
      <c r="U8" s="173">
        <v>0</v>
      </c>
      <c r="V8" s="645">
        <v>0</v>
      </c>
      <c r="W8" s="81" t="s">
        <v>37</v>
      </c>
      <c r="X8" s="83">
        <f>+Z8</f>
        <v>0</v>
      </c>
      <c r="Y8" s="82">
        <v>0</v>
      </c>
      <c r="Z8" s="83">
        <v>0</v>
      </c>
      <c r="AA8" s="358">
        <f>+AC8</f>
        <v>0</v>
      </c>
      <c r="AB8" s="358">
        <v>47375</v>
      </c>
      <c r="AC8" s="83">
        <v>0</v>
      </c>
      <c r="AD8" s="85">
        <f>+AC8-AA8</f>
        <v>0</v>
      </c>
      <c r="AE8" s="86" t="str">
        <f>IF(AA8=0,"",(AC8-AA8)/ABS(AA8)+1)</f>
        <v/>
      </c>
      <c r="AF8" s="86">
        <f>IF(AB8=0,"",(AC8-AB8)/ABS(AB8))</f>
        <v>-1</v>
      </c>
      <c r="AG8" s="648">
        <v>34728.720000000001</v>
      </c>
      <c r="AH8" s="648">
        <v>11024.5</v>
      </c>
      <c r="AI8" s="648">
        <v>34728.720000000001</v>
      </c>
      <c r="AJ8" s="10"/>
      <c r="AK8" s="140"/>
    </row>
    <row r="9" spans="1:37" x14ac:dyDescent="0.25">
      <c r="A9" s="181"/>
      <c r="B9" s="181"/>
      <c r="C9" s="65" t="str">
        <f>+'VENEZUELA USD'!C9</f>
        <v>Publihold- Audicom</v>
      </c>
      <c r="D9" s="66">
        <v>0</v>
      </c>
      <c r="E9" s="102" t="e">
        <f t="shared" si="0"/>
        <v>#DIV/0!</v>
      </c>
      <c r="F9" s="66">
        <v>0</v>
      </c>
      <c r="G9" s="641" t="e">
        <f t="shared" si="1"/>
        <v>#DIV/0!</v>
      </c>
      <c r="H9" s="647">
        <v>0</v>
      </c>
      <c r="I9" s="350" t="e">
        <f t="shared" si="2"/>
        <v>#DIV/0!</v>
      </c>
      <c r="J9" s="351" t="str">
        <f t="shared" si="6"/>
        <v/>
      </c>
      <c r="K9" s="351" t="str">
        <f t="shared" si="7"/>
        <v/>
      </c>
      <c r="L9" s="98">
        <v>0</v>
      </c>
      <c r="M9" s="102" t="e">
        <f t="shared" si="3"/>
        <v>#DIV/0!</v>
      </c>
      <c r="N9" s="98">
        <v>0</v>
      </c>
      <c r="O9" s="102" t="e">
        <f t="shared" si="4"/>
        <v>#DIV/0!</v>
      </c>
      <c r="P9" s="66">
        <v>0</v>
      </c>
      <c r="Q9" s="102" t="e">
        <f t="shared" si="5"/>
        <v>#DIV/0!</v>
      </c>
      <c r="R9" s="351" t="str">
        <f t="shared" si="8"/>
        <v/>
      </c>
      <c r="S9" s="644" t="str">
        <f t="shared" si="9"/>
        <v/>
      </c>
      <c r="T9" s="173">
        <v>0</v>
      </c>
      <c r="U9" s="173">
        <v>0</v>
      </c>
      <c r="V9" s="645">
        <v>0</v>
      </c>
      <c r="W9" s="81" t="s">
        <v>40</v>
      </c>
      <c r="X9" s="82">
        <v>0</v>
      </c>
      <c r="Y9" s="82">
        <v>0</v>
      </c>
      <c r="Z9" s="83">
        <v>0</v>
      </c>
      <c r="AA9" s="358"/>
      <c r="AB9" s="358"/>
      <c r="AC9" s="359"/>
      <c r="AD9" s="85">
        <f>+AA9-AC9</f>
        <v>0</v>
      </c>
      <c r="AE9" s="649" t="str">
        <f>IF(AA9=0,"",(AC9-AA9)/ABS(AA9)+1)</f>
        <v/>
      </c>
      <c r="AF9" s="649" t="str">
        <f t="shared" ref="AF9:AF21" si="10">IF(AB9=0,"",(AC9-AB9)/ABS(AB9))</f>
        <v/>
      </c>
      <c r="AG9" s="10"/>
      <c r="AH9" s="220"/>
      <c r="AI9" s="220"/>
      <c r="AJ9" s="10"/>
      <c r="AK9" s="20"/>
    </row>
    <row r="10" spans="1:37" x14ac:dyDescent="0.25">
      <c r="A10" s="181"/>
      <c r="B10" s="181"/>
      <c r="C10" s="65" t="str">
        <f>+'VENEZUELA USD'!C10</f>
        <v>Soluciones para Redes de Audio</v>
      </c>
      <c r="D10" s="66">
        <v>0</v>
      </c>
      <c r="E10" s="102" t="e">
        <f t="shared" si="0"/>
        <v>#DIV/0!</v>
      </c>
      <c r="F10" s="66">
        <v>0</v>
      </c>
      <c r="G10" s="641" t="e">
        <f t="shared" si="1"/>
        <v>#DIV/0!</v>
      </c>
      <c r="H10" s="647">
        <v>0</v>
      </c>
      <c r="I10" s="350" t="e">
        <f t="shared" si="2"/>
        <v>#DIV/0!</v>
      </c>
      <c r="J10" s="351" t="str">
        <f>IF(D10=0,"",(H10-D10)/ABS(D10)+1)</f>
        <v/>
      </c>
      <c r="K10" s="351" t="str">
        <f>IF(F10=0,"",(H10-F10)/ABS(F10))</f>
        <v/>
      </c>
      <c r="L10" s="98">
        <v>0</v>
      </c>
      <c r="M10" s="102" t="e">
        <f t="shared" si="3"/>
        <v>#DIV/0!</v>
      </c>
      <c r="N10" s="98"/>
      <c r="O10" s="102" t="e">
        <f t="shared" si="4"/>
        <v>#DIV/0!</v>
      </c>
      <c r="P10" s="66">
        <v>0</v>
      </c>
      <c r="Q10" s="102" t="e">
        <f t="shared" si="5"/>
        <v>#DIV/0!</v>
      </c>
      <c r="R10" s="351" t="str">
        <f>IF(L10=0,"",(P10-L10)/ABS(L10)+1)</f>
        <v/>
      </c>
      <c r="S10" s="644" t="str">
        <f>IF(N10=0,"",(P10-N10)/ABS(N10))</f>
        <v/>
      </c>
      <c r="T10" s="173">
        <v>0</v>
      </c>
      <c r="U10" s="173"/>
      <c r="V10" s="650">
        <v>0</v>
      </c>
      <c r="W10" s="81" t="s">
        <v>43</v>
      </c>
      <c r="X10" s="82">
        <v>0</v>
      </c>
      <c r="Y10" s="82">
        <v>0</v>
      </c>
      <c r="Z10" s="83">
        <v>0</v>
      </c>
      <c r="AA10" s="358"/>
      <c r="AB10" s="358"/>
      <c r="AC10" s="359"/>
      <c r="AD10" s="85">
        <f>+AA10-AC10</f>
        <v>0</v>
      </c>
      <c r="AE10" s="649" t="str">
        <f t="shared" ref="AE10:AE21" si="11">IF(AA10=0,"",(AC10-AA10)/ABS(AA10)+1)</f>
        <v/>
      </c>
      <c r="AF10" s="649" t="str">
        <f t="shared" si="10"/>
        <v/>
      </c>
      <c r="AG10" s="10"/>
      <c r="AH10" s="220"/>
      <c r="AI10" s="220"/>
      <c r="AJ10" s="10"/>
      <c r="AK10" s="20"/>
    </row>
    <row r="11" spans="1:37" x14ac:dyDescent="0.25">
      <c r="A11" s="181"/>
      <c r="B11" s="181"/>
      <c r="C11" s="65" t="str">
        <f>+'VENEZUELA USD'!C11</f>
        <v>POP Satelital</v>
      </c>
      <c r="D11" s="66">
        <v>0</v>
      </c>
      <c r="E11" s="102" t="e">
        <f t="shared" si="0"/>
        <v>#DIV/0!</v>
      </c>
      <c r="F11" s="66">
        <v>0</v>
      </c>
      <c r="G11" s="641" t="e">
        <f t="shared" si="1"/>
        <v>#DIV/0!</v>
      </c>
      <c r="H11" s="647">
        <v>0</v>
      </c>
      <c r="I11" s="350" t="e">
        <f t="shared" si="2"/>
        <v>#DIV/0!</v>
      </c>
      <c r="J11" s="351" t="str">
        <f>IF(D11=0,"",(H11-D11)/ABS(D11)+1)</f>
        <v/>
      </c>
      <c r="K11" s="351" t="str">
        <f>IF(F11=0,"",(H11-F11)/ABS(F11))</f>
        <v/>
      </c>
      <c r="L11" s="98">
        <v>0</v>
      </c>
      <c r="M11" s="102" t="e">
        <f t="shared" si="3"/>
        <v>#DIV/0!</v>
      </c>
      <c r="N11" s="98">
        <v>0</v>
      </c>
      <c r="O11" s="102" t="e">
        <f t="shared" si="4"/>
        <v>#DIV/0!</v>
      </c>
      <c r="P11" s="66">
        <v>0</v>
      </c>
      <c r="Q11" s="102" t="e">
        <f t="shared" si="5"/>
        <v>#DIV/0!</v>
      </c>
      <c r="R11" s="351" t="str">
        <f>IF(L11=0,"",(P11-L11)/ABS(L11)+1)</f>
        <v/>
      </c>
      <c r="S11" s="644" t="str">
        <f>IF(N11=0,"",(P11-N11)/ABS(N11))</f>
        <v/>
      </c>
      <c r="T11" s="173">
        <v>0</v>
      </c>
      <c r="U11" s="173">
        <v>0</v>
      </c>
      <c r="V11" s="650">
        <v>0</v>
      </c>
      <c r="W11" s="81" t="s">
        <v>45</v>
      </c>
      <c r="X11" s="82"/>
      <c r="Y11" s="82">
        <v>0</v>
      </c>
      <c r="Z11" s="83">
        <v>0</v>
      </c>
      <c r="AA11" s="358"/>
      <c r="AB11" s="358"/>
      <c r="AC11" s="359"/>
      <c r="AD11" s="85">
        <f>+AA11-AC11</f>
        <v>0</v>
      </c>
      <c r="AE11" s="649" t="str">
        <f t="shared" si="11"/>
        <v/>
      </c>
      <c r="AF11" s="649" t="str">
        <f t="shared" si="10"/>
        <v/>
      </c>
      <c r="AG11" s="10"/>
      <c r="AH11" s="220"/>
      <c r="AI11" s="220"/>
      <c r="AJ11" s="10"/>
      <c r="AK11" s="20"/>
    </row>
    <row r="12" spans="1:37" x14ac:dyDescent="0.25">
      <c r="A12" s="181"/>
      <c r="B12" s="651"/>
      <c r="C12" s="65" t="str">
        <f>+'VENEZUELA USD'!C12</f>
        <v>Lineas Nuevas</v>
      </c>
      <c r="D12" s="66">
        <v>0</v>
      </c>
      <c r="E12" s="102" t="e">
        <f t="shared" si="0"/>
        <v>#DIV/0!</v>
      </c>
      <c r="F12" s="66">
        <v>0</v>
      </c>
      <c r="G12" s="641" t="e">
        <f t="shared" si="1"/>
        <v>#DIV/0!</v>
      </c>
      <c r="H12" s="647">
        <v>0</v>
      </c>
      <c r="I12" s="350" t="e">
        <f t="shared" si="2"/>
        <v>#DIV/0!</v>
      </c>
      <c r="J12" s="351" t="str">
        <f t="shared" si="6"/>
        <v/>
      </c>
      <c r="K12" s="351" t="str">
        <f t="shared" si="7"/>
        <v/>
      </c>
      <c r="L12" s="98">
        <v>0</v>
      </c>
      <c r="M12" s="102" t="e">
        <f t="shared" si="3"/>
        <v>#DIV/0!</v>
      </c>
      <c r="N12" s="98">
        <v>0</v>
      </c>
      <c r="O12" s="102" t="e">
        <f t="shared" si="4"/>
        <v>#DIV/0!</v>
      </c>
      <c r="P12" s="66">
        <v>0</v>
      </c>
      <c r="Q12" s="102" t="e">
        <f t="shared" si="5"/>
        <v>#DIV/0!</v>
      </c>
      <c r="R12" s="351" t="str">
        <f>IF(L12=0,"",(P12-L12)/ABS(L12)+1)</f>
        <v/>
      </c>
      <c r="S12" s="644" t="str">
        <f t="shared" si="9"/>
        <v/>
      </c>
      <c r="T12" s="173">
        <v>0</v>
      </c>
      <c r="U12" s="173">
        <v>0</v>
      </c>
      <c r="V12" s="645">
        <v>0</v>
      </c>
      <c r="W12" s="81" t="s">
        <v>48</v>
      </c>
      <c r="X12" s="82">
        <f>+Z12</f>
        <v>0</v>
      </c>
      <c r="Y12" s="82">
        <v>1934</v>
      </c>
      <c r="Z12" s="83">
        <v>0</v>
      </c>
      <c r="AA12" s="358">
        <f>+AC12</f>
        <v>3845</v>
      </c>
      <c r="AB12" s="358">
        <v>4372</v>
      </c>
      <c r="AC12" s="83">
        <v>3845</v>
      </c>
      <c r="AD12" s="85">
        <f>+AA12-AC12</f>
        <v>0</v>
      </c>
      <c r="AE12" s="649">
        <f t="shared" si="11"/>
        <v>1</v>
      </c>
      <c r="AF12" s="649">
        <f t="shared" si="10"/>
        <v>-0.12053979871912168</v>
      </c>
      <c r="AG12" s="10">
        <v>119</v>
      </c>
      <c r="AH12" s="220">
        <v>0</v>
      </c>
      <c r="AI12" s="220">
        <v>119</v>
      </c>
      <c r="AJ12" s="10"/>
      <c r="AK12" s="20"/>
    </row>
    <row r="13" spans="1:37" ht="15.75" thickBot="1" x14ac:dyDescent="0.3">
      <c r="A13" s="181"/>
      <c r="B13" s="181"/>
      <c r="C13" s="65" t="str">
        <f>+'VENEZUELA USD'!C13</f>
        <v>Fact. Servicio Satelital</v>
      </c>
      <c r="D13" s="66"/>
      <c r="E13" s="102"/>
      <c r="F13" s="66"/>
      <c r="G13" s="641"/>
      <c r="H13" s="647"/>
      <c r="I13" s="350"/>
      <c r="J13" s="351"/>
      <c r="K13" s="351"/>
      <c r="L13" s="98"/>
      <c r="M13" s="102"/>
      <c r="N13" s="98"/>
      <c r="O13" s="102"/>
      <c r="P13" s="66"/>
      <c r="Q13" s="102"/>
      <c r="R13" s="351"/>
      <c r="S13" s="644"/>
      <c r="T13" s="173"/>
      <c r="U13" s="173"/>
      <c r="V13" s="10"/>
      <c r="W13" s="81" t="s">
        <v>50</v>
      </c>
      <c r="X13" s="90">
        <f>SUM(X12)</f>
        <v>0</v>
      </c>
      <c r="Y13" s="90">
        <v>1934</v>
      </c>
      <c r="Z13" s="91">
        <f>+Z12</f>
        <v>0</v>
      </c>
      <c r="AA13" s="358">
        <f>SUM(AA12)</f>
        <v>3845</v>
      </c>
      <c r="AB13" s="358">
        <v>4372</v>
      </c>
      <c r="AC13" s="359">
        <f>+AC12</f>
        <v>3845</v>
      </c>
      <c r="AD13" s="85">
        <f>+AC13-AA13</f>
        <v>0</v>
      </c>
      <c r="AE13" s="649">
        <f t="shared" si="11"/>
        <v>1</v>
      </c>
      <c r="AF13" s="649">
        <f t="shared" si="10"/>
        <v>-0.12053979871912168</v>
      </c>
      <c r="AG13" s="10">
        <v>119</v>
      </c>
      <c r="AH13" s="220">
        <v>0</v>
      </c>
      <c r="AI13" s="220">
        <v>119</v>
      </c>
      <c r="AJ13" s="10"/>
      <c r="AK13" s="20"/>
    </row>
    <row r="14" spans="1:37" ht="15.75" thickBot="1" x14ac:dyDescent="0.3">
      <c r="A14" s="181"/>
      <c r="B14" s="181"/>
      <c r="C14" s="65" t="str">
        <f>+'VENEZUELA USD'!C14</f>
        <v>Fact. Visual Experience</v>
      </c>
      <c r="D14" s="66"/>
      <c r="E14" s="102"/>
      <c r="F14" s="66"/>
      <c r="G14" s="641"/>
      <c r="H14" s="647"/>
      <c r="I14" s="350"/>
      <c r="J14" s="351"/>
      <c r="K14" s="351"/>
      <c r="L14" s="98"/>
      <c r="M14" s="102"/>
      <c r="N14" s="98"/>
      <c r="O14" s="102"/>
      <c r="P14" s="66"/>
      <c r="Q14" s="102"/>
      <c r="R14" s="351"/>
      <c r="S14" s="644"/>
      <c r="T14" s="173"/>
      <c r="U14" s="173"/>
      <c r="V14" s="10"/>
      <c r="W14" s="73" t="s">
        <v>52</v>
      </c>
      <c r="X14" s="75">
        <f>+X8-X12</f>
        <v>0</v>
      </c>
      <c r="Y14" s="75">
        <v>-1934</v>
      </c>
      <c r="Z14" s="74">
        <f t="shared" ref="Z14" si="12">+Z8-Z12</f>
        <v>0</v>
      </c>
      <c r="AA14" s="420">
        <f>+AA8-AA12</f>
        <v>-3845</v>
      </c>
      <c r="AB14" s="420">
        <v>43003</v>
      </c>
      <c r="AC14" s="421">
        <f>+AC8-AC12</f>
        <v>-3845</v>
      </c>
      <c r="AD14" s="76">
        <f>+AC14-AA14</f>
        <v>0</v>
      </c>
      <c r="AE14" s="77">
        <f t="shared" si="11"/>
        <v>1</v>
      </c>
      <c r="AF14" s="77">
        <f t="shared" si="10"/>
        <v>-1.0894123665790758</v>
      </c>
      <c r="AG14" s="10">
        <v>34609.72</v>
      </c>
      <c r="AH14" s="10">
        <v>11024.5</v>
      </c>
      <c r="AI14" s="10">
        <v>34609.72</v>
      </c>
      <c r="AJ14" s="10"/>
      <c r="AK14" s="20"/>
    </row>
    <row r="15" spans="1:37" x14ac:dyDescent="0.25">
      <c r="A15" s="181"/>
      <c r="B15" s="181"/>
      <c r="C15" s="65" t="str">
        <f>+'VENEZUELA USD'!C15</f>
        <v>Fac.   Olfa Experience</v>
      </c>
      <c r="D15" s="66"/>
      <c r="E15" s="102"/>
      <c r="F15" s="66"/>
      <c r="G15" s="641"/>
      <c r="H15" s="647"/>
      <c r="I15" s="350"/>
      <c r="J15" s="351"/>
      <c r="K15" s="351"/>
      <c r="L15" s="98"/>
      <c r="M15" s="350"/>
      <c r="N15" s="98"/>
      <c r="O15" s="350"/>
      <c r="P15" s="66"/>
      <c r="Q15" s="102"/>
      <c r="R15" s="351"/>
      <c r="S15" s="644"/>
      <c r="T15" s="173"/>
      <c r="U15" s="173"/>
      <c r="V15" s="10"/>
      <c r="W15" s="89"/>
      <c r="X15" s="97"/>
      <c r="Y15" s="97"/>
      <c r="Z15" s="98"/>
      <c r="AA15" s="362"/>
      <c r="AB15" s="362"/>
      <c r="AC15" s="363"/>
      <c r="AD15" s="103"/>
      <c r="AE15" s="102"/>
      <c r="AF15" s="102"/>
      <c r="AG15" s="220"/>
      <c r="AH15" s="220"/>
      <c r="AI15" s="220"/>
      <c r="AJ15" s="10"/>
      <c r="AK15" s="20"/>
    </row>
    <row r="16" spans="1:37" ht="15.75" thickBot="1" x14ac:dyDescent="0.3">
      <c r="A16" s="181"/>
      <c r="B16" s="181">
        <v>4170250000</v>
      </c>
      <c r="C16" s="65" t="str">
        <f>+'VENEZUELA USD'!C16</f>
        <v>Otros</v>
      </c>
      <c r="D16" s="66">
        <f>+H16</f>
        <v>0</v>
      </c>
      <c r="E16" s="102" t="e">
        <f t="shared" ref="E16:E34" si="13">+D16/$D$17</f>
        <v>#DIV/0!</v>
      </c>
      <c r="F16" s="66">
        <v>2100</v>
      </c>
      <c r="G16" s="641" t="e">
        <f t="shared" ref="G16:G34" si="14">+F16/$F$17</f>
        <v>#DIV/0!</v>
      </c>
      <c r="H16" s="66">
        <v>0</v>
      </c>
      <c r="I16" s="350"/>
      <c r="J16" s="351"/>
      <c r="K16" s="351"/>
      <c r="L16" s="98">
        <f>+P16</f>
        <v>0</v>
      </c>
      <c r="M16" s="98" t="e">
        <f t="shared" ref="M16" si="15">+U16+E16</f>
        <v>#DIV/0!</v>
      </c>
      <c r="N16" s="66">
        <v>10500</v>
      </c>
      <c r="O16" s="98" t="e">
        <f t="shared" ref="O16:O34" si="16">+N16/$N$17</f>
        <v>#DIV/0!</v>
      </c>
      <c r="P16" s="66">
        <v>0</v>
      </c>
      <c r="Q16" s="102"/>
      <c r="R16" s="351"/>
      <c r="S16" s="644"/>
      <c r="T16" s="173">
        <v>24000</v>
      </c>
      <c r="U16" s="173">
        <v>87580</v>
      </c>
      <c r="V16" s="173">
        <v>24000</v>
      </c>
      <c r="W16" s="89"/>
      <c r="X16" s="97"/>
      <c r="Y16" s="97"/>
      <c r="Z16" s="98"/>
      <c r="AA16" s="362"/>
      <c r="AB16" s="362"/>
      <c r="AC16" s="363"/>
      <c r="AD16" s="103"/>
      <c r="AE16" s="102"/>
      <c r="AF16" s="102" t="str">
        <f t="shared" si="10"/>
        <v/>
      </c>
      <c r="AG16" s="220"/>
      <c r="AH16" s="220"/>
      <c r="AI16" s="220"/>
      <c r="AJ16" s="10"/>
      <c r="AK16" s="20"/>
    </row>
    <row r="17" spans="1:37" x14ac:dyDescent="0.25">
      <c r="A17" s="181"/>
      <c r="B17" s="181"/>
      <c r="C17" s="364" t="s">
        <v>57</v>
      </c>
      <c r="D17" s="105">
        <f>SUM(D7:D13)</f>
        <v>0</v>
      </c>
      <c r="E17" s="106" t="e">
        <f t="shared" si="13"/>
        <v>#DIV/0!</v>
      </c>
      <c r="F17" s="105">
        <v>0</v>
      </c>
      <c r="G17" s="273" t="e">
        <f t="shared" si="14"/>
        <v>#DIV/0!</v>
      </c>
      <c r="H17" s="66">
        <f>SUM(H7:H13)</f>
        <v>0</v>
      </c>
      <c r="I17" s="107" t="e">
        <f t="shared" ref="I17:I34" si="17">+H17/$H$17</f>
        <v>#DIV/0!</v>
      </c>
      <c r="J17" s="108" t="str">
        <f t="shared" si="6"/>
        <v/>
      </c>
      <c r="K17" s="108" t="str">
        <f t="shared" si="7"/>
        <v/>
      </c>
      <c r="L17" s="105">
        <f>SUM(L7:L13)</f>
        <v>0</v>
      </c>
      <c r="M17" s="106" t="e">
        <f t="shared" ref="M17:M34" si="18">+L17/$L$17</f>
        <v>#DIV/0!</v>
      </c>
      <c r="N17" s="105">
        <f>+N7</f>
        <v>0</v>
      </c>
      <c r="O17" s="106" t="e">
        <f t="shared" si="16"/>
        <v>#DIV/0!</v>
      </c>
      <c r="P17" s="105">
        <f>SUM(P7:P13)</f>
        <v>0</v>
      </c>
      <c r="Q17" s="106" t="e">
        <f t="shared" ref="Q17:Q34" si="19">+P17/$P$17</f>
        <v>#DIV/0!</v>
      </c>
      <c r="R17" s="643" t="str">
        <f t="shared" si="8"/>
        <v/>
      </c>
      <c r="S17" s="652" t="str">
        <f t="shared" si="9"/>
        <v/>
      </c>
      <c r="T17" s="173">
        <v>0</v>
      </c>
      <c r="U17" s="173">
        <v>0</v>
      </c>
      <c r="V17" s="173">
        <v>0</v>
      </c>
      <c r="W17" s="81" t="s">
        <v>58</v>
      </c>
      <c r="X17" s="82">
        <f>+X7+X14</f>
        <v>0</v>
      </c>
      <c r="Y17" s="82">
        <v>6877.7900000000009</v>
      </c>
      <c r="Z17" s="83">
        <f>+Z7+Z14</f>
        <v>0</v>
      </c>
      <c r="AA17" s="358">
        <f t="shared" ref="AA17:AC17" si="20">+AA7+AA14</f>
        <v>3084</v>
      </c>
      <c r="AB17" s="358">
        <v>52877.79</v>
      </c>
      <c r="AC17" s="424">
        <f t="shared" si="20"/>
        <v>3084</v>
      </c>
      <c r="AD17" s="85">
        <f>+AC17-AA17</f>
        <v>0</v>
      </c>
      <c r="AE17" s="86">
        <f t="shared" si="11"/>
        <v>1</v>
      </c>
      <c r="AF17" s="86">
        <f t="shared" si="10"/>
        <v>-0.94167683634281996</v>
      </c>
      <c r="AG17" s="220">
        <v>45127.340000000004</v>
      </c>
      <c r="AH17" s="220">
        <v>88004.18</v>
      </c>
      <c r="AI17" s="220">
        <v>45127.340000000004</v>
      </c>
      <c r="AJ17" s="10"/>
      <c r="AK17" s="20"/>
    </row>
    <row r="18" spans="1:37" x14ac:dyDescent="0.25">
      <c r="A18" s="181"/>
      <c r="B18" s="181"/>
      <c r="C18" s="112" t="s">
        <v>59</v>
      </c>
      <c r="D18" s="114">
        <v>0</v>
      </c>
      <c r="E18" s="113" t="e">
        <f t="shared" si="13"/>
        <v>#DIV/0!</v>
      </c>
      <c r="F18" s="114">
        <v>0</v>
      </c>
      <c r="G18" s="653" t="e">
        <f t="shared" si="14"/>
        <v>#DIV/0!</v>
      </c>
      <c r="H18" s="117">
        <v>0</v>
      </c>
      <c r="I18" s="115" t="e">
        <f t="shared" si="17"/>
        <v>#DIV/0!</v>
      </c>
      <c r="J18" s="116" t="str">
        <f t="shared" si="6"/>
        <v/>
      </c>
      <c r="K18" s="116" t="str">
        <f t="shared" si="7"/>
        <v/>
      </c>
      <c r="L18" s="117">
        <v>0</v>
      </c>
      <c r="M18" s="113" t="e">
        <f t="shared" si="18"/>
        <v>#DIV/0!</v>
      </c>
      <c r="N18" s="117">
        <v>0</v>
      </c>
      <c r="O18" s="113" t="e">
        <f t="shared" si="16"/>
        <v>#DIV/0!</v>
      </c>
      <c r="P18" s="114">
        <f>+P14</f>
        <v>0</v>
      </c>
      <c r="Q18" s="113" t="e">
        <f t="shared" si="19"/>
        <v>#DIV/0!</v>
      </c>
      <c r="R18" s="374" t="str">
        <f t="shared" si="8"/>
        <v/>
      </c>
      <c r="S18" s="654" t="str">
        <f t="shared" si="9"/>
        <v/>
      </c>
      <c r="T18" s="173"/>
      <c r="U18" s="173"/>
      <c r="V18" s="173"/>
      <c r="W18" s="81" t="s">
        <v>60</v>
      </c>
      <c r="X18" s="82"/>
      <c r="Y18" s="82"/>
      <c r="Z18" s="83"/>
      <c r="AA18" s="358">
        <f>+AG18+X18</f>
        <v>0</v>
      </c>
      <c r="AB18" s="358">
        <v>0</v>
      </c>
      <c r="AC18" s="359">
        <f>+Z18+AI18</f>
        <v>0</v>
      </c>
      <c r="AD18" s="85">
        <f t="shared" ref="AD18:AD21" si="21">+AC18-AA18</f>
        <v>0</v>
      </c>
      <c r="AE18" s="649" t="str">
        <f t="shared" si="11"/>
        <v/>
      </c>
      <c r="AF18" s="649" t="str">
        <f t="shared" si="10"/>
        <v/>
      </c>
      <c r="AG18" s="220">
        <v>0</v>
      </c>
      <c r="AH18" s="220">
        <v>0</v>
      </c>
      <c r="AI18" s="220">
        <v>0</v>
      </c>
      <c r="AJ18" s="10"/>
      <c r="AK18" s="20"/>
    </row>
    <row r="19" spans="1:37" ht="15.75" thickBot="1" x14ac:dyDescent="0.3">
      <c r="A19" s="181"/>
      <c r="B19" s="181"/>
      <c r="C19" s="119" t="s">
        <v>61</v>
      </c>
      <c r="D19" s="368">
        <f>+D16</f>
        <v>0</v>
      </c>
      <c r="E19" s="264" t="e">
        <f t="shared" si="13"/>
        <v>#DIV/0!</v>
      </c>
      <c r="F19" s="368">
        <f>+F16</f>
        <v>2100</v>
      </c>
      <c r="G19" s="655" t="e">
        <f t="shared" si="14"/>
        <v>#DIV/0!</v>
      </c>
      <c r="H19" s="368">
        <f>+H16</f>
        <v>0</v>
      </c>
      <c r="I19" s="369" t="e">
        <f t="shared" si="17"/>
        <v>#DIV/0!</v>
      </c>
      <c r="J19" s="124" t="str">
        <f t="shared" si="6"/>
        <v/>
      </c>
      <c r="K19" s="124">
        <f t="shared" si="7"/>
        <v>-1</v>
      </c>
      <c r="L19" s="368">
        <f>+L16</f>
        <v>0</v>
      </c>
      <c r="M19" s="264" t="e">
        <f t="shared" si="18"/>
        <v>#DIV/0!</v>
      </c>
      <c r="N19" s="368">
        <f>+N16</f>
        <v>10500</v>
      </c>
      <c r="O19" s="264" t="e">
        <f t="shared" si="16"/>
        <v>#DIV/0!</v>
      </c>
      <c r="P19" s="368">
        <f>+P16</f>
        <v>0</v>
      </c>
      <c r="Q19" s="264" t="e">
        <f t="shared" si="19"/>
        <v>#DIV/0!</v>
      </c>
      <c r="R19" s="124" t="str">
        <f t="shared" si="8"/>
        <v/>
      </c>
      <c r="S19" s="656">
        <f t="shared" si="9"/>
        <v>-1</v>
      </c>
      <c r="T19" s="173"/>
      <c r="U19" s="173"/>
      <c r="V19" s="173"/>
      <c r="W19" s="81" t="s">
        <v>62</v>
      </c>
      <c r="X19" s="82"/>
      <c r="Y19" s="82"/>
      <c r="Z19" s="83"/>
      <c r="AA19" s="358">
        <f>+AG19+X19</f>
        <v>0</v>
      </c>
      <c r="AB19" s="358">
        <v>0</v>
      </c>
      <c r="AC19" s="359">
        <f>+Z19+AI19</f>
        <v>0</v>
      </c>
      <c r="AD19" s="85">
        <f t="shared" si="21"/>
        <v>0</v>
      </c>
      <c r="AE19" s="86" t="str">
        <f t="shared" si="11"/>
        <v/>
      </c>
      <c r="AF19" s="86" t="str">
        <f t="shared" si="10"/>
        <v/>
      </c>
      <c r="AG19" s="220">
        <v>0</v>
      </c>
      <c r="AH19" s="220">
        <v>0</v>
      </c>
      <c r="AI19" s="220">
        <v>0</v>
      </c>
      <c r="AJ19" s="10"/>
      <c r="AK19" s="20"/>
    </row>
    <row r="20" spans="1:37" x14ac:dyDescent="0.25">
      <c r="A20" s="181"/>
      <c r="B20" s="181"/>
      <c r="C20" s="81" t="s">
        <v>63</v>
      </c>
      <c r="D20" s="83">
        <f>+H20</f>
        <v>0</v>
      </c>
      <c r="E20" s="126" t="e">
        <f t="shared" si="13"/>
        <v>#DIV/0!</v>
      </c>
      <c r="F20" s="83">
        <v>0</v>
      </c>
      <c r="G20" s="657" t="e">
        <f t="shared" si="14"/>
        <v>#DIV/0!</v>
      </c>
      <c r="H20" s="83">
        <v>0</v>
      </c>
      <c r="I20" s="127" t="e">
        <f t="shared" si="17"/>
        <v>#DIV/0!</v>
      </c>
      <c r="J20" s="128" t="str">
        <f t="shared" si="6"/>
        <v/>
      </c>
      <c r="K20" s="128" t="str">
        <f t="shared" si="7"/>
        <v/>
      </c>
      <c r="L20" s="83"/>
      <c r="M20" s="126" t="e">
        <f t="shared" si="18"/>
        <v>#DIV/0!</v>
      </c>
      <c r="N20" s="83">
        <v>0</v>
      </c>
      <c r="O20" s="126" t="e">
        <f t="shared" si="16"/>
        <v>#DIV/0!</v>
      </c>
      <c r="P20" s="83">
        <f t="shared" ref="P20:P21" si="22">+H20+V20</f>
        <v>0</v>
      </c>
      <c r="Q20" s="126" t="e">
        <f t="shared" si="19"/>
        <v>#DIV/0!</v>
      </c>
      <c r="R20" s="148" t="str">
        <f t="shared" si="8"/>
        <v/>
      </c>
      <c r="S20" s="658" t="str">
        <f t="shared" si="9"/>
        <v/>
      </c>
      <c r="T20" s="170"/>
      <c r="U20" s="170"/>
      <c r="V20" s="170"/>
      <c r="W20" s="81" t="s">
        <v>64</v>
      </c>
      <c r="X20" s="82"/>
      <c r="Y20" s="82"/>
      <c r="Z20" s="83"/>
      <c r="AA20" s="358">
        <f>+AG20+X20</f>
        <v>0</v>
      </c>
      <c r="AB20" s="358">
        <v>0</v>
      </c>
      <c r="AC20" s="359">
        <f t="shared" ref="AC20" si="23">+AH20+Z20</f>
        <v>0</v>
      </c>
      <c r="AD20" s="85">
        <f t="shared" si="21"/>
        <v>0</v>
      </c>
      <c r="AE20" s="649" t="str">
        <f t="shared" si="11"/>
        <v/>
      </c>
      <c r="AF20" s="649" t="str">
        <f t="shared" si="10"/>
        <v/>
      </c>
      <c r="AG20" s="220">
        <v>0</v>
      </c>
      <c r="AH20" s="220">
        <v>0</v>
      </c>
      <c r="AI20" s="220">
        <v>0</v>
      </c>
      <c r="AJ20" s="10"/>
      <c r="AK20" s="20"/>
    </row>
    <row r="21" spans="1:37" ht="15.75" thickBot="1" x14ac:dyDescent="0.3">
      <c r="A21" s="181"/>
      <c r="B21" s="181"/>
      <c r="C21" s="81" t="s">
        <v>65</v>
      </c>
      <c r="D21" s="83">
        <f>+H21</f>
        <v>0</v>
      </c>
      <c r="E21" s="126" t="e">
        <f t="shared" si="13"/>
        <v>#DIV/0!</v>
      </c>
      <c r="F21" s="83">
        <v>0</v>
      </c>
      <c r="G21" s="657" t="e">
        <f t="shared" si="14"/>
        <v>#DIV/0!</v>
      </c>
      <c r="H21" s="83">
        <v>0</v>
      </c>
      <c r="I21" s="127" t="e">
        <f t="shared" si="17"/>
        <v>#DIV/0!</v>
      </c>
      <c r="J21" s="128" t="str">
        <f t="shared" si="6"/>
        <v/>
      </c>
      <c r="K21" s="128" t="str">
        <f t="shared" si="7"/>
        <v/>
      </c>
      <c r="L21" s="83"/>
      <c r="M21" s="126" t="e">
        <f t="shared" si="18"/>
        <v>#DIV/0!</v>
      </c>
      <c r="N21" s="83">
        <v>0</v>
      </c>
      <c r="O21" s="126" t="e">
        <f t="shared" si="16"/>
        <v>#DIV/0!</v>
      </c>
      <c r="P21" s="83">
        <f t="shared" si="22"/>
        <v>0</v>
      </c>
      <c r="Q21" s="126" t="e">
        <f t="shared" si="19"/>
        <v>#DIV/0!</v>
      </c>
      <c r="R21" s="148" t="str">
        <f t="shared" si="8"/>
        <v/>
      </c>
      <c r="S21" s="658" t="str">
        <f t="shared" si="9"/>
        <v/>
      </c>
      <c r="T21" s="170"/>
      <c r="U21" s="170"/>
      <c r="V21" s="170"/>
      <c r="W21" s="81" t="s">
        <v>183</v>
      </c>
      <c r="X21" s="83">
        <f>+Z21</f>
        <v>0</v>
      </c>
      <c r="Y21" s="82">
        <v>0</v>
      </c>
      <c r="Z21" s="83">
        <v>0</v>
      </c>
      <c r="AA21" s="358">
        <f>+AC21</f>
        <v>0</v>
      </c>
      <c r="AB21" s="358">
        <v>46000</v>
      </c>
      <c r="AC21" s="83">
        <v>0</v>
      </c>
      <c r="AD21" s="85">
        <f t="shared" si="21"/>
        <v>0</v>
      </c>
      <c r="AE21" s="649" t="str">
        <f t="shared" si="11"/>
        <v/>
      </c>
      <c r="AF21" s="649">
        <f t="shared" si="10"/>
        <v>-1</v>
      </c>
      <c r="AG21" s="220">
        <v>27000</v>
      </c>
      <c r="AH21" s="220">
        <v>74000</v>
      </c>
      <c r="AI21" s="220">
        <v>27000</v>
      </c>
      <c r="AJ21" s="10"/>
      <c r="AK21" s="20"/>
    </row>
    <row r="22" spans="1:37" ht="15.75" thickBot="1" x14ac:dyDescent="0.3">
      <c r="A22" s="181"/>
      <c r="B22" s="181"/>
      <c r="C22" s="112" t="s">
        <v>67</v>
      </c>
      <c r="D22" s="117">
        <f>SUM(D20:D21)</f>
        <v>0</v>
      </c>
      <c r="E22" s="113" t="e">
        <f t="shared" si="13"/>
        <v>#DIV/0!</v>
      </c>
      <c r="F22" s="117">
        <f>SUM(F20:F21)</f>
        <v>0</v>
      </c>
      <c r="G22" s="653" t="e">
        <f t="shared" si="14"/>
        <v>#DIV/0!</v>
      </c>
      <c r="H22" s="117">
        <f>SUM(H20:H21)</f>
        <v>0</v>
      </c>
      <c r="I22" s="115" t="e">
        <f t="shared" si="17"/>
        <v>#DIV/0!</v>
      </c>
      <c r="J22" s="116" t="str">
        <f t="shared" si="6"/>
        <v/>
      </c>
      <c r="K22" s="116" t="str">
        <f t="shared" si="7"/>
        <v/>
      </c>
      <c r="L22" s="117"/>
      <c r="M22" s="263" t="e">
        <f t="shared" si="18"/>
        <v>#DIV/0!</v>
      </c>
      <c r="N22" s="117">
        <f t="shared" ref="N22:N23" si="24">+U22+F22</f>
        <v>0</v>
      </c>
      <c r="O22" s="263" t="e">
        <f t="shared" si="16"/>
        <v>#DIV/0!</v>
      </c>
      <c r="P22" s="117">
        <f t="shared" ref="P22" si="25">+V22+H22</f>
        <v>0</v>
      </c>
      <c r="Q22" s="263" t="e">
        <f t="shared" si="19"/>
        <v>#DIV/0!</v>
      </c>
      <c r="R22" s="374" t="str">
        <f t="shared" si="8"/>
        <v/>
      </c>
      <c r="S22" s="654" t="str">
        <f t="shared" si="9"/>
        <v/>
      </c>
      <c r="T22" s="173"/>
      <c r="U22" s="173"/>
      <c r="V22" s="173"/>
      <c r="W22" s="73" t="s">
        <v>68</v>
      </c>
      <c r="X22" s="75">
        <f>X17-X18-X19-X20-X21</f>
        <v>0</v>
      </c>
      <c r="Y22" s="75">
        <v>6877.7900000000009</v>
      </c>
      <c r="Z22" s="74">
        <f>Z17-Z18-Z19-Z20-Z21</f>
        <v>0</v>
      </c>
      <c r="AA22" s="430">
        <f t="shared" ref="AA22:AC22" si="26">AA17-AA18-AA19-AA20-AA21</f>
        <v>3084</v>
      </c>
      <c r="AB22" s="75">
        <v>6877.7900000000009</v>
      </c>
      <c r="AC22" s="431">
        <f t="shared" si="26"/>
        <v>3084</v>
      </c>
      <c r="AD22" s="76">
        <f t="shared" ref="AD22" si="27">Z22-X22</f>
        <v>0</v>
      </c>
      <c r="AE22" s="77" t="str">
        <f t="shared" ref="AE22" si="28">IF(X22=0,"",(Z22-X22)/ABS(X22)+1)</f>
        <v/>
      </c>
      <c r="AF22" s="77">
        <f t="shared" ref="AF22" si="29">IF(Y22=0,"",(Z22-Y22)/ABS(Y22))</f>
        <v>-1</v>
      </c>
      <c r="AG22" s="220">
        <v>18127.340000000004</v>
      </c>
      <c r="AH22" s="220">
        <v>14004.179999999993</v>
      </c>
      <c r="AI22" s="220">
        <v>18127.340000000004</v>
      </c>
      <c r="AJ22" s="10"/>
      <c r="AK22" s="20"/>
    </row>
    <row r="23" spans="1:37" x14ac:dyDescent="0.25">
      <c r="A23" s="181"/>
      <c r="B23" s="181"/>
      <c r="C23" s="81" t="s">
        <v>69</v>
      </c>
      <c r="D23" s="83">
        <f>+H23</f>
        <v>0</v>
      </c>
      <c r="E23" s="126" t="e">
        <f t="shared" si="13"/>
        <v>#DIV/0!</v>
      </c>
      <c r="F23" s="83"/>
      <c r="G23" s="657" t="e">
        <f t="shared" si="14"/>
        <v>#DIV/0!</v>
      </c>
      <c r="H23" s="83"/>
      <c r="I23" s="127" t="e">
        <f t="shared" si="17"/>
        <v>#DIV/0!</v>
      </c>
      <c r="J23" s="128" t="str">
        <f t="shared" si="6"/>
        <v/>
      </c>
      <c r="K23" s="128" t="str">
        <f t="shared" si="7"/>
        <v/>
      </c>
      <c r="L23" s="83"/>
      <c r="M23" s="126" t="e">
        <f t="shared" si="18"/>
        <v>#DIV/0!</v>
      </c>
      <c r="N23" s="83">
        <f t="shared" si="24"/>
        <v>0</v>
      </c>
      <c r="O23" s="126" t="e">
        <f t="shared" si="16"/>
        <v>#DIV/0!</v>
      </c>
      <c r="P23" s="83">
        <f t="shared" ref="P23" si="30">+H23+V23</f>
        <v>0</v>
      </c>
      <c r="Q23" s="126" t="e">
        <f t="shared" si="19"/>
        <v>#DIV/0!</v>
      </c>
      <c r="R23" s="148" t="str">
        <f t="shared" si="8"/>
        <v/>
      </c>
      <c r="S23" s="658" t="str">
        <f t="shared" si="9"/>
        <v/>
      </c>
      <c r="T23" s="170"/>
      <c r="U23" s="170"/>
      <c r="V23" s="170"/>
      <c r="X23" s="177"/>
      <c r="Y23" s="177" t="s">
        <v>70</v>
      </c>
      <c r="Z23" s="177" t="s">
        <v>70</v>
      </c>
      <c r="AA23" s="659"/>
      <c r="AB23" s="177" t="s">
        <v>70</v>
      </c>
      <c r="AC23" s="659"/>
      <c r="AD23" s="177"/>
      <c r="AE23" s="177"/>
      <c r="AF23" s="177"/>
      <c r="AK23" s="20"/>
    </row>
    <row r="24" spans="1:37" x14ac:dyDescent="0.25">
      <c r="A24" s="181"/>
      <c r="B24" s="187" t="s">
        <v>184</v>
      </c>
      <c r="C24" s="81" t="s">
        <v>185</v>
      </c>
      <c r="D24" s="83">
        <f>+H24</f>
        <v>0</v>
      </c>
      <c r="E24" s="126" t="e">
        <f t="shared" si="13"/>
        <v>#DIV/0!</v>
      </c>
      <c r="F24" s="83">
        <v>0</v>
      </c>
      <c r="G24" s="657" t="e">
        <f t="shared" si="14"/>
        <v>#DIV/0!</v>
      </c>
      <c r="H24" s="83">
        <v>0</v>
      </c>
      <c r="I24" s="127" t="e">
        <f t="shared" si="17"/>
        <v>#DIV/0!</v>
      </c>
      <c r="J24" s="128" t="str">
        <f t="shared" si="6"/>
        <v/>
      </c>
      <c r="K24" s="128" t="str">
        <f t="shared" si="7"/>
        <v/>
      </c>
      <c r="L24" s="83">
        <f>+P24</f>
        <v>3795</v>
      </c>
      <c r="M24" s="126" t="e">
        <f t="shared" si="18"/>
        <v>#DIV/0!</v>
      </c>
      <c r="N24" s="83">
        <v>0</v>
      </c>
      <c r="O24" s="126" t="e">
        <f t="shared" si="16"/>
        <v>#DIV/0!</v>
      </c>
      <c r="P24" s="83">
        <v>3795</v>
      </c>
      <c r="Q24" s="126" t="e">
        <f t="shared" si="19"/>
        <v>#DIV/0!</v>
      </c>
      <c r="R24" s="148">
        <f t="shared" si="8"/>
        <v>1</v>
      </c>
      <c r="S24" s="658" t="str">
        <f t="shared" si="9"/>
        <v/>
      </c>
      <c r="T24" s="170">
        <v>1650</v>
      </c>
      <c r="U24" s="170"/>
      <c r="V24" s="170">
        <v>1650</v>
      </c>
      <c r="W24" s="15"/>
      <c r="X24" s="178"/>
      <c r="Y24" s="433"/>
      <c r="Z24" s="433"/>
      <c r="AA24" s="433"/>
      <c r="AB24" s="433"/>
      <c r="AC24" s="433"/>
      <c r="AD24" s="178"/>
      <c r="AE24" s="177"/>
      <c r="AF24" s="178"/>
      <c r="AK24" s="20"/>
    </row>
    <row r="25" spans="1:37" x14ac:dyDescent="0.25">
      <c r="A25" s="181"/>
      <c r="B25" s="187"/>
      <c r="C25" s="112" t="s">
        <v>72</v>
      </c>
      <c r="D25" s="117">
        <f>SUM(D23:D24)</f>
        <v>0</v>
      </c>
      <c r="E25" s="263" t="e">
        <f t="shared" si="13"/>
        <v>#DIV/0!</v>
      </c>
      <c r="F25" s="117">
        <f>SUM(F23:F24)</f>
        <v>0</v>
      </c>
      <c r="G25" s="660" t="e">
        <f t="shared" si="14"/>
        <v>#DIV/0!</v>
      </c>
      <c r="H25" s="117">
        <f>SUM(H23:H24)</f>
        <v>0</v>
      </c>
      <c r="I25" s="367" t="e">
        <f t="shared" si="17"/>
        <v>#DIV/0!</v>
      </c>
      <c r="J25" s="374" t="str">
        <f t="shared" si="6"/>
        <v/>
      </c>
      <c r="K25" s="374" t="str">
        <f t="shared" si="7"/>
        <v/>
      </c>
      <c r="L25" s="83">
        <f>+P25</f>
        <v>3795</v>
      </c>
      <c r="M25" s="263" t="e">
        <f t="shared" si="18"/>
        <v>#DIV/0!</v>
      </c>
      <c r="N25" s="83">
        <f>+N24</f>
        <v>0</v>
      </c>
      <c r="O25" s="263" t="e">
        <f t="shared" si="16"/>
        <v>#DIV/0!</v>
      </c>
      <c r="P25" s="117">
        <f>SUM(P23:P24)</f>
        <v>3795</v>
      </c>
      <c r="Q25" s="263" t="e">
        <f t="shared" si="19"/>
        <v>#DIV/0!</v>
      </c>
      <c r="R25" s="374">
        <f t="shared" si="8"/>
        <v>1</v>
      </c>
      <c r="S25" s="654" t="str">
        <f t="shared" si="9"/>
        <v/>
      </c>
      <c r="T25" s="173"/>
      <c r="U25" s="173"/>
      <c r="V25" s="173"/>
      <c r="W25" s="15"/>
      <c r="X25" s="178"/>
      <c r="Y25" s="178"/>
      <c r="Z25" s="178"/>
      <c r="AA25" s="433"/>
      <c r="AB25" s="433"/>
      <c r="AC25" s="433"/>
      <c r="AD25" s="178"/>
      <c r="AE25" s="177"/>
      <c r="AF25" s="192"/>
      <c r="AG25" s="87"/>
      <c r="AK25" s="15"/>
    </row>
    <row r="26" spans="1:37" ht="15.75" thickBot="1" x14ac:dyDescent="0.3">
      <c r="A26" s="181"/>
      <c r="B26" s="187"/>
      <c r="C26" s="112" t="s">
        <v>74</v>
      </c>
      <c r="D26" s="117">
        <f>D22+D25</f>
        <v>0</v>
      </c>
      <c r="E26" s="263" t="e">
        <f t="shared" si="13"/>
        <v>#DIV/0!</v>
      </c>
      <c r="F26" s="117">
        <f>F22+F25</f>
        <v>0</v>
      </c>
      <c r="G26" s="660" t="e">
        <f t="shared" si="14"/>
        <v>#DIV/0!</v>
      </c>
      <c r="H26" s="117">
        <f>H22+H25</f>
        <v>0</v>
      </c>
      <c r="I26" s="367" t="e">
        <f t="shared" si="17"/>
        <v>#DIV/0!</v>
      </c>
      <c r="J26" s="374" t="str">
        <f t="shared" si="6"/>
        <v/>
      </c>
      <c r="K26" s="374" t="str">
        <f t="shared" si="7"/>
        <v/>
      </c>
      <c r="L26" s="117">
        <f>L22+L25</f>
        <v>3795</v>
      </c>
      <c r="M26" s="263" t="e">
        <f t="shared" si="18"/>
        <v>#DIV/0!</v>
      </c>
      <c r="N26" s="117">
        <f>+N25</f>
        <v>0</v>
      </c>
      <c r="O26" s="263" t="e">
        <f t="shared" si="16"/>
        <v>#DIV/0!</v>
      </c>
      <c r="P26" s="117">
        <f>P22+P25</f>
        <v>3795</v>
      </c>
      <c r="Q26" s="263" t="e">
        <f t="shared" si="19"/>
        <v>#DIV/0!</v>
      </c>
      <c r="R26" s="374">
        <f t="shared" si="8"/>
        <v>1</v>
      </c>
      <c r="S26" s="654" t="str">
        <f t="shared" si="9"/>
        <v/>
      </c>
      <c r="T26" s="173"/>
      <c r="U26" s="173"/>
      <c r="V26" s="173"/>
      <c r="W26" s="15"/>
      <c r="X26" s="15"/>
      <c r="Y26" s="15"/>
      <c r="Z26" s="15"/>
      <c r="AA26" s="15"/>
      <c r="AB26" s="15"/>
      <c r="AC26" s="15"/>
      <c r="AD26" s="15"/>
      <c r="AF26" s="20"/>
      <c r="AK26" s="15"/>
    </row>
    <row r="27" spans="1:37" ht="15.75" thickBot="1" x14ac:dyDescent="0.3">
      <c r="A27" s="181"/>
      <c r="B27" s="187"/>
      <c r="C27" s="73" t="s">
        <v>75</v>
      </c>
      <c r="D27" s="74">
        <f>+D19-D26</f>
        <v>0</v>
      </c>
      <c r="E27" s="77" t="e">
        <f t="shared" si="13"/>
        <v>#DIV/0!</v>
      </c>
      <c r="F27" s="74">
        <f>+F19-F26</f>
        <v>2100</v>
      </c>
      <c r="G27" s="661" t="e">
        <f t="shared" si="14"/>
        <v>#DIV/0!</v>
      </c>
      <c r="H27" s="74">
        <f>+H19-H26</f>
        <v>0</v>
      </c>
      <c r="I27" s="145" t="e">
        <f t="shared" si="17"/>
        <v>#DIV/0!</v>
      </c>
      <c r="J27" s="146" t="str">
        <f t="shared" si="6"/>
        <v/>
      </c>
      <c r="K27" s="146">
        <f t="shared" si="7"/>
        <v>-1</v>
      </c>
      <c r="L27" s="74">
        <f>+L19-L26</f>
        <v>-3795</v>
      </c>
      <c r="M27" s="77" t="e">
        <f t="shared" si="18"/>
        <v>#DIV/0!</v>
      </c>
      <c r="N27" s="74">
        <f>+N19-N26</f>
        <v>10500</v>
      </c>
      <c r="O27" s="77" t="e">
        <f t="shared" si="16"/>
        <v>#DIV/0!</v>
      </c>
      <c r="P27" s="74">
        <f>+P19-P26</f>
        <v>-3795</v>
      </c>
      <c r="Q27" s="77" t="e">
        <f t="shared" si="19"/>
        <v>#DIV/0!</v>
      </c>
      <c r="R27" s="146">
        <f t="shared" si="8"/>
        <v>1</v>
      </c>
      <c r="S27" s="662">
        <f t="shared" si="9"/>
        <v>-1.3614285714285714</v>
      </c>
      <c r="T27" s="173"/>
      <c r="U27" s="173"/>
      <c r="V27" s="173"/>
      <c r="W27" s="15"/>
      <c r="X27" s="15"/>
      <c r="Y27" s="138"/>
      <c r="Z27" s="15"/>
      <c r="AA27" s="15"/>
      <c r="AB27" s="138"/>
      <c r="AC27" s="15"/>
      <c r="AD27" s="15"/>
      <c r="AE27" s="15"/>
      <c r="AF27" s="15"/>
      <c r="AK27" s="15"/>
    </row>
    <row r="28" spans="1:37" x14ac:dyDescent="0.25">
      <c r="A28" s="181"/>
      <c r="B28" s="187" t="s">
        <v>186</v>
      </c>
      <c r="C28" s="81" t="s">
        <v>76</v>
      </c>
      <c r="D28" s="83">
        <f>+H28</f>
        <v>0</v>
      </c>
      <c r="E28" s="126" t="e">
        <f t="shared" si="13"/>
        <v>#DIV/0!</v>
      </c>
      <c r="F28" s="83">
        <v>0</v>
      </c>
      <c r="G28" s="657" t="e">
        <f t="shared" si="14"/>
        <v>#DIV/0!</v>
      </c>
      <c r="H28" s="83">
        <v>0</v>
      </c>
      <c r="I28" s="127" t="e">
        <f t="shared" si="17"/>
        <v>#DIV/0!</v>
      </c>
      <c r="J28" s="128" t="str">
        <f t="shared" si="6"/>
        <v/>
      </c>
      <c r="K28" s="128" t="str">
        <f t="shared" si="7"/>
        <v/>
      </c>
      <c r="L28" s="83">
        <f>+P28</f>
        <v>0</v>
      </c>
      <c r="M28" s="126" t="e">
        <f t="shared" si="18"/>
        <v>#DIV/0!</v>
      </c>
      <c r="N28" s="83">
        <v>0</v>
      </c>
      <c r="O28" s="126" t="e">
        <f t="shared" si="16"/>
        <v>#DIV/0!</v>
      </c>
      <c r="P28" s="83">
        <v>0</v>
      </c>
      <c r="Q28" s="126" t="e">
        <f t="shared" si="19"/>
        <v>#DIV/0!</v>
      </c>
      <c r="R28" s="128" t="str">
        <f t="shared" si="8"/>
        <v/>
      </c>
      <c r="S28" s="663" t="str">
        <f t="shared" si="9"/>
        <v/>
      </c>
      <c r="T28" s="170"/>
      <c r="U28" s="170"/>
      <c r="V28" s="170"/>
      <c r="W28" s="15"/>
      <c r="X28" s="15"/>
      <c r="Y28" s="138"/>
      <c r="Z28" s="15"/>
      <c r="AA28" s="15"/>
      <c r="AB28" s="138"/>
      <c r="AC28" s="15"/>
      <c r="AD28" s="15"/>
      <c r="AE28" s="15"/>
      <c r="AF28" s="15"/>
      <c r="AI28" s="20"/>
    </row>
    <row r="29" spans="1:37" ht="15.75" thickBot="1" x14ac:dyDescent="0.3">
      <c r="A29" s="181"/>
      <c r="B29" s="187" t="s">
        <v>187</v>
      </c>
      <c r="C29" s="81" t="s">
        <v>77</v>
      </c>
      <c r="D29" s="83">
        <f>+H29</f>
        <v>0</v>
      </c>
      <c r="E29" s="126" t="e">
        <f t="shared" si="13"/>
        <v>#DIV/0!</v>
      </c>
      <c r="F29" s="83">
        <v>0</v>
      </c>
      <c r="G29" s="657" t="e">
        <f t="shared" si="14"/>
        <v>#DIV/0!</v>
      </c>
      <c r="H29" s="83">
        <v>0</v>
      </c>
      <c r="I29" s="127" t="e">
        <f t="shared" si="17"/>
        <v>#DIV/0!</v>
      </c>
      <c r="J29" s="128" t="str">
        <f t="shared" si="6"/>
        <v/>
      </c>
      <c r="K29" s="128" t="str">
        <f t="shared" si="7"/>
        <v/>
      </c>
      <c r="L29" s="83">
        <f>+P29</f>
        <v>50</v>
      </c>
      <c r="M29" s="126" t="e">
        <f t="shared" si="18"/>
        <v>#DIV/0!</v>
      </c>
      <c r="N29" s="83">
        <v>1527.5</v>
      </c>
      <c r="O29" s="126" t="e">
        <f t="shared" si="16"/>
        <v>#DIV/0!</v>
      </c>
      <c r="P29" s="83">
        <v>50</v>
      </c>
      <c r="Q29" s="126" t="e">
        <f t="shared" si="19"/>
        <v>#DIV/0!</v>
      </c>
      <c r="R29" s="128">
        <f t="shared" si="8"/>
        <v>1</v>
      </c>
      <c r="S29" s="663">
        <f t="shared" si="9"/>
        <v>-0.96726677577741405</v>
      </c>
      <c r="T29" s="170">
        <v>2788</v>
      </c>
      <c r="U29" s="170"/>
      <c r="V29" s="170">
        <v>2788</v>
      </c>
      <c r="W29" s="15"/>
      <c r="X29" s="15"/>
      <c r="Y29" s="138"/>
      <c r="Z29" s="15"/>
      <c r="AA29" s="15"/>
      <c r="AB29" s="138"/>
      <c r="AC29" s="15"/>
      <c r="AD29" s="15"/>
      <c r="AE29" s="15"/>
      <c r="AF29" s="15"/>
    </row>
    <row r="30" spans="1:37" ht="15.75" thickBot="1" x14ac:dyDescent="0.3">
      <c r="A30" s="181"/>
      <c r="B30" s="187"/>
      <c r="C30" s="73" t="s">
        <v>78</v>
      </c>
      <c r="D30" s="74">
        <f>D27+D28-D29</f>
        <v>0</v>
      </c>
      <c r="E30" s="77" t="e">
        <f t="shared" si="13"/>
        <v>#DIV/0!</v>
      </c>
      <c r="F30" s="74">
        <f>+F27-F29+F28</f>
        <v>2100</v>
      </c>
      <c r="G30" s="661" t="e">
        <f t="shared" si="14"/>
        <v>#DIV/0!</v>
      </c>
      <c r="H30" s="74">
        <f>+H27-H29+H28</f>
        <v>0</v>
      </c>
      <c r="I30" s="145" t="e">
        <f t="shared" si="17"/>
        <v>#DIV/0!</v>
      </c>
      <c r="J30" s="146" t="str">
        <f t="shared" si="6"/>
        <v/>
      </c>
      <c r="K30" s="146">
        <f t="shared" si="7"/>
        <v>-1</v>
      </c>
      <c r="L30" s="74">
        <f>L27+L28-L29</f>
        <v>-3845</v>
      </c>
      <c r="M30" s="77" t="e">
        <f t="shared" si="18"/>
        <v>#DIV/0!</v>
      </c>
      <c r="N30" s="74">
        <f>N27+N28-N29</f>
        <v>8972.5</v>
      </c>
      <c r="O30" s="77" t="e">
        <f t="shared" si="16"/>
        <v>#DIV/0!</v>
      </c>
      <c r="P30" s="74">
        <f>+P27-P29+P28</f>
        <v>-3845</v>
      </c>
      <c r="Q30" s="77" t="e">
        <f t="shared" si="19"/>
        <v>#DIV/0!</v>
      </c>
      <c r="R30" s="146">
        <f t="shared" si="8"/>
        <v>1</v>
      </c>
      <c r="S30" s="662">
        <f t="shared" si="9"/>
        <v>-1.4285316244079131</v>
      </c>
      <c r="T30" s="173"/>
      <c r="U30" s="173"/>
      <c r="V30" s="10"/>
      <c r="W30" s="15"/>
      <c r="X30" s="15"/>
      <c r="Y30" s="138"/>
      <c r="Z30" s="15"/>
      <c r="AA30" s="15"/>
      <c r="AB30" s="138"/>
      <c r="AC30" s="15"/>
      <c r="AD30" s="15"/>
      <c r="AE30" s="15"/>
      <c r="AF30" s="15"/>
    </row>
    <row r="31" spans="1:37" ht="15.75" thickBot="1" x14ac:dyDescent="0.3">
      <c r="A31" s="181"/>
      <c r="B31" s="187"/>
      <c r="C31" s="81" t="s">
        <v>62</v>
      </c>
      <c r="D31" s="83"/>
      <c r="E31" s="126" t="e">
        <f t="shared" si="13"/>
        <v>#DIV/0!</v>
      </c>
      <c r="F31" s="83"/>
      <c r="G31" s="657" t="e">
        <f t="shared" si="14"/>
        <v>#DIV/0!</v>
      </c>
      <c r="H31" s="83"/>
      <c r="I31" s="127" t="e">
        <f t="shared" si="17"/>
        <v>#DIV/0!</v>
      </c>
      <c r="J31" s="128" t="str">
        <f t="shared" si="6"/>
        <v/>
      </c>
      <c r="K31" s="128" t="str">
        <f t="shared" si="7"/>
        <v/>
      </c>
      <c r="L31" s="83">
        <f>+T31+D31</f>
        <v>0</v>
      </c>
      <c r="M31" s="126" t="e">
        <f t="shared" si="18"/>
        <v>#DIV/0!</v>
      </c>
      <c r="N31" s="83">
        <f>+F31</f>
        <v>0</v>
      </c>
      <c r="O31" s="126" t="e">
        <f t="shared" si="16"/>
        <v>#DIV/0!</v>
      </c>
      <c r="P31" s="83"/>
      <c r="Q31" s="126" t="e">
        <f t="shared" si="19"/>
        <v>#DIV/0!</v>
      </c>
      <c r="R31" s="148" t="str">
        <f t="shared" si="8"/>
        <v/>
      </c>
      <c r="S31" s="658" t="str">
        <f t="shared" si="9"/>
        <v/>
      </c>
      <c r="T31" s="170"/>
      <c r="U31" s="170"/>
      <c r="V31" s="10"/>
      <c r="W31" s="15"/>
      <c r="X31" s="15"/>
      <c r="Y31" s="138"/>
      <c r="Z31" s="15"/>
      <c r="AA31" s="15"/>
      <c r="AB31" s="138"/>
      <c r="AC31" s="15"/>
      <c r="AD31" s="15"/>
      <c r="AE31" s="15"/>
      <c r="AF31" s="15"/>
    </row>
    <row r="32" spans="1:37" ht="15.75" thickBot="1" x14ac:dyDescent="0.3">
      <c r="A32" s="181"/>
      <c r="B32" s="181"/>
      <c r="C32" s="73" t="s">
        <v>79</v>
      </c>
      <c r="D32" s="141">
        <f>+D30-D31</f>
        <v>0</v>
      </c>
      <c r="E32" s="142" t="e">
        <f t="shared" si="13"/>
        <v>#DIV/0!</v>
      </c>
      <c r="F32" s="141">
        <f>F30-F31</f>
        <v>2100</v>
      </c>
      <c r="G32" s="227" t="e">
        <f t="shared" si="14"/>
        <v>#DIV/0!</v>
      </c>
      <c r="H32" s="141">
        <f>H30-H31</f>
        <v>0</v>
      </c>
      <c r="I32" s="143" t="e">
        <f t="shared" si="17"/>
        <v>#DIV/0!</v>
      </c>
      <c r="J32" s="144" t="str">
        <f t="shared" si="6"/>
        <v/>
      </c>
      <c r="K32" s="144">
        <f t="shared" si="7"/>
        <v>-1</v>
      </c>
      <c r="L32" s="141">
        <f>L30-L31</f>
        <v>-3845</v>
      </c>
      <c r="M32" s="142" t="e">
        <f t="shared" si="18"/>
        <v>#DIV/0!</v>
      </c>
      <c r="N32" s="141">
        <f>N30-N31</f>
        <v>8972.5</v>
      </c>
      <c r="O32" s="142" t="e">
        <f t="shared" si="16"/>
        <v>#DIV/0!</v>
      </c>
      <c r="P32" s="141">
        <f>P30-P31</f>
        <v>-3845</v>
      </c>
      <c r="Q32" s="142" t="e">
        <f t="shared" si="19"/>
        <v>#DIV/0!</v>
      </c>
      <c r="R32" s="146">
        <f t="shared" si="8"/>
        <v>1</v>
      </c>
      <c r="S32" s="662">
        <f t="shared" si="9"/>
        <v>-1.4285316244079131</v>
      </c>
      <c r="T32" s="173"/>
      <c r="U32" s="173"/>
      <c r="V32" s="10"/>
      <c r="W32" s="15"/>
      <c r="X32" s="15"/>
      <c r="Y32" s="138"/>
      <c r="Z32" s="15"/>
      <c r="AA32" s="15"/>
      <c r="AB32" s="138"/>
      <c r="AC32" s="15"/>
      <c r="AD32" s="15"/>
      <c r="AE32" s="15"/>
    </row>
    <row r="33" spans="1:31" ht="15.75" thickBot="1" x14ac:dyDescent="0.3">
      <c r="A33" s="181"/>
      <c r="B33" s="181"/>
      <c r="C33" s="73" t="s">
        <v>81</v>
      </c>
      <c r="D33" s="141">
        <f>+D27</f>
        <v>0</v>
      </c>
      <c r="E33" s="141" t="e">
        <f t="shared" ref="E33:G33" si="31">+E27</f>
        <v>#DIV/0!</v>
      </c>
      <c r="F33" s="141">
        <f>+F27</f>
        <v>2100</v>
      </c>
      <c r="G33" s="141" t="e">
        <f t="shared" si="31"/>
        <v>#DIV/0!</v>
      </c>
      <c r="H33" s="141">
        <f>+H27</f>
        <v>0</v>
      </c>
      <c r="I33" s="143" t="e">
        <f t="shared" si="17"/>
        <v>#DIV/0!</v>
      </c>
      <c r="J33" s="144" t="str">
        <f t="shared" si="6"/>
        <v/>
      </c>
      <c r="K33" s="144">
        <f t="shared" si="7"/>
        <v>-1</v>
      </c>
      <c r="L33" s="141">
        <f>+L27</f>
        <v>-3795</v>
      </c>
      <c r="M33" s="142" t="e">
        <f t="shared" si="18"/>
        <v>#DIV/0!</v>
      </c>
      <c r="N33" s="141">
        <f>+N27</f>
        <v>10500</v>
      </c>
      <c r="O33" s="142" t="e">
        <f t="shared" si="16"/>
        <v>#DIV/0!</v>
      </c>
      <c r="P33" s="141">
        <f>+P27</f>
        <v>-3795</v>
      </c>
      <c r="Q33" s="142" t="e">
        <f t="shared" si="19"/>
        <v>#DIV/0!</v>
      </c>
      <c r="R33" s="146">
        <f t="shared" si="8"/>
        <v>1</v>
      </c>
      <c r="S33" s="662">
        <f t="shared" si="9"/>
        <v>-1.3614285714285714</v>
      </c>
      <c r="T33" s="173"/>
      <c r="U33" s="173"/>
      <c r="V33" s="10"/>
      <c r="W33" s="15"/>
      <c r="X33" s="15"/>
      <c r="Y33" s="138"/>
      <c r="Z33" s="15"/>
      <c r="AA33" s="15"/>
      <c r="AB33" s="138"/>
      <c r="AC33" s="15"/>
      <c r="AD33" s="15"/>
      <c r="AE33" s="15"/>
    </row>
    <row r="34" spans="1:31" ht="15.75" thickBot="1" x14ac:dyDescent="0.3">
      <c r="A34" s="181"/>
      <c r="B34" s="181"/>
      <c r="C34" s="153" t="s">
        <v>45</v>
      </c>
      <c r="D34" s="154">
        <v>0</v>
      </c>
      <c r="E34" s="155" t="e">
        <f t="shared" si="13"/>
        <v>#DIV/0!</v>
      </c>
      <c r="F34" s="154">
        <v>0</v>
      </c>
      <c r="G34" s="664" t="e">
        <f t="shared" si="14"/>
        <v>#DIV/0!</v>
      </c>
      <c r="H34" s="154">
        <v>0</v>
      </c>
      <c r="I34" s="156" t="e">
        <f t="shared" si="17"/>
        <v>#DIV/0!</v>
      </c>
      <c r="J34" s="157" t="str">
        <f t="shared" si="6"/>
        <v/>
      </c>
      <c r="K34" s="157" t="str">
        <f t="shared" si="7"/>
        <v/>
      </c>
      <c r="L34" s="154">
        <v>0</v>
      </c>
      <c r="M34" s="155" t="e">
        <f t="shared" si="18"/>
        <v>#DIV/0!</v>
      </c>
      <c r="N34" s="154">
        <v>0</v>
      </c>
      <c r="O34" s="155" t="e">
        <f t="shared" si="16"/>
        <v>#DIV/0!</v>
      </c>
      <c r="P34" s="154">
        <v>0</v>
      </c>
      <c r="Q34" s="155" t="e">
        <f t="shared" si="19"/>
        <v>#DIV/0!</v>
      </c>
      <c r="R34" s="160" t="str">
        <f t="shared" si="8"/>
        <v/>
      </c>
      <c r="S34" s="665" t="str">
        <f t="shared" si="9"/>
        <v/>
      </c>
      <c r="T34" s="173"/>
      <c r="U34" s="173"/>
      <c r="V34" s="10"/>
      <c r="W34" s="87"/>
      <c r="X34" s="15"/>
      <c r="Y34" s="138"/>
      <c r="Z34" s="15"/>
      <c r="AA34" s="15"/>
      <c r="AB34" s="138"/>
      <c r="AC34" s="15"/>
      <c r="AD34" s="15"/>
      <c r="AE34" s="15"/>
    </row>
    <row r="35" spans="1:31" x14ac:dyDescent="0.25">
      <c r="A35" s="181"/>
      <c r="B35" s="181"/>
      <c r="F35" s="10" t="s">
        <v>70</v>
      </c>
      <c r="N35" s="666" t="s">
        <v>70</v>
      </c>
      <c r="S35" s="667"/>
      <c r="U35" s="449"/>
    </row>
    <row r="36" spans="1:31" x14ac:dyDescent="0.25">
      <c r="A36" s="181"/>
      <c r="B36" s="181"/>
      <c r="I36" s="149"/>
      <c r="J36" s="149"/>
      <c r="K36" s="149"/>
      <c r="L36" s="149"/>
      <c r="N36" s="149"/>
      <c r="T36" s="149"/>
      <c r="U36" s="149"/>
      <c r="V36" s="10"/>
    </row>
    <row r="37" spans="1:31" x14ac:dyDescent="0.25">
      <c r="A37" s="181"/>
      <c r="B37" s="181"/>
      <c r="N37" s="149"/>
      <c r="T37" s="10"/>
      <c r="U37" s="149"/>
      <c r="V37" s="10"/>
    </row>
    <row r="38" spans="1:31" x14ac:dyDescent="0.25">
      <c r="N38" s="149"/>
      <c r="T38" s="10"/>
      <c r="U38" s="149"/>
      <c r="V38" s="10"/>
    </row>
    <row r="39" spans="1:31" x14ac:dyDescent="0.25">
      <c r="C39" s="15"/>
      <c r="D39" s="15"/>
      <c r="E39" s="15"/>
      <c r="F39" s="15"/>
      <c r="G39" s="15"/>
      <c r="H39" s="15"/>
      <c r="I39" s="15"/>
      <c r="J39" s="15"/>
      <c r="K39" s="15"/>
      <c r="L39" s="87"/>
      <c r="M39" s="15"/>
      <c r="N39" s="15"/>
      <c r="O39" s="15"/>
      <c r="P39" s="15"/>
      <c r="Q39" s="15"/>
      <c r="R39" s="15"/>
      <c r="S39" s="20"/>
      <c r="T39" s="149"/>
      <c r="U39" s="10"/>
      <c r="V39" s="10"/>
    </row>
    <row r="40" spans="1:31" x14ac:dyDescent="0.25"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T40" s="10"/>
    </row>
    <row r="41" spans="1:31" x14ac:dyDescent="0.25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1:31" x14ac:dyDescent="0.25"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1:31" x14ac:dyDescent="0.25">
      <c r="B43" s="11" t="s">
        <v>82</v>
      </c>
    </row>
    <row r="44" spans="1:31" x14ac:dyDescent="0.25">
      <c r="D44" s="304"/>
      <c r="E44" s="304"/>
      <c r="G44" s="304"/>
      <c r="H44" s="304"/>
      <c r="I44" s="78"/>
      <c r="J44" s="78"/>
      <c r="K44" s="78"/>
      <c r="L44" s="78"/>
      <c r="M44" s="78"/>
      <c r="O44" s="78"/>
      <c r="P44" s="78"/>
      <c r="T44" s="231"/>
    </row>
    <row r="45" spans="1:31" x14ac:dyDescent="0.25">
      <c r="F45" s="220"/>
      <c r="N45" s="78"/>
      <c r="U45" s="231"/>
    </row>
  </sheetData>
  <mergeCells count="9">
    <mergeCell ref="L5:M5"/>
    <mergeCell ref="N5:O5"/>
    <mergeCell ref="AA6:AC6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10B03-7309-4E9C-A5A5-D323D3A27C2D}">
  <dimension ref="A1:AL41"/>
  <sheetViews>
    <sheetView topLeftCell="U3" workbookViewId="0">
      <selection activeCell="Y8" sqref="Y8"/>
    </sheetView>
  </sheetViews>
  <sheetFormatPr baseColWidth="10" defaultRowHeight="15" x14ac:dyDescent="0.25"/>
  <cols>
    <col min="1" max="1" width="0" style="10" hidden="1" customWidth="1"/>
    <col min="2" max="2" width="11.42578125" style="10" hidden="1" customWidth="1"/>
    <col min="3" max="3" width="35.7109375" style="10" customWidth="1"/>
    <col min="4" max="4" width="7.85546875" style="10" customWidth="1"/>
    <col min="5" max="5" width="8.5703125" style="10" customWidth="1"/>
    <col min="6" max="6" width="10.42578125" style="10" customWidth="1"/>
    <col min="7" max="7" width="5.85546875" style="10" customWidth="1"/>
    <col min="8" max="8" width="11.140625" style="10" customWidth="1"/>
    <col min="9" max="9" width="8.5703125" style="10" customWidth="1"/>
    <col min="10" max="10" width="7.42578125" style="10" customWidth="1"/>
    <col min="11" max="11" width="9.5703125" style="10" customWidth="1"/>
    <col min="12" max="12" width="11.7109375" style="10" customWidth="1"/>
    <col min="13" max="13" width="8.42578125" style="10" customWidth="1"/>
    <col min="14" max="14" width="9.85546875" style="10" customWidth="1"/>
    <col min="15" max="15" width="6.7109375" style="10" customWidth="1"/>
    <col min="16" max="16" width="9.42578125" style="10" customWidth="1"/>
    <col min="17" max="17" width="8.42578125" style="10" customWidth="1"/>
    <col min="18" max="19" width="9.5703125" style="10" customWidth="1"/>
    <col min="20" max="20" width="11.42578125" style="449"/>
    <col min="21" max="22" width="11.42578125" style="449" customWidth="1"/>
    <col min="23" max="23" width="34.140625" style="10" customWidth="1"/>
    <col min="24" max="30" width="11.42578125" style="10"/>
    <col min="31" max="31" width="9.85546875" style="10" customWidth="1"/>
    <col min="32" max="32" width="10" style="10" customWidth="1"/>
    <col min="33" max="33" width="11.42578125" style="10"/>
    <col min="34" max="34" width="14.28515625" style="10" customWidth="1"/>
    <col min="35" max="16384" width="11.42578125" style="10"/>
  </cols>
  <sheetData>
    <row r="1" spans="1:38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449" t="s">
        <v>5</v>
      </c>
      <c r="U1" s="449" t="s">
        <v>6</v>
      </c>
      <c r="V1" s="449" t="s">
        <v>7</v>
      </c>
    </row>
    <row r="2" spans="1:38" ht="30.75" hidden="1" x14ac:dyDescent="0.3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T2" s="449" t="s">
        <v>10</v>
      </c>
      <c r="U2" s="449" t="s">
        <v>83</v>
      </c>
      <c r="V2" s="449">
        <v>201301</v>
      </c>
      <c r="Z2" s="14"/>
      <c r="AA2" s="14"/>
      <c r="AB2" s="14"/>
      <c r="AC2" s="14"/>
    </row>
    <row r="3" spans="1:38" ht="19.5" thickBot="1" x14ac:dyDescent="0.35">
      <c r="B3" s="10">
        <v>1000</v>
      </c>
      <c r="C3" s="17" t="s">
        <v>188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W3" s="19" t="str">
        <f>+C3</f>
        <v>MUSICAR S.A. CONSOLIDADO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8" ht="19.5" thickBot="1" x14ac:dyDescent="0.35">
      <c r="A4" s="10" t="s">
        <v>93</v>
      </c>
      <c r="B4" s="10">
        <v>1</v>
      </c>
      <c r="C4" s="21"/>
      <c r="D4" s="182">
        <f>+'EL SALVADOR USD'!D4:K4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T4" s="449" t="s">
        <v>12</v>
      </c>
      <c r="W4" s="14"/>
      <c r="X4" s="201" t="str">
        <f>+'COLOMB$ '!X4:Z4</f>
        <v>MAYO</v>
      </c>
      <c r="Y4" s="202"/>
      <c r="Z4" s="202"/>
      <c r="AA4" s="668" t="str">
        <f>+'COLOMB$ '!AA4:AC4</f>
        <v>ACUM  MAYO</v>
      </c>
      <c r="AB4" s="669"/>
      <c r="AC4" s="670"/>
      <c r="AD4" s="10" t="s">
        <v>23</v>
      </c>
      <c r="AE4" s="10" t="s">
        <v>19</v>
      </c>
      <c r="AF4" s="10" t="s">
        <v>20</v>
      </c>
    </row>
    <row r="5" spans="1:38" ht="15.75" customHeight="1" thickTop="1" thickBot="1" x14ac:dyDescent="0.3">
      <c r="A5" s="10" t="s">
        <v>94</v>
      </c>
      <c r="B5" s="10" t="s">
        <v>95</v>
      </c>
      <c r="C5" s="36" t="s">
        <v>111</v>
      </c>
      <c r="D5" s="184" t="str">
        <f>+'COLOMB$ '!D5:E5</f>
        <v>Ppto 2022</v>
      </c>
      <c r="E5" s="185"/>
      <c r="F5" s="184" t="str">
        <f>+'COLOMB$ '!F5:G5</f>
        <v>Real 2021</v>
      </c>
      <c r="G5" s="185"/>
      <c r="H5" s="184" t="str">
        <f>+'COLOMB$ '!H5:I5</f>
        <v>real 2022</v>
      </c>
      <c r="I5" s="185"/>
      <c r="J5" s="39" t="s">
        <v>19</v>
      </c>
      <c r="K5" s="40" t="s">
        <v>20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19</v>
      </c>
      <c r="S5" s="41" t="s">
        <v>20</v>
      </c>
      <c r="T5" s="449" t="s">
        <v>170</v>
      </c>
      <c r="U5" s="449" t="s">
        <v>171</v>
      </c>
      <c r="V5" s="449" t="s">
        <v>87</v>
      </c>
      <c r="W5" s="208" t="s">
        <v>111</v>
      </c>
      <c r="X5" s="671" t="str">
        <f>+D5</f>
        <v>Ppto 2022</v>
      </c>
      <c r="Y5" s="671" t="str">
        <f>+F5</f>
        <v>Real 2021</v>
      </c>
      <c r="Z5" s="210" t="str">
        <f>+P5</f>
        <v>real 2022</v>
      </c>
      <c r="AA5" s="672" t="str">
        <f>+X5</f>
        <v>Ppto 2022</v>
      </c>
      <c r="AB5" s="673" t="str">
        <f>+Y5</f>
        <v>Real 2021</v>
      </c>
      <c r="AC5" s="674" t="str">
        <f t="shared" ref="AC5" si="0">+H5</f>
        <v>real 2022</v>
      </c>
      <c r="AD5" s="47" t="s">
        <v>23</v>
      </c>
      <c r="AE5" s="47" t="s">
        <v>19</v>
      </c>
      <c r="AF5" s="47" t="s">
        <v>20</v>
      </c>
    </row>
    <row r="6" spans="1:38" ht="16.5" thickTop="1" thickBot="1" x14ac:dyDescent="0.3">
      <c r="C6" s="50" t="s">
        <v>25</v>
      </c>
      <c r="D6" s="247" t="s">
        <v>26</v>
      </c>
      <c r="E6" s="248" t="s">
        <v>27</v>
      </c>
      <c r="F6" s="247" t="s">
        <v>26</v>
      </c>
      <c r="G6" s="53" t="s">
        <v>27</v>
      </c>
      <c r="H6" s="186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247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6" t="s">
        <v>28</v>
      </c>
      <c r="T6" s="449" t="s">
        <v>26</v>
      </c>
      <c r="U6" s="449" t="s">
        <v>26</v>
      </c>
      <c r="V6" s="449" t="s">
        <v>26</v>
      </c>
      <c r="W6" s="57" t="str">
        <f>+'COLOMB$ '!W6</f>
        <v xml:space="preserve">Flujo de Caja </v>
      </c>
      <c r="X6" s="621" t="s">
        <v>26</v>
      </c>
      <c r="Y6" s="621" t="s">
        <v>26</v>
      </c>
      <c r="Z6" s="623" t="s">
        <v>26</v>
      </c>
      <c r="AA6" s="675" t="s">
        <v>189</v>
      </c>
      <c r="AB6" s="676"/>
      <c r="AC6" s="677"/>
      <c r="AD6" s="627" t="s">
        <v>26</v>
      </c>
      <c r="AE6" s="622" t="s">
        <v>28</v>
      </c>
      <c r="AF6" s="622" t="s">
        <v>28</v>
      </c>
    </row>
    <row r="7" spans="1:38" ht="15.75" thickBot="1" x14ac:dyDescent="0.3">
      <c r="B7" s="11" t="s">
        <v>96</v>
      </c>
      <c r="C7" s="255" t="str">
        <f>+'PANAMA USD'!C7</f>
        <v>Fact. Musical Experience  (Ambiental)</v>
      </c>
      <c r="D7" s="66">
        <f>'COLOMBIA USD'!D7+'EL SALVADOR USD'!D7+'VENEZUELA USD'!D7+'PANAMA USD'!D7</f>
        <v>109009.52941176471</v>
      </c>
      <c r="E7" s="102">
        <f t="shared" ref="E7:E34" si="1">+D7/$D$17</f>
        <v>0.43523465501634934</v>
      </c>
      <c r="F7" s="66">
        <f>'COLOMBIA USD'!F7+'EL SALVADOR USD'!F7+'VENEZUELA USD'!F7+'PANAMA USD'!F7</f>
        <v>3172306.6955426997</v>
      </c>
      <c r="G7" s="102">
        <f t="shared" ref="G7:G34" si="2">+F7/$F$17</f>
        <v>0.43821334735300593</v>
      </c>
      <c r="H7" s="678">
        <f>'COLOMBIA USD'!H7+'EL SALVADOR USD'!H7+'VENEZUELA USD'!H7+'PANAMA USD'!H7</f>
        <v>93695.399964520213</v>
      </c>
      <c r="I7" s="68">
        <f t="shared" ref="I7:I34" si="3">+H7/$H$17</f>
        <v>0.43395485770831999</v>
      </c>
      <c r="J7" s="69">
        <f>IF(D7=0,"",(H7-D7)/ABS(D7)+1)</f>
        <v>0.85951568151993374</v>
      </c>
      <c r="K7" s="69">
        <f>IF(F7=0,"",(H7-F7)/ABS(F7))</f>
        <v>-0.97046458335943098</v>
      </c>
      <c r="L7" s="66">
        <f>'COLOMBIA USD'!L7+'EL SALVADOR USD'!L7+'VENEZUELA USD'!L7+'PANAMA USD'!L7</f>
        <v>567605.4705882353</v>
      </c>
      <c r="M7" s="67">
        <f t="shared" ref="M7:M34" si="4">+L7/$L$17</f>
        <v>0.45483680604249682</v>
      </c>
      <c r="N7" s="66">
        <f>'COLOMBIA USD'!N7+'EL SALVADOR USD'!N7+'VENEZUELA USD'!N7+'PANAMA USD'!N7</f>
        <v>9326734.4194219597</v>
      </c>
      <c r="O7" s="67">
        <f t="shared" ref="O7:O34" si="5">+N7/$N$17</f>
        <v>0.46666232855863288</v>
      </c>
      <c r="P7" s="678">
        <f>'COLOMBIA USD'!P7+'EL SALVADOR USD'!P7+'VENEZUELA USD'!P7+'PANAMA USD'!P7</f>
        <v>492491.34048298729</v>
      </c>
      <c r="Q7" s="68">
        <f t="shared" ref="Q7:Q34" si="6">+P7/$P$17</f>
        <v>0.46813065903007184</v>
      </c>
      <c r="R7" s="69">
        <f>IF(L7=0,"",(P7-L7)/ABS(L7)+1)</f>
        <v>0.86766489401977775</v>
      </c>
      <c r="S7" s="351">
        <f>IF(N7=0,"",(P7-N7)/ABS(N7))</f>
        <v>-0.94719573664953671</v>
      </c>
      <c r="T7" s="449">
        <v>2956718.2826860175</v>
      </c>
      <c r="U7" s="449">
        <v>2931981.4973882008</v>
      </c>
      <c r="V7" s="449">
        <v>2663157.4020066904</v>
      </c>
      <c r="W7" s="73" t="s">
        <v>34</v>
      </c>
      <c r="X7" s="75">
        <f>'COLOMBIA USD'!X7+'EL SALVADOR USD'!X7+'VENEZUELA USD'!X7+'PANAMA USD'!X7</f>
        <v>48922.434178901887</v>
      </c>
      <c r="Y7" s="75">
        <f>'COLOMBIA USD'!Y7+'EL SALVADOR USD'!Y7+'VENEZUELA USD'!Y7+'PANAMA USD'!Y7</f>
        <v>1027139.7249604246</v>
      </c>
      <c r="Z7" s="74">
        <f>'COLOMBIA USD'!Z7+'EL SALVADOR USD'!Z7+'VENEZUELA USD'!Z7+'PANAMA USD'!Z7</f>
        <v>63046.423498694545</v>
      </c>
      <c r="AA7" s="679">
        <f>'COLOMBIA USD'!AA7+'EL SALVADOR USD'!AA7+'VENEZUELA USD'!AA7+'PANAMA USD'!AA7</f>
        <v>174131.01842770175</v>
      </c>
      <c r="AB7" s="680">
        <f>'COLOMBIA USD'!AB7+'EL SALVADOR USD'!AB7+'VENEZUELA USD'!AB7+'PANAMA USD'!AB7</f>
        <v>685218.83847914508</v>
      </c>
      <c r="AC7" s="681">
        <f>'COLOMBIA USD'!AC7+'EL SALVADOR USD'!AC7+'VENEZUELA USD'!AC7+'PANAMA USD'!AC7</f>
        <v>155231.47316637868</v>
      </c>
      <c r="AD7" s="76">
        <f>+AC7-AA7</f>
        <v>-18899.545261323074</v>
      </c>
      <c r="AE7" s="77">
        <f>IF(AA7=0,"",(AC7-AA7)/ABS(AA7)+1)</f>
        <v>0.89146364942917933</v>
      </c>
      <c r="AF7" s="77">
        <f>IF(Y7=0,"",(AC7-AB7)/ABS(AB7))</f>
        <v>-0.77345708487682918</v>
      </c>
      <c r="AG7" s="149"/>
      <c r="AH7" s="87">
        <f>+'COLOMBIA USD'!Y7+'EL SALVADOR USD'!Y7+'VENEZUELA USD'!Y7+'PANAMA USD'!Y7</f>
        <v>1027139.7249604246</v>
      </c>
      <c r="AI7" s="87">
        <f>+'COLOMBIA USD'!Z7+'EL SALVADOR USD'!Z7+'VENEZUELA USD'!Z7+'PANAMA USD'!Z7</f>
        <v>63046.423498694545</v>
      </c>
      <c r="AJ7" s="87">
        <f>+'COLOMBIA USD'!AA7+'EL SALVADOR USD'!AA7+'VENEZUELA USD'!AA7+'PANAMA USD'!AA7</f>
        <v>174131.01842770175</v>
      </c>
      <c r="AK7" s="87">
        <f>+'COLOMBIA USD'!AB7+'EL SALVADOR USD'!AB7+'VENEZUELA USD'!AB7+'PANAMA USD'!AB7</f>
        <v>685218.83847914508</v>
      </c>
      <c r="AL7" s="87">
        <f>+'COLOMBIA USD'!AC7+'EL SALVADOR USD'!AC7+'VENEZUELA USD'!AC7+'PANAMA USD'!AC7</f>
        <v>155231.47316637868</v>
      </c>
    </row>
    <row r="8" spans="1:38" x14ac:dyDescent="0.25">
      <c r="B8" s="11" t="s">
        <v>97</v>
      </c>
      <c r="C8" s="255" t="str">
        <f>+'PANAMA USD'!C8</f>
        <v>Instalaciones</v>
      </c>
      <c r="D8" s="66">
        <f>'COLOMBIA USD'!D8+'EL SALVADOR USD'!D8+'VENEZUELA USD'!D8+'PANAMA USD'!D8</f>
        <v>15009.68</v>
      </c>
      <c r="E8" s="102">
        <f t="shared" si="1"/>
        <v>5.992809006659891E-2</v>
      </c>
      <c r="F8" s="66">
        <f>'COLOMBIA USD'!F8+'EL SALVADOR USD'!F8+'VENEZUELA USD'!F8+'PANAMA USD'!F8</f>
        <v>2180336.466383345</v>
      </c>
      <c r="G8" s="102">
        <f t="shared" si="2"/>
        <v>0.30118542530334291</v>
      </c>
      <c r="H8" s="678">
        <f>'COLOMBIA USD'!H8+'EL SALVADOR USD'!H8+'VENEZUELA USD'!H8+'PANAMA USD'!H8</f>
        <v>12794.96555374026</v>
      </c>
      <c r="I8" s="68">
        <f t="shared" si="3"/>
        <v>5.9260512878527231E-2</v>
      </c>
      <c r="J8" s="69">
        <f t="shared" ref="J8:J34" si="7">IF(D8=0,"",(H8-D8)/ABS(D8)+1)</f>
        <v>0.85244759073746135</v>
      </c>
      <c r="K8" s="69">
        <f t="shared" ref="K8:K34" si="8">IF(F8=0,"",(H8-F8)/ABS(F8))</f>
        <v>-0.99413165548023708</v>
      </c>
      <c r="L8" s="66">
        <f>'COLOMBIA USD'!L8+'EL SALVADOR USD'!L8+'VENEZUELA USD'!L8+'PANAMA USD'!L8</f>
        <v>57994.989411764705</v>
      </c>
      <c r="M8" s="67">
        <f t="shared" si="4"/>
        <v>4.6472870888961827E-2</v>
      </c>
      <c r="N8" s="66">
        <f>'COLOMBIA USD'!N8+'EL SALVADOR USD'!N8+'VENEZUELA USD'!N8+'PANAMA USD'!N8</f>
        <v>3708857.3983545732</v>
      </c>
      <c r="O8" s="67">
        <f t="shared" si="5"/>
        <v>0.18557235061865593</v>
      </c>
      <c r="P8" s="678">
        <f>'COLOMBIA USD'!P8+'EL SALVADOR USD'!P8+'VENEZUELA USD'!P8+'PANAMA USD'!P8</f>
        <v>43296.527711523646</v>
      </c>
      <c r="Q8" s="68">
        <f t="shared" si="6"/>
        <v>4.1154900371308131E-2</v>
      </c>
      <c r="R8" s="69">
        <f t="shared" ref="R8:R34" si="9">IF(L8=0,"",(P8-L8)/ABS(L8)+1)</f>
        <v>0.74655635168959322</v>
      </c>
      <c r="S8" s="351">
        <f t="shared" ref="S8:S34" si="10">IF(N8=0,"",(P8-N8)/ABS(N8))</f>
        <v>-0.98832618160764762</v>
      </c>
      <c r="T8" s="449">
        <v>515074.48582066695</v>
      </c>
      <c r="U8" s="449">
        <v>349988.04682248656</v>
      </c>
      <c r="V8" s="449">
        <v>424359.99280429352</v>
      </c>
      <c r="W8" s="81" t="s">
        <v>37</v>
      </c>
      <c r="X8" s="82">
        <f>'COLOMBIA USD'!X8+'EL SALVADOR USD'!X8+'VENEZUELA USD'!X8+'PANAMA USD'!X8</f>
        <v>316608.3364471895</v>
      </c>
      <c r="Y8" s="82">
        <f>'COLOMBIA USD'!Y8+'EL SALVADOR USD'!Y8+'VENEZUELA USD'!Y8+'PANAMA USD'!Y8</f>
        <v>7184074.5993840834</v>
      </c>
      <c r="Z8" s="83">
        <f>'COLOMBIA USD'!Z8+'EL SALVADOR USD'!Z8+'VENEZUELA USD'!Z8+'PANAMA USD'!Z8</f>
        <v>258201.71333560543</v>
      </c>
      <c r="AA8" s="682">
        <f>'COLOMBIA USD'!AA8+'EL SALVADOR USD'!AA8+'VENEZUELA USD'!AA8+'PANAMA USD'!AA8</f>
        <v>1470426.0185151633</v>
      </c>
      <c r="AB8" s="683">
        <f>'COLOMBIA USD'!AB8+'EL SALVADOR USD'!AB8+'VENEZUELA USD'!AB8+'PANAMA USD'!AB8</f>
        <v>18244640.100203153</v>
      </c>
      <c r="AC8" s="262">
        <f>'COLOMBIA USD'!AC8+'EL SALVADOR USD'!AC8+'VENEZUELA USD'!AC8+'PANAMA USD'!AC8</f>
        <v>1296771.1026736097</v>
      </c>
      <c r="AD8" s="85">
        <f>+AC8-AA8</f>
        <v>-173654.91584155359</v>
      </c>
      <c r="AE8" s="86">
        <f>IF(AA8=0,"",(AC8-AA8)/ABS(AA8)+1)</f>
        <v>0.88190163010247169</v>
      </c>
      <c r="AF8" s="86">
        <f>IF(AB8=0,"",(AC8-AB8)/ABS(AB8))</f>
        <v>-0.92892317439250727</v>
      </c>
      <c r="AG8" s="149"/>
      <c r="AH8" s="87">
        <f>+'COLOMBIA USD'!Y8+'EL SALVADOR USD'!Y8+'VENEZUELA USD'!Y8+'PANAMA USD'!Y8</f>
        <v>7184074.5993840834</v>
      </c>
      <c r="AI8" s="87">
        <f>+'COLOMBIA USD'!Z8+'EL SALVADOR USD'!Z8+'VENEZUELA USD'!Z8+'PANAMA USD'!Z8</f>
        <v>258201.71333560543</v>
      </c>
      <c r="AJ8" s="87">
        <f>+'COLOMBIA USD'!AD8+'EL SALVADOR USD'!AD8+'VENEZUELA USD'!AD8+'PANAMA USD'!AD8</f>
        <v>-173654.91584155356</v>
      </c>
      <c r="AL8" s="87">
        <f>+'COLOMBIA USD'!AC8+'EL SALVADOR USD'!AC8+'VENEZUELA USD'!AC8+'PANAMA USD'!AC8</f>
        <v>1296771.1026736097</v>
      </c>
    </row>
    <row r="9" spans="1:38" x14ac:dyDescent="0.25">
      <c r="B9" s="11" t="s">
        <v>98</v>
      </c>
      <c r="C9" s="255" t="str">
        <f>+'PANAMA USD'!C9</f>
        <v>Publihold- Audicom</v>
      </c>
      <c r="D9" s="66">
        <f>'COLOMBIA USD'!D9+'EL SALVADOR USD'!D9+'VENEZUELA USD'!D9+'PANAMA USD'!D9</f>
        <v>24762.484117647058</v>
      </c>
      <c r="E9" s="102">
        <f t="shared" si="1"/>
        <v>9.8867422788165904E-2</v>
      </c>
      <c r="F9" s="66">
        <f>'COLOMBIA USD'!F9+'EL SALVADOR USD'!F9+'VENEZUELA USD'!F9+'PANAMA USD'!F9</f>
        <v>764316.54469876934</v>
      </c>
      <c r="G9" s="102">
        <f t="shared" si="2"/>
        <v>0.10558049508905777</v>
      </c>
      <c r="H9" s="678">
        <f>'COLOMBIA USD'!H9+'EL SALVADOR USD'!H9+'VENEZUELA USD'!H9+'PANAMA USD'!H9</f>
        <v>21067.32228992278</v>
      </c>
      <c r="I9" s="68">
        <f t="shared" si="3"/>
        <v>9.7574340363354828E-2</v>
      </c>
      <c r="J9" s="69">
        <f t="shared" si="7"/>
        <v>0.8507758022107762</v>
      </c>
      <c r="K9" s="69">
        <f t="shared" si="8"/>
        <v>-0.97243639113133973</v>
      </c>
      <c r="L9" s="66">
        <f>'COLOMBIA USD'!L9+'EL SALVADOR USD'!L9+'VENEZUELA USD'!L9+'PANAMA USD'!L9</f>
        <v>133070.92882352939</v>
      </c>
      <c r="M9" s="67">
        <f t="shared" si="4"/>
        <v>0.1066331446391402</v>
      </c>
      <c r="N9" s="66">
        <f>'COLOMBIA USD'!N9+'EL SALVADOR USD'!N9+'VENEZUELA USD'!N9+'PANAMA USD'!N9</f>
        <v>3182701.1976831872</v>
      </c>
      <c r="O9" s="67">
        <f t="shared" si="5"/>
        <v>0.15924617183526885</v>
      </c>
      <c r="P9" s="678">
        <f>'COLOMBIA USD'!P9+'EL SALVADOR USD'!P9+'VENEZUELA USD'!P9+'PANAMA USD'!P9</f>
        <v>123838.43320636594</v>
      </c>
      <c r="Q9" s="68">
        <f t="shared" si="6"/>
        <v>0.11771286636896763</v>
      </c>
      <c r="R9" s="69">
        <f t="shared" si="9"/>
        <v>0.93061974017324978</v>
      </c>
      <c r="S9" s="351">
        <f t="shared" si="10"/>
        <v>-0.96109014779756496</v>
      </c>
      <c r="T9" s="449">
        <v>1693244.9035184504</v>
      </c>
      <c r="U9" s="449">
        <v>1431513.90248228</v>
      </c>
      <c r="V9" s="449">
        <v>1585373.1001398442</v>
      </c>
      <c r="W9" s="81" t="s">
        <v>40</v>
      </c>
      <c r="X9" s="82">
        <f>'COLOMBIA USD'!X9+'EL SALVADOR USD'!X9+'VENEZUELA USD'!X9+'PANAMA USD'!X9</f>
        <v>36660.23529411765</v>
      </c>
      <c r="Y9" s="82">
        <f>'COLOMBIA USD'!Y9+'EL SALVADOR USD'!Y9+'VENEZUELA USD'!Y9+'PANAMA USD'!Y9</f>
        <v>84375.747364936164</v>
      </c>
      <c r="Z9" s="91">
        <f>'COLOMBIA USD'!Z9+'EL SALVADOR USD'!Z9+'VENEZUELA USD'!Z9+'PANAMA USD'!Z9</f>
        <v>32968.307946139648</v>
      </c>
      <c r="AA9" s="682">
        <f>'COLOMBIA USD'!AA9+'EL SALVADOR USD'!AA9+'VENEZUELA USD'!AA9+'PANAMA USD'!AA9</f>
        <v>202599.82352941175</v>
      </c>
      <c r="AB9" s="683">
        <f>'COLOMBIA USD'!AB9+'EL SALVADOR USD'!AB9+'VENEZUELA USD'!AB9+'PANAMA USD'!AB9</f>
        <v>243730.16129605303</v>
      </c>
      <c r="AC9" s="262">
        <f>'COLOMBIA USD'!AC9+'EL SALVADOR USD'!AC9+'VENEZUELA USD'!AC9+'PANAMA USD'!AC9</f>
        <v>176286.3067402117</v>
      </c>
      <c r="AD9" s="85">
        <f>+AA9-AC9</f>
        <v>26313.516789200046</v>
      </c>
      <c r="AE9" s="86">
        <f>IF(AA9=0,"",(AC9-AA9)/ABS(AA9)+1)</f>
        <v>0.87012073193943296</v>
      </c>
      <c r="AF9" s="86">
        <f t="shared" ref="AF9:AF21" si="11">IF(AB9=0,"",(AC9-AB9)/ABS(AB9))</f>
        <v>-0.27671525837099392</v>
      </c>
      <c r="AG9" s="149"/>
      <c r="AH9" s="87">
        <f>+'COLOMBIA USD'!Y9+'EL SALVADOR USD'!Y9+'VENEZUELA USD'!Y9+'PANAMA USD'!Y9</f>
        <v>84375.747364936164</v>
      </c>
      <c r="AI9" s="87">
        <f>+'COLOMBIA USD'!Z9+'EL SALVADOR USD'!Z9+'VENEZUELA USD'!Z9+'PANAMA USD'!Z9</f>
        <v>32968.307946139648</v>
      </c>
      <c r="AJ9" s="87">
        <f>+'COLOMBIA USD'!AD9+'EL SALVADOR USD'!AD9+'VENEZUELA USD'!AD9+'PANAMA USD'!AD9</f>
        <v>26313.516789200035</v>
      </c>
      <c r="AL9" s="87">
        <f>+'COLOMBIA USD'!AC9+'EL SALVADOR USD'!AC9+'VENEZUELA USD'!AC9+'PANAMA USD'!AC9</f>
        <v>176286.3067402117</v>
      </c>
    </row>
    <row r="10" spans="1:38" x14ac:dyDescent="0.25">
      <c r="B10" s="11"/>
      <c r="C10" s="255" t="str">
        <f>+'PANAMA USD'!C10</f>
        <v>Soluciones para Redes de Audio</v>
      </c>
      <c r="D10" s="66">
        <f>'COLOMBIA USD'!D10+'EL SALVADOR USD'!D10+'VENEZUELA USD'!D10+'PANAMA USD'!D10</f>
        <v>27054.111764705882</v>
      </c>
      <c r="E10" s="102">
        <f t="shared" si="1"/>
        <v>0.10801704276887497</v>
      </c>
      <c r="F10" s="66">
        <f>'COLOMBIA USD'!F10+'EL SALVADOR USD'!F10+'VENEZUELA USD'!F10+'PANAMA USD'!F10</f>
        <v>10294.890829224176</v>
      </c>
      <c r="G10" s="102">
        <f t="shared" si="2"/>
        <v>1.4221066888793715E-3</v>
      </c>
      <c r="H10" s="678">
        <f>'COLOMBIA USD'!H10+'EL SALVADOR USD'!H10+'VENEZUELA USD'!H10+'PANAMA USD'!H10</f>
        <v>24972.619710965817</v>
      </c>
      <c r="I10" s="68">
        <f t="shared" si="3"/>
        <v>0.11566191763288079</v>
      </c>
      <c r="J10" s="69">
        <f t="shared" si="7"/>
        <v>0.92306189640069691</v>
      </c>
      <c r="K10" s="69">
        <f t="shared" si="8"/>
        <v>1.4257294346508147</v>
      </c>
      <c r="L10" s="66">
        <f>'COLOMBIA USD'!L10+'EL SALVADOR USD'!L10+'VENEZUELA USD'!L10+'PANAMA USD'!L10</f>
        <v>125130.34352941177</v>
      </c>
      <c r="M10" s="67">
        <f t="shared" si="4"/>
        <v>0.10027015019946092</v>
      </c>
      <c r="N10" s="66">
        <f>'COLOMBIA USD'!N10+'EL SALVADOR USD'!N10+'VENEZUELA USD'!N10+'PANAMA USD'!N10</f>
        <v>424368.7968865232</v>
      </c>
      <c r="O10" s="67">
        <f t="shared" si="5"/>
        <v>2.1233255072675705E-2</v>
      </c>
      <c r="P10" s="678">
        <f>'COLOMBIA USD'!P10+'EL SALVADOR USD'!P10+'VENEZUELA USD'!P10+'PANAMA USD'!P10</f>
        <v>85178.705930145006</v>
      </c>
      <c r="Q10" s="68">
        <f t="shared" si="6"/>
        <v>8.0965410890884312E-2</v>
      </c>
      <c r="R10" s="69">
        <f t="shared" si="9"/>
        <v>0.68071982804173981</v>
      </c>
      <c r="S10" s="351">
        <f t="shared" si="10"/>
        <v>-0.79928141146314791</v>
      </c>
      <c r="T10" s="449">
        <v>983583.34269472759</v>
      </c>
      <c r="U10" s="449">
        <v>477243.50370787311</v>
      </c>
      <c r="V10" s="449">
        <v>809910.14876960241</v>
      </c>
      <c r="W10" s="81" t="s">
        <v>43</v>
      </c>
      <c r="X10" s="82">
        <f>'COLOMBIA USD'!X10+'EL SALVADOR USD'!X10+'VENEZUELA USD'!X10+'PANAMA USD'!X10</f>
        <v>2456.7647058823527</v>
      </c>
      <c r="Y10" s="82">
        <f>'COLOMBIA USD'!Y10+'EL SALVADOR USD'!Y10+'VENEZUELA USD'!Y10+'PANAMA USD'!Y10</f>
        <v>1887.0287030856355</v>
      </c>
      <c r="Z10" s="91">
        <f>'COLOMBIA USD'!Z10+'EL SALVADOR USD'!Z10+'VENEZUELA USD'!Z10+'PANAMA USD'!Z10</f>
        <v>2599.2352402909764</v>
      </c>
      <c r="AA10" s="682">
        <f>'COLOMBIA USD'!AA10+'EL SALVADOR USD'!AA10+'VENEZUELA USD'!AA10+'PANAMA USD'!AA10</f>
        <v>12283.823529411764</v>
      </c>
      <c r="AB10" s="683">
        <f>'COLOMBIA USD'!AB10+'EL SALVADOR USD'!AB10+'VENEZUELA USD'!AB10+'PANAMA USD'!AB10</f>
        <v>9818.4602506405954</v>
      </c>
      <c r="AC10" s="262">
        <f>'COLOMBIA USD'!AC10+'EL SALVADOR USD'!AC10+'VENEZUELA USD'!AC10+'PANAMA USD'!AC10</f>
        <v>12110.767980288012</v>
      </c>
      <c r="AD10" s="85">
        <f>+AA10-AC10</f>
        <v>173.05554912375192</v>
      </c>
      <c r="AE10" s="86">
        <f t="shared" ref="AE10:AE21" si="12">IF(AA10=0,"",(AC10-AA10)/ABS(AA10)+1)</f>
        <v>0.9859119150719321</v>
      </c>
      <c r="AF10" s="86">
        <f t="shared" si="11"/>
        <v>0.23346916635914042</v>
      </c>
      <c r="AG10" s="149"/>
      <c r="AH10" s="87">
        <f>+'COLOMBIA USD'!Y10+'EL SALVADOR USD'!Y10+'VENEZUELA USD'!Y10+'PANAMA USD'!Y10</f>
        <v>1887.0287030856355</v>
      </c>
      <c r="AI10" s="87">
        <f>+'COLOMBIA USD'!Z10+'EL SALVADOR USD'!Z10+'VENEZUELA USD'!Z10+'PANAMA USD'!Z10</f>
        <v>2599.2352402909764</v>
      </c>
      <c r="AJ10" s="87">
        <f>+'COLOMBIA USD'!AD10+'EL SALVADOR USD'!AD10+'VENEZUELA USD'!AD10+'PANAMA USD'!AD10</f>
        <v>173.05554912375192</v>
      </c>
      <c r="AL10" s="87">
        <f>+'COLOMBIA USD'!AC10+'EL SALVADOR USD'!AC10+'VENEZUELA USD'!AC10+'PANAMA USD'!AC10</f>
        <v>12110.767980288012</v>
      </c>
    </row>
    <row r="11" spans="1:38" x14ac:dyDescent="0.25">
      <c r="B11" s="11"/>
      <c r="C11" s="255" t="str">
        <f>+'PANAMA USD'!C11</f>
        <v>POP Satelital</v>
      </c>
      <c r="D11" s="66">
        <f>'COLOMBIA USD'!D11+'EL SALVADOR USD'!D11+'VENEZUELA USD'!D11+'PANAMA USD'!D11</f>
        <v>0</v>
      </c>
      <c r="E11" s="102">
        <f t="shared" si="1"/>
        <v>0</v>
      </c>
      <c r="F11" s="66">
        <f>'COLOMBIA USD'!F11+'EL SALVADOR USD'!F11+'VENEZUELA USD'!F11+'PANAMA USD'!F11</f>
        <v>0</v>
      </c>
      <c r="G11" s="102">
        <f t="shared" si="2"/>
        <v>0</v>
      </c>
      <c r="H11" s="678">
        <f>'COLOMBIA USD'!H11+'EL SALVADOR USD'!H14+'VENEZUELA USD'!H11+'PANAMA USD'!H11</f>
        <v>0</v>
      </c>
      <c r="I11" s="68">
        <f t="shared" si="3"/>
        <v>0</v>
      </c>
      <c r="J11" s="69" t="str">
        <f t="shared" si="7"/>
        <v/>
      </c>
      <c r="K11" s="69" t="str">
        <f t="shared" si="8"/>
        <v/>
      </c>
      <c r="L11" s="66">
        <f>'COLOMBIA USD'!L11+'EL SALVADOR USD'!L14+'VENEZUELA USD'!L11+'PANAMA USD'!L11</f>
        <v>0</v>
      </c>
      <c r="M11" s="67">
        <f t="shared" si="4"/>
        <v>0</v>
      </c>
      <c r="N11" s="66">
        <f>'COLOMBIA USD'!N11+'EL SALVADOR USD'!N14+'VENEZUELA USD'!N11+'PANAMA USD'!N11</f>
        <v>0</v>
      </c>
      <c r="O11" s="67">
        <f t="shared" si="5"/>
        <v>0</v>
      </c>
      <c r="P11" s="678">
        <f>'COLOMBIA USD'!P11+'EL SALVADOR USD'!P11+'VENEZUELA USD'!P11+'PANAMA USD'!P11</f>
        <v>0</v>
      </c>
      <c r="Q11" s="68">
        <f t="shared" si="6"/>
        <v>0</v>
      </c>
      <c r="R11" s="69" t="str">
        <f t="shared" si="9"/>
        <v/>
      </c>
      <c r="S11" s="351" t="str">
        <f t="shared" si="10"/>
        <v/>
      </c>
      <c r="T11" s="449">
        <v>59552.243559122326</v>
      </c>
      <c r="U11" s="449">
        <v>70628.289132133621</v>
      </c>
      <c r="V11" s="449">
        <v>73014.288292304918</v>
      </c>
      <c r="W11" s="81" t="s">
        <v>45</v>
      </c>
      <c r="X11" s="82">
        <f>'COLOMBIA USD'!X11+'EL SALVADOR USD'!X11+'VENEZUELA USD'!X11+'PANAMA USD'!X11</f>
        <v>111207.9996075853</v>
      </c>
      <c r="Y11" s="82">
        <f>'COLOMBIA USD'!Y11+'EL SALVADOR USD'!Y11+'VENEZUELA USD'!Y11+'PANAMA USD'!Y11</f>
        <v>802691.39380396111</v>
      </c>
      <c r="Z11" s="91">
        <f>'COLOMBIA USD'!Z11+'EL SALVADOR USD'!Z11+'VENEZUELA USD'!Z11+'PANAMA USD'!Z11</f>
        <v>97230.676435894144</v>
      </c>
      <c r="AA11" s="682">
        <f>'COLOMBIA USD'!AA11+'EL SALVADOR USD'!AA11+'VENEZUELA USD'!AA11+'PANAMA USD'!AA11</f>
        <v>606328.70431269414</v>
      </c>
      <c r="AB11" s="683">
        <f>'COLOMBIA USD'!AB11+'EL SALVADOR USD'!AB11+'VENEZUELA USD'!AB11+'PANAMA USD'!AB11</f>
        <v>3162398.9044586616</v>
      </c>
      <c r="AC11" s="262">
        <f>'COLOMBIA USD'!AC11+'EL SALVADOR USD'!AC11+'VENEZUELA USD'!AC11+'PANAMA USD'!AC11</f>
        <v>527699.76867380354</v>
      </c>
      <c r="AD11" s="85">
        <f>+AA11-AC11</f>
        <v>78628.935638890602</v>
      </c>
      <c r="AE11" s="86">
        <f t="shared" si="12"/>
        <v>0.87031962188229128</v>
      </c>
      <c r="AF11" s="86">
        <f t="shared" si="11"/>
        <v>-0.8331330788377771</v>
      </c>
      <c r="AG11" s="149"/>
      <c r="AH11" s="87">
        <f>+'COLOMBIA USD'!Y11+'EL SALVADOR USD'!Y11+'VENEZUELA USD'!Y11+'PANAMA USD'!Y11</f>
        <v>802691.39380396111</v>
      </c>
      <c r="AI11" s="87">
        <f>+'COLOMBIA USD'!Z11+'EL SALVADOR USD'!Z11+'VENEZUELA USD'!Z11+'PANAMA USD'!Z11</f>
        <v>97230.676435894144</v>
      </c>
      <c r="AJ11" s="87">
        <f>+'COLOMBIA USD'!AD11+'EL SALVADOR USD'!AD11+'VENEZUELA USD'!AD11+'PANAMA USD'!AD11</f>
        <v>78628.935638890631</v>
      </c>
      <c r="AL11" s="87">
        <f>+'COLOMBIA USD'!AC11+'EL SALVADOR USD'!AC11+'VENEZUELA USD'!AC11+'PANAMA USD'!AC11</f>
        <v>527699.76867380354</v>
      </c>
    </row>
    <row r="12" spans="1:38" x14ac:dyDescent="0.25">
      <c r="B12" s="219" t="s">
        <v>99</v>
      </c>
      <c r="C12" s="255" t="str">
        <f>+'PANAMA USD'!C12</f>
        <v>Lineas Nuevas</v>
      </c>
      <c r="D12" s="66">
        <f>'COLOMBIA USD'!D12+'EL SALVADOR USD'!D12+'VENEZUELA USD'!D12+'PANAMA USD'!D12</f>
        <v>36494.23529411765</v>
      </c>
      <c r="E12" s="102">
        <f t="shared" si="1"/>
        <v>0.14570795777241988</v>
      </c>
      <c r="F12" s="66">
        <f>'COLOMBIA USD'!F12+'EL SALVADOR USD'!F12+'VENEZUELA USD'!F12+'PANAMA USD'!F12</f>
        <v>1070938.5010680715</v>
      </c>
      <c r="G12" s="102">
        <f t="shared" si="2"/>
        <v>0.14793637261543696</v>
      </c>
      <c r="H12" s="678">
        <f>'COLOMBIA USD'!H12+'EL SALVADOR USD'!H12+'VENEZUELA USD'!H12+'PANAMA USD'!H12</f>
        <v>30848.266516552027</v>
      </c>
      <c r="I12" s="68">
        <f t="shared" si="3"/>
        <v>0.14287526508033321</v>
      </c>
      <c r="J12" s="69">
        <f t="shared" si="7"/>
        <v>0.84529148968150392</v>
      </c>
      <c r="K12" s="69">
        <f t="shared" si="8"/>
        <v>-0.97119510925623986</v>
      </c>
      <c r="L12" s="66">
        <f>'COLOMBIA USD'!L12+'EL SALVADOR USD'!L12+'VENEZUELA USD'!L12+'PANAMA USD'!L12</f>
        <v>184109.82352941178</v>
      </c>
      <c r="M12" s="67">
        <f t="shared" si="4"/>
        <v>0.14753191862013221</v>
      </c>
      <c r="N12" s="66">
        <f>'COLOMBIA USD'!N12+'EL SALVADOR USD'!N12+'VENEZUELA USD'!N12+'PANAMA USD'!N12</f>
        <v>3208102.2606929294</v>
      </c>
      <c r="O12" s="67">
        <f t="shared" si="5"/>
        <v>0.16051711176761074</v>
      </c>
      <c r="P12" s="678">
        <f>'COLOMBIA USD'!P12+'EL SALVADOR USD'!P12+'VENEZUELA USD'!P12+'PANAMA USD'!P12</f>
        <v>157310.1211512954</v>
      </c>
      <c r="Q12" s="68">
        <f t="shared" si="6"/>
        <v>0.14952890463908625</v>
      </c>
      <c r="R12" s="69">
        <f t="shared" si="9"/>
        <v>0.8544363257518679</v>
      </c>
      <c r="S12" s="351">
        <f t="shared" si="10"/>
        <v>-0.95096474227809757</v>
      </c>
      <c r="T12" s="449">
        <v>524200.39701495704</v>
      </c>
      <c r="U12" s="449">
        <v>437981.56227969984</v>
      </c>
      <c r="V12" s="449">
        <v>536120.82178759866</v>
      </c>
      <c r="W12" s="81" t="s">
        <v>48</v>
      </c>
      <c r="X12" s="82">
        <f>'COLOMBIA USD'!X12+'EL SALVADOR USD'!X12+'VENEZUELA USD'!X12+'PANAMA USD'!X12</f>
        <v>74689.737352941185</v>
      </c>
      <c r="Y12" s="82">
        <f>'COLOMBIA USD'!Y12+'EL SALVADOR USD'!Y12+'VENEZUELA USD'!Y12+'PANAMA USD'!Y12</f>
        <v>4170686.9683030611</v>
      </c>
      <c r="Z12" s="266">
        <f>'COLOMBIA USD'!Z12+'EL SALVADOR USD'!Z12+'VENEZUELA USD'!Z12+'PANAMA USD'!Z12</f>
        <v>54176.77523140984</v>
      </c>
      <c r="AA12" s="682">
        <f>'COLOMBIA USD'!AA12+'EL SALVADOR USD'!AA12+'VENEZUELA USD'!AA12+'PANAMA USD'!AA12</f>
        <v>388012.09264705877</v>
      </c>
      <c r="AB12" s="683">
        <f>'COLOMBIA USD'!AB12+'EL SALVADOR USD'!AB12+'VENEZUELA USD'!AB12+'PANAMA USD'!AB12</f>
        <v>11116805.026125371</v>
      </c>
      <c r="AC12" s="262">
        <f>'COLOMBIA USD'!AC12+'EL SALVADOR USD'!AC12+'VENEZUELA USD'!AC12+'PANAMA USD'!AC12</f>
        <v>338591.3042685953</v>
      </c>
      <c r="AD12" s="85">
        <f>+AA12-AC12</f>
        <v>49420.788378463476</v>
      </c>
      <c r="AE12" s="86">
        <f t="shared" si="12"/>
        <v>0.87263080374297175</v>
      </c>
      <c r="AF12" s="86">
        <f t="shared" si="11"/>
        <v>-0.96954239068933223</v>
      </c>
      <c r="AG12" s="149"/>
      <c r="AH12" s="87">
        <f>+'COLOMBIA USD'!Y12+'EL SALVADOR USD'!Y12+'VENEZUELA USD'!Y12+'PANAMA USD'!Y12</f>
        <v>4170686.9683030611</v>
      </c>
      <c r="AI12" s="87">
        <f>+'COLOMBIA USD'!Z12+'EL SALVADOR USD'!Z12+'VENEZUELA USD'!Z12+'PANAMA USD'!Z12</f>
        <v>54176.77523140984</v>
      </c>
      <c r="AJ12" s="87">
        <f>+'COLOMBIA USD'!AD12+'EL SALVADOR USD'!AD12+'VENEZUELA USD'!AD12+'PANAMA USD'!AD12</f>
        <v>49420.788378463505</v>
      </c>
      <c r="AL12" s="87">
        <f>+'COLOMBIA USD'!AC12+'EL SALVADOR USD'!AC12+'VENEZUELA USD'!AC12+'PANAMA USD'!AC12</f>
        <v>338591.3042685953</v>
      </c>
    </row>
    <row r="13" spans="1:38" ht="15.75" thickBot="1" x14ac:dyDescent="0.3">
      <c r="B13" s="11">
        <v>4170250500</v>
      </c>
      <c r="C13" s="255" t="str">
        <f>+'PANAMA USD'!C13</f>
        <v>Fact. Servicio Satelital</v>
      </c>
      <c r="D13" s="66">
        <f>'COLOMBIA USD'!D13+'EL SALVADOR USD'!D13+'VENEZUELA USD'!D13+'PANAMA USD'!D13</f>
        <v>0</v>
      </c>
      <c r="E13" s="102">
        <f t="shared" si="1"/>
        <v>0</v>
      </c>
      <c r="F13" s="66">
        <f>'COLOMBIA USD'!F13+'EL SALVADOR USD'!F13+'VENEZUELA USD'!F13+'PANAMA USD'!F13</f>
        <v>0</v>
      </c>
      <c r="G13" s="102">
        <f t="shared" si="2"/>
        <v>0</v>
      </c>
      <c r="H13" s="678">
        <f>'COLOMBIA USD'!H13+'EL SALVADOR USD'!H13+'VENEZUELA USD'!H13+'PANAMA USD'!H13</f>
        <v>0</v>
      </c>
      <c r="I13" s="68">
        <f t="shared" si="3"/>
        <v>0</v>
      </c>
      <c r="J13" s="69" t="str">
        <f t="shared" si="7"/>
        <v/>
      </c>
      <c r="K13" s="69" t="str">
        <f t="shared" si="8"/>
        <v/>
      </c>
      <c r="L13" s="66">
        <f>'COLOMBIA USD'!L13+'EL SALVADOR USD'!L13+'VENEZUELA USD'!L13+'PANAMA USD'!L13</f>
        <v>0</v>
      </c>
      <c r="M13" s="67">
        <f t="shared" si="4"/>
        <v>0</v>
      </c>
      <c r="N13" s="66">
        <f>'COLOMBIA USD'!N13+'EL SALVADOR USD'!N13+'VENEZUELA USD'!N13+'PANAMA USD'!N13</f>
        <v>0</v>
      </c>
      <c r="O13" s="67">
        <f t="shared" si="5"/>
        <v>0</v>
      </c>
      <c r="P13" s="678">
        <f>'COLOMBIA USD'!P13+'EL SALVADOR USD'!P13+'VENEZUELA USD'!P13+'PANAMA USD'!P13</f>
        <v>0</v>
      </c>
      <c r="Q13" s="68">
        <f t="shared" si="6"/>
        <v>0</v>
      </c>
      <c r="R13" s="69" t="str">
        <f t="shared" si="9"/>
        <v/>
      </c>
      <c r="S13" s="351" t="str">
        <f t="shared" si="10"/>
        <v/>
      </c>
      <c r="T13" s="449">
        <v>84060.486396399268</v>
      </c>
      <c r="U13" s="449">
        <v>62767.402412166848</v>
      </c>
      <c r="V13" s="449">
        <v>83372.07785314694</v>
      </c>
      <c r="W13" s="81" t="s">
        <v>50</v>
      </c>
      <c r="X13" s="90">
        <f>SUM(X9:X12)</f>
        <v>225014.7369605265</v>
      </c>
      <c r="Y13" s="90">
        <f>SUM(Y9:Y12)</f>
        <v>5059641.1381750442</v>
      </c>
      <c r="Z13" s="91">
        <f>SUM(Z9:Z12)</f>
        <v>186974.99485373462</v>
      </c>
      <c r="AA13" s="682">
        <f>'COLOMBIA USD'!AA13+'EL SALVADOR USD'!AA13+'VENEZUELA USD'!AA13+'PANAMA USD'!AA13</f>
        <v>1209224.4440185763</v>
      </c>
      <c r="AB13" s="684">
        <f>'COLOMBIA USD'!AB13+'EL SALVADOR USD'!AB13+'VENEZUELA USD'!AB13+'PANAMA USD'!AB13</f>
        <v>14532752.552130727</v>
      </c>
      <c r="AC13" s="262">
        <f>'COLOMBIA USD'!AC13+'EL SALVADOR USD'!AC13+'VENEZUELA USD'!AC13+'PANAMA USD'!AC13</f>
        <v>1054688.1476628983</v>
      </c>
      <c r="AD13" s="85">
        <f>+AC13-AA13</f>
        <v>-154536.296355678</v>
      </c>
      <c r="AE13" s="86">
        <f t="shared" si="12"/>
        <v>0.87220213987561102</v>
      </c>
      <c r="AF13" s="86">
        <f t="shared" si="11"/>
        <v>-0.92742681444003083</v>
      </c>
      <c r="AG13" s="149"/>
      <c r="AH13" s="87">
        <f>+'COLOMBIA USD'!Y13+'EL SALVADOR USD'!Y13+'VENEZUELA USD'!Y13+'PANAMA USD'!Y13</f>
        <v>5059641.1381750433</v>
      </c>
      <c r="AI13" s="87">
        <f>+'COLOMBIA USD'!Z13+'EL SALVADOR USD'!Z13+'VENEZUELA USD'!Z13+'PANAMA USD'!Z13</f>
        <v>186974.99485373459</v>
      </c>
      <c r="AJ13" s="87">
        <f>+'COLOMBIA USD'!AD13+'EL SALVADOR USD'!AD13+'VENEZUELA USD'!AD13+'PANAMA USD'!AD13</f>
        <v>-154536.29635567791</v>
      </c>
      <c r="AL13" s="87">
        <f>+'COLOMBIA USD'!AC13+'EL SALVADOR USD'!AC13+'VENEZUELA USD'!AC13+'PANAMA USD'!AC13</f>
        <v>1054688.1476628983</v>
      </c>
    </row>
    <row r="14" spans="1:38" ht="15.75" thickBot="1" x14ac:dyDescent="0.3">
      <c r="B14" s="11"/>
      <c r="C14" s="255" t="str">
        <f>+'PANAMA USD'!C14</f>
        <v>Fact. Visual Experience</v>
      </c>
      <c r="D14" s="66">
        <f>'COLOMBIA USD'!D14+'EL SALVADOR USD'!D14+'VENEZUELA USD'!D14+'PANAMA USD'!D14</f>
        <v>5200.5882352941171</v>
      </c>
      <c r="E14" s="102">
        <f t="shared" si="1"/>
        <v>2.0764021628975469E-2</v>
      </c>
      <c r="F14" s="66">
        <f>'COLOMBIA USD'!F14+'EL SALVADOR USD'!F14+'VENEZUELA USD'!F14+'PANAMA USD'!F14</f>
        <v>4502.8563123102431</v>
      </c>
      <c r="G14" s="102">
        <f t="shared" si="2"/>
        <v>6.2201165481243562E-4</v>
      </c>
      <c r="H14" s="678">
        <f>'COLOMBIA USD'!H14+'EL SALVADOR USD'!H14+'VENEZUELA USD'!H14+'PANAMA USD'!H14</f>
        <v>7990.704795595474</v>
      </c>
      <c r="I14" s="68">
        <f t="shared" si="3"/>
        <v>3.7009342655828441E-2</v>
      </c>
      <c r="J14" s="69">
        <f t="shared" si="7"/>
        <v>1.5365001869146373</v>
      </c>
      <c r="K14" s="69">
        <f t="shared" si="8"/>
        <v>0.77458578319496707</v>
      </c>
      <c r="L14" s="66">
        <f>'COLOMBIA USD'!L14+'EL SALVADOR USD'!L14+'VENEZUELA USD'!L14+'PANAMA USD'!L14</f>
        <v>22455.294117647059</v>
      </c>
      <c r="M14" s="67">
        <f t="shared" si="4"/>
        <v>1.7994002497246454E-2</v>
      </c>
      <c r="N14" s="66">
        <f>'COLOMBIA USD'!N14+'EL SALVADOR USD'!N14+'VENEZUELA USD'!N14+'PANAMA USD'!N14</f>
        <v>20566.550300381128</v>
      </c>
      <c r="O14" s="67">
        <f t="shared" si="5"/>
        <v>1.0290455181835164E-3</v>
      </c>
      <c r="P14" s="678">
        <f>'COLOMBIA USD'!P14+'EL SALVADOR USD'!P14+'VENEZUELA USD'!P14+'PANAMA USD'!P14</f>
        <v>21075.584688447321</v>
      </c>
      <c r="Q14" s="68">
        <f t="shared" si="6"/>
        <v>2.0033098125078107E-2</v>
      </c>
      <c r="R14" s="69">
        <f t="shared" si="9"/>
        <v>0.93855749909258779</v>
      </c>
      <c r="S14" s="351">
        <f t="shared" si="10"/>
        <v>2.4750596508971167E-2</v>
      </c>
      <c r="T14" s="449">
        <v>71837.945712981542</v>
      </c>
      <c r="U14" s="449">
        <v>590.19941089355098</v>
      </c>
      <c r="V14" s="449">
        <v>20084.286063076546</v>
      </c>
      <c r="W14" s="73" t="s">
        <v>52</v>
      </c>
      <c r="X14" s="75">
        <f>X8-X13</f>
        <v>91593.599486663006</v>
      </c>
      <c r="Y14" s="75">
        <f>Y8-Y13</f>
        <v>2124433.4612090392</v>
      </c>
      <c r="Z14" s="74">
        <f t="shared" ref="Z14:AC14" si="13">Z8-Z13</f>
        <v>71226.718481870805</v>
      </c>
      <c r="AA14" s="685">
        <f t="shared" si="13"/>
        <v>261201.57449658704</v>
      </c>
      <c r="AB14" s="686">
        <f>AB8-AB13</f>
        <v>3711887.5480724256</v>
      </c>
      <c r="AC14" s="687">
        <f t="shared" si="13"/>
        <v>242082.95501071145</v>
      </c>
      <c r="AD14" s="76">
        <f>+AC14-AA14</f>
        <v>-19118.619485875592</v>
      </c>
      <c r="AE14" s="77">
        <f t="shared" si="12"/>
        <v>0.92680511393270559</v>
      </c>
      <c r="AF14" s="77">
        <f t="shared" si="11"/>
        <v>-0.93478171095554219</v>
      </c>
      <c r="AG14" s="149"/>
      <c r="AH14" s="87">
        <f>+'COLOMBIA USD'!Y14+'EL SALVADOR USD'!Y14+'VENEZUELA USD'!Y14+'PANAMA USD'!Y14</f>
        <v>2124433.4612090397</v>
      </c>
      <c r="AI14" s="87">
        <f>+'COLOMBIA USD'!Z14+'EL SALVADOR USD'!Z14+'VENEZUELA USD'!Z14+'PANAMA USD'!Z14</f>
        <v>71226.718481870834</v>
      </c>
      <c r="AJ14" s="87">
        <f>+'COLOMBIA USD'!AD14+'EL SALVADOR USD'!AD14+'VENEZUELA USD'!AD14+'PANAMA USD'!AD14</f>
        <v>-19118.619485875617</v>
      </c>
      <c r="AL14" s="87">
        <f>+'COLOMBIA USD'!AC14+'EL SALVADOR USD'!AC14+'VENEZUELA USD'!AC14+'PANAMA USD'!AC14</f>
        <v>242082.95501071142</v>
      </c>
    </row>
    <row r="15" spans="1:38" ht="15.75" thickBot="1" x14ac:dyDescent="0.3">
      <c r="B15" s="11"/>
      <c r="C15" s="255" t="str">
        <f>+'PANAMA USD'!C15</f>
        <v>Fac.   Olfa Experience</v>
      </c>
      <c r="D15" s="66">
        <f>'COLOMBIA USD'!D15+'EL SALVADOR USD'!D15+'VENEZUELA USD'!D15+'PANAMA USD'!D15</f>
        <v>32930.882352941175</v>
      </c>
      <c r="E15" s="102">
        <f t="shared" si="1"/>
        <v>0.13148080995861547</v>
      </c>
      <c r="F15" s="66">
        <f>'COLOMBIA USD'!F15+'EL SALVADOR USD'!F15+'VENEZUELA USD'!F15+'PANAMA USD'!F15</f>
        <v>25334.080338494005</v>
      </c>
      <c r="G15" s="102">
        <f t="shared" si="2"/>
        <v>3.4995771886873668E-3</v>
      </c>
      <c r="H15" s="678">
        <f>'COLOMBIA USD'!H15+'EL SALVADOR USD'!H15+'VENEZUELA USD'!H15+'PANAMA USD'!H15</f>
        <v>24541.197339699516</v>
      </c>
      <c r="I15" s="68">
        <f t="shared" si="3"/>
        <v>0.11366376368075563</v>
      </c>
      <c r="J15" s="69">
        <f t="shared" si="7"/>
        <v>0.74523351900128043</v>
      </c>
      <c r="K15" s="69">
        <f t="shared" si="8"/>
        <v>-3.1297090251574594E-2</v>
      </c>
      <c r="L15" s="66">
        <f>'COLOMBIA USD'!L15+'EL SALVADOR USD'!L15+'VENEZUELA USD'!L15+'PANAMA USD'!L15</f>
        <v>157565.29411764705</v>
      </c>
      <c r="M15" s="67">
        <f t="shared" si="4"/>
        <v>0.12626110711256175</v>
      </c>
      <c r="N15" s="66">
        <f>'COLOMBIA USD'!N15+'EL SALVADOR USD'!N15+'VENEZUELA USD'!N15+'PANAMA USD'!N15</f>
        <v>104214.63604358217</v>
      </c>
      <c r="O15" s="67">
        <f t="shared" si="5"/>
        <v>5.2143700612633723E-3</v>
      </c>
      <c r="P15" s="678">
        <f>'COLOMBIA USD'!P15+'EL SALVADOR USD'!P15+'VENEZUELA USD'!P15+'PANAMA USD'!P15</f>
        <v>128847.4966388402</v>
      </c>
      <c r="Q15" s="68">
        <f t="shared" si="6"/>
        <v>0.12247416057460374</v>
      </c>
      <c r="R15" s="69">
        <f t="shared" si="9"/>
        <v>0.8177403365403263</v>
      </c>
      <c r="S15" s="351">
        <f t="shared" si="10"/>
        <v>0.23636661346642956</v>
      </c>
      <c r="W15" s="89"/>
      <c r="X15" s="97"/>
      <c r="Y15" s="97"/>
      <c r="Z15" s="270"/>
      <c r="AA15" s="679"/>
      <c r="AB15" s="270"/>
      <c r="AC15" s="272"/>
      <c r="AD15" s="103"/>
      <c r="AE15" s="102"/>
      <c r="AF15" s="102"/>
      <c r="AG15" s="149"/>
      <c r="AH15" s="87"/>
      <c r="AI15" s="87"/>
      <c r="AJ15" s="87"/>
      <c r="AL15" s="87"/>
    </row>
    <row r="16" spans="1:38" ht="15.75" thickBot="1" x14ac:dyDescent="0.3">
      <c r="B16" s="11"/>
      <c r="C16" s="255" t="str">
        <f>+'PANAMA USD'!C16</f>
        <v>Otros</v>
      </c>
      <c r="D16" s="66">
        <f>'COLOMBIA USD'!D16+'EL SALVADOR USD'!D16+'VENEZUELA USD'!D16+'PANAMA USD'!D16</f>
        <v>0</v>
      </c>
      <c r="E16" s="102">
        <f t="shared" si="1"/>
        <v>0</v>
      </c>
      <c r="F16" s="66">
        <f>'COLOMBIA USD'!F16+'EL SALVADOR USD'!F16+'VENEZUELA USD'!F16+'PANAMA USD'!F16</f>
        <v>11153.14969531233</v>
      </c>
      <c r="G16" s="102">
        <f t="shared" si="2"/>
        <v>1.5406641067773103E-3</v>
      </c>
      <c r="H16" s="678">
        <f>'COLOMBIA USD'!H16+'EL SALVADOR USD'!H16+'VENEZUELA USD'!H16+'PANAMA USD'!H16</f>
        <v>0</v>
      </c>
      <c r="I16" s="68">
        <f t="shared" si="3"/>
        <v>0</v>
      </c>
      <c r="J16" s="69" t="str">
        <f t="shared" si="7"/>
        <v/>
      </c>
      <c r="K16" s="69">
        <f t="shared" si="8"/>
        <v>-1</v>
      </c>
      <c r="L16" s="66">
        <f>'COLOMBIA USD'!L16+'EL SALVADOR USD'!L16+'VENEZUELA USD'!L16+'PANAMA USD'!L16</f>
        <v>0</v>
      </c>
      <c r="M16" s="67">
        <f t="shared" si="4"/>
        <v>0</v>
      </c>
      <c r="N16" s="66">
        <f>'COLOMBIA USD'!N16+'EL SALVADOR USD'!N16+'VENEZUELA USD'!N16+'PANAMA USD'!N16</f>
        <v>10500</v>
      </c>
      <c r="O16" s="67">
        <f t="shared" si="5"/>
        <v>5.2536656770905759E-4</v>
      </c>
      <c r="P16" s="678">
        <f>'COLOMBIA USD'!P16+'EL SALVADOR USD'!P16+'VENEZUELA USD'!P16+'PANAMA USD'!P16</f>
        <v>0</v>
      </c>
      <c r="Q16" s="68">
        <f t="shared" si="6"/>
        <v>0</v>
      </c>
      <c r="R16" s="69" t="str">
        <f t="shared" si="9"/>
        <v/>
      </c>
      <c r="S16" s="351">
        <f t="shared" si="10"/>
        <v>-1</v>
      </c>
      <c r="T16" s="449">
        <v>38054</v>
      </c>
      <c r="U16" s="449">
        <v>70800</v>
      </c>
      <c r="V16" s="449">
        <v>775743.30158730166</v>
      </c>
      <c r="W16" s="89"/>
      <c r="X16" s="97"/>
      <c r="Y16" s="97"/>
      <c r="Z16" s="270"/>
      <c r="AA16" s="679"/>
      <c r="AB16" s="688"/>
      <c r="AC16" s="272"/>
      <c r="AD16" s="103"/>
      <c r="AE16" s="102"/>
      <c r="AF16" s="102" t="str">
        <f t="shared" si="11"/>
        <v/>
      </c>
      <c r="AG16" s="149"/>
      <c r="AH16" s="87"/>
      <c r="AI16" s="87"/>
      <c r="AJ16" s="87"/>
      <c r="AL16" s="87">
        <f>+'COLOMBIA USD'!AC16+'EL SALVADOR USD'!AC16+'VENEZUELA USD'!AC16+'PANAMA USD'!AC16</f>
        <v>0</v>
      </c>
    </row>
    <row r="17" spans="1:38" x14ac:dyDescent="0.25">
      <c r="B17" s="11"/>
      <c r="C17" s="104" t="s">
        <v>57</v>
      </c>
      <c r="D17" s="689">
        <f>SUM(D7:D16)</f>
        <v>250461.51117647061</v>
      </c>
      <c r="E17" s="106">
        <f t="shared" si="1"/>
        <v>1</v>
      </c>
      <c r="F17" s="689">
        <f>SUM(F7:F16)</f>
        <v>7239183.1848682258</v>
      </c>
      <c r="G17" s="106">
        <f t="shared" si="2"/>
        <v>1</v>
      </c>
      <c r="H17" s="689">
        <f>SUM(H7:H16)</f>
        <v>215910.47617099606</v>
      </c>
      <c r="I17" s="107">
        <f t="shared" si="3"/>
        <v>1</v>
      </c>
      <c r="J17" s="108">
        <f t="shared" si="7"/>
        <v>0.86205052088370371</v>
      </c>
      <c r="K17" s="108">
        <f t="shared" si="8"/>
        <v>-0.97017474614783816</v>
      </c>
      <c r="L17" s="689">
        <f>SUM(L7:L16)</f>
        <v>1247932.1441176469</v>
      </c>
      <c r="M17" s="106">
        <f t="shared" si="4"/>
        <v>1</v>
      </c>
      <c r="N17" s="689">
        <f>SUM(N7:N16)</f>
        <v>19986045.259383135</v>
      </c>
      <c r="O17" s="106">
        <f t="shared" si="5"/>
        <v>1</v>
      </c>
      <c r="P17" s="689">
        <f>SUM(P7:P16)</f>
        <v>1052038.2098096048</v>
      </c>
      <c r="Q17" s="107">
        <f t="shared" si="6"/>
        <v>1</v>
      </c>
      <c r="R17" s="108">
        <f t="shared" si="9"/>
        <v>0.843025171495563</v>
      </c>
      <c r="S17" s="108">
        <f t="shared" si="10"/>
        <v>-0.94736136158224249</v>
      </c>
      <c r="T17" s="449">
        <v>6888272.0874033226</v>
      </c>
      <c r="U17" s="449">
        <v>5833494.4036357338</v>
      </c>
      <c r="V17" s="449">
        <v>6971135.4193038587</v>
      </c>
      <c r="W17" s="81" t="s">
        <v>58</v>
      </c>
      <c r="X17" s="82">
        <f>X7+X14</f>
        <v>140516.0336655649</v>
      </c>
      <c r="Y17" s="82">
        <f>'COLOMBIA USD'!Y17+'EL SALVADOR USD'!Y17+'VENEZUELA USD'!Y17+'PANAMA USD'!Y17</f>
        <v>3151573.1861694646</v>
      </c>
      <c r="Z17" s="83">
        <f t="shared" ref="Z17" si="14">Z7+Z14</f>
        <v>134273.14198056536</v>
      </c>
      <c r="AA17" s="682">
        <f>AA7+AA14</f>
        <v>435332.59292428882</v>
      </c>
      <c r="AB17" s="690">
        <f>AB7+AB14</f>
        <v>4397106.3865515711</v>
      </c>
      <c r="AC17" s="262">
        <f>AC7+AC14</f>
        <v>397314.42817709013</v>
      </c>
      <c r="AD17" s="85">
        <f>+AC17-AA17</f>
        <v>-38018.164747198694</v>
      </c>
      <c r="AE17" s="86">
        <f t="shared" si="12"/>
        <v>0.91266869201817236</v>
      </c>
      <c r="AF17" s="86">
        <f t="shared" si="11"/>
        <v>-0.90964184323757424</v>
      </c>
      <c r="AG17" s="149"/>
      <c r="AH17" s="87">
        <f>+'COLOMBIA USD'!Y17+'EL SALVADOR USD'!Y17+'VENEZUELA USD'!Y17+'PANAMA USD'!Y17</f>
        <v>3151573.1861694646</v>
      </c>
      <c r="AI17" s="87">
        <f>+'COLOMBIA USD'!Z17+'EL SALVADOR USD'!Z17+'VENEZUELA USD'!Z17+'PANAMA USD'!Z17</f>
        <v>134273.14198056539</v>
      </c>
      <c r="AJ17" s="87">
        <f>+'COLOMBIA USD'!AD17+'EL SALVADOR USD'!AD17+'VENEZUELA USD'!AD17+'PANAMA USD'!AD17</f>
        <v>-38018.164747198614</v>
      </c>
      <c r="AL17" s="87">
        <f>+'COLOMBIA USD'!AC17+'EL SALVADOR USD'!AC17+'VENEZUELA USD'!AC17+'PANAMA USD'!AC17</f>
        <v>397314.42817709007</v>
      </c>
    </row>
    <row r="18" spans="1:38" x14ac:dyDescent="0.25">
      <c r="B18" s="11" t="s">
        <v>100</v>
      </c>
      <c r="C18" s="112" t="s">
        <v>59</v>
      </c>
      <c r="D18" s="114">
        <f>'COLOMBIA USD'!D18+'EL SALVADOR USD'!D18+'VENEZUELA USD'!D18+'PANAMA USD'!D18</f>
        <v>21880.645882352939</v>
      </c>
      <c r="E18" s="113">
        <f t="shared" si="1"/>
        <v>8.7361310644397713E-2</v>
      </c>
      <c r="F18" s="114">
        <f>'COLOMBIA USD'!F18+'EL SALVADOR USD'!F18+'VENEZUELA USD'!F18+'PANAMA USD'!F18</f>
        <v>8404.0565367886138</v>
      </c>
      <c r="G18" s="113">
        <f t="shared" si="2"/>
        <v>1.1609122634657562E-3</v>
      </c>
      <c r="H18" s="114">
        <f>'COLOMBIA USD'!H18+'EL SALVADOR USD'!H18+'VENEZUELA USD'!H18+'PANAMA USD'!H18</f>
        <v>23646.15836046969</v>
      </c>
      <c r="I18" s="115">
        <f t="shared" si="3"/>
        <v>0.10951834658426896</v>
      </c>
      <c r="J18" s="116">
        <f t="shared" si="7"/>
        <v>1.0806883164057173</v>
      </c>
      <c r="K18" s="116">
        <f t="shared" si="8"/>
        <v>1.8136600767687647</v>
      </c>
      <c r="L18" s="117">
        <f>'COLOMBIA USD'!L18+'EL SALVADOR USD'!L18+'VENEZUELA USD'!L18+'PANAMA USD'!L18</f>
        <v>99569.476470588226</v>
      </c>
      <c r="M18" s="113">
        <f t="shared" si="4"/>
        <v>7.9787572537438761E-2</v>
      </c>
      <c r="N18" s="114">
        <f>'COLOMBIA USD'!N18+'EL SALVADOR USD'!N18+'VENEZUELA USD'!N18+'PANAMA USD'!N18</f>
        <v>51676.026971533764</v>
      </c>
      <c r="O18" s="113">
        <f t="shared" si="5"/>
        <v>2.585605421226227E-3</v>
      </c>
      <c r="P18" s="114">
        <f>'COLOMBIA USD'!P18+'EL SALVADOR USD'!P18+'VENEZUELA USD'!P18+'PANAMA USD'!P18</f>
        <v>84179.333652678717</v>
      </c>
      <c r="Q18" s="115">
        <f t="shared" si="6"/>
        <v>8.0015471745948544E-2</v>
      </c>
      <c r="R18" s="116">
        <f t="shared" si="9"/>
        <v>0.84543312505559276</v>
      </c>
      <c r="S18" s="374">
        <f t="shared" si="10"/>
        <v>0.62898230738693806</v>
      </c>
      <c r="T18" s="449">
        <v>568400.27910388424</v>
      </c>
      <c r="U18" s="449">
        <v>238659.01212380966</v>
      </c>
      <c r="V18" s="449">
        <v>787568.46972571395</v>
      </c>
      <c r="W18" s="81" t="s">
        <v>60</v>
      </c>
      <c r="X18" s="82">
        <f>'COLOMBIA USD'!X18+'EL SALVADOR USD'!X18+'VENEZUELA USD'!X18+'PANAMA USD'!X18</f>
        <v>0</v>
      </c>
      <c r="Y18" s="82">
        <f>'COLOMBIA USD'!Y18+'EL SALVADOR USD'!Y18+'VENEZUELA USD'!Y18+'PANAMA USD'!Y18</f>
        <v>58723.793361469383</v>
      </c>
      <c r="Z18" s="83">
        <f>'COLOMBIA USD'!Z18+'EL SALVADOR USD'!Z18+'VENEZUELA USD'!Z18+'PANAMA USD'!Z18</f>
        <v>450.49765613418054</v>
      </c>
      <c r="AA18" s="682">
        <f>'COLOMBIA USD'!AA18+'EL SALVADOR USD'!AA18+'VENEZUELA USD'!AA18+'PANAMA USD'!AA18</f>
        <v>129594.41176470589</v>
      </c>
      <c r="AB18" s="690">
        <f>'COLOMBIA USD'!AB18+'EL SALVADOR USD'!AB18+'VENEZUELA USD'!AB18+'PANAMA USD'!AB18</f>
        <v>58794.297334252056</v>
      </c>
      <c r="AC18" s="262">
        <f>'COLOMBIA USD'!AC18+'EL SALVADOR USD'!AC18+'VENEZUELA USD'!AC18+'PANAMA USD'!AC18</f>
        <v>125699.6155702214</v>
      </c>
      <c r="AD18" s="85">
        <f t="shared" ref="AD18:AD21" si="15">+AC18-AA18</f>
        <v>-3894.7961944844865</v>
      </c>
      <c r="AE18" s="86">
        <f t="shared" si="12"/>
        <v>0.96994626433772502</v>
      </c>
      <c r="AF18" s="86">
        <f t="shared" si="11"/>
        <v>1.1379559118736506</v>
      </c>
      <c r="AG18" s="149"/>
      <c r="AH18" s="87">
        <f>+'COLOMBIA USD'!Y18+'EL SALVADOR USD'!Y18+'VENEZUELA USD'!Y18+'PANAMA USD'!Y18</f>
        <v>58723.793361469383</v>
      </c>
      <c r="AI18" s="87">
        <f>+'COLOMBIA USD'!Z18+'EL SALVADOR USD'!Z18+'VENEZUELA USD'!Z18+'PANAMA USD'!Z18</f>
        <v>450.49765613418054</v>
      </c>
      <c r="AJ18" s="87">
        <f>+'COLOMBIA USD'!AD18+'EL SALVADOR USD'!AD18+'VENEZUELA USD'!AD18+'PANAMA USD'!AD18</f>
        <v>-3894.7961944844865</v>
      </c>
      <c r="AL18" s="87">
        <f>+'COLOMBIA USD'!AC18+'EL SALVADOR USD'!AC18+'VENEZUELA USD'!AC18+'PANAMA USD'!AC18</f>
        <v>125699.6155702214</v>
      </c>
    </row>
    <row r="19" spans="1:38" ht="15.75" thickBot="1" x14ac:dyDescent="0.3">
      <c r="B19" s="11"/>
      <c r="C19" s="119" t="s">
        <v>61</v>
      </c>
      <c r="D19" s="630">
        <f>+D17-D18</f>
        <v>228580.86529411766</v>
      </c>
      <c r="E19" s="121">
        <f t="shared" si="1"/>
        <v>0.91263868935560222</v>
      </c>
      <c r="F19" s="630">
        <f>'COLOMBIA USD'!F19+'EL SALVADOR USD'!F19+'VENEZUELA USD'!F19+'PANAMA USD'!F19</f>
        <v>7230779.1283314377</v>
      </c>
      <c r="G19" s="121">
        <f t="shared" si="2"/>
        <v>0.99883908773653429</v>
      </c>
      <c r="H19" s="630">
        <f>'COLOMBIA USD'!H19+'EL SALVADOR USD'!H19+'VENEZUELA USD'!H19+'PANAMA USD'!H19</f>
        <v>192264.31781052641</v>
      </c>
      <c r="I19" s="122">
        <f t="shared" si="3"/>
        <v>0.89048165341573127</v>
      </c>
      <c r="J19" s="123">
        <f t="shared" si="7"/>
        <v>0.84112166415652367</v>
      </c>
      <c r="K19" s="123">
        <f t="shared" si="8"/>
        <v>-0.97341029031612913</v>
      </c>
      <c r="L19" s="120">
        <f>'COLOMBIA USD'!L19+'EL SALVADOR USD'!L19+'VENEZUELA USD'!L19+'PANAMA USD'!L19</f>
        <v>1148362.6676470591</v>
      </c>
      <c r="M19" s="121">
        <f t="shared" si="4"/>
        <v>0.9202124274625616</v>
      </c>
      <c r="N19" s="630">
        <f>'COLOMBIA USD'!N19+'EL SALVADOR USD'!N19+'VENEZUELA USD'!N19+'PANAMA USD'!N19</f>
        <v>19830154.596368022</v>
      </c>
      <c r="O19" s="121">
        <f t="shared" si="5"/>
        <v>0.99220002451751055</v>
      </c>
      <c r="P19" s="630">
        <f>'COLOMBIA USD'!P19+'EL SALVADOR USD'!P19+'VENEZUELA USD'!P19+'PANAMA USD'!P19</f>
        <v>967858.87615692592</v>
      </c>
      <c r="Q19" s="122">
        <f t="shared" si="6"/>
        <v>0.9199845282540513</v>
      </c>
      <c r="R19" s="124">
        <f t="shared" si="9"/>
        <v>0.84281638843243056</v>
      </c>
      <c r="S19" s="124">
        <f t="shared" si="10"/>
        <v>-0.95119257031237703</v>
      </c>
      <c r="T19" s="449">
        <v>6319871.8082994381</v>
      </c>
      <c r="U19" s="449">
        <v>5594835.3915119246</v>
      </c>
      <c r="V19" s="449">
        <v>6183566.9495781446</v>
      </c>
      <c r="W19" s="81" t="s">
        <v>62</v>
      </c>
      <c r="X19" s="82">
        <f>'COLOMBIA USD'!X19+'EL SALVADOR USD'!X19+'VENEZUELA USD'!X19+'PANAMA USD'!X19</f>
        <v>92681.327538023528</v>
      </c>
      <c r="Y19" s="82">
        <f>'COLOMBIA USD'!Y19+'EL SALVADOR USD'!Y19+'VENEZUELA USD'!Y19+'PANAMA USD'!Y19</f>
        <v>893415.46160391869</v>
      </c>
      <c r="Z19" s="83">
        <f>'COLOMBIA USD'!Z19+'EL SALVADOR USD'!Z19+'VENEZUELA USD'!Z19+'PANAMA USD'!Z19</f>
        <v>76813.825502993437</v>
      </c>
      <c r="AA19" s="682">
        <f>'COLOMBIA USD'!AA19+'EL SALVADOR USD'!AA19+'VENEZUELA USD'!AA19+'PANAMA USD'!AA19</f>
        <v>278145.2056624706</v>
      </c>
      <c r="AB19" s="690">
        <f>'COLOMBIA USD'!AB19+'EL SALVADOR USD'!AB19+'VENEZUELA USD'!AB19+'PANAMA USD'!AB19</f>
        <v>2033893.0154365334</v>
      </c>
      <c r="AC19" s="262">
        <f>'COLOMBIA USD'!AC19+'EL SALVADOR USD'!AC19+'VENEZUELA USD'!AC19+'PANAMA USD'!AC19</f>
        <v>248193.07870136367</v>
      </c>
      <c r="AD19" s="85">
        <f t="shared" si="15"/>
        <v>-29952.126961106929</v>
      </c>
      <c r="AE19" s="86">
        <f t="shared" si="12"/>
        <v>0.89231478252602403</v>
      </c>
      <c r="AF19" s="86">
        <f t="shared" si="11"/>
        <v>-0.87797141894009889</v>
      </c>
      <c r="AG19" s="149"/>
      <c r="AH19" s="87">
        <f>+'COLOMBIA USD'!Y19+'EL SALVADOR USD'!Y19+'VENEZUELA USD'!Y19+'PANAMA USD'!Y19</f>
        <v>893415.46160391869</v>
      </c>
      <c r="AI19" s="87">
        <f>+'COLOMBIA USD'!Z19+'EL SALVADOR USD'!Z19+'VENEZUELA USD'!Z19+'PANAMA USD'!Z19</f>
        <v>76813.825502993437</v>
      </c>
      <c r="AJ19" s="87">
        <f>+'COLOMBIA USD'!AD19+'EL SALVADOR USD'!AD19+'VENEZUELA USD'!AD19+'PANAMA USD'!AD19</f>
        <v>-29952.126961106944</v>
      </c>
      <c r="AL19" s="87">
        <f>+'COLOMBIA USD'!AC19+'EL SALVADOR USD'!AC19+'VENEZUELA USD'!AC19+'PANAMA USD'!AC19</f>
        <v>248193.07870136367</v>
      </c>
    </row>
    <row r="20" spans="1:38" x14ac:dyDescent="0.25">
      <c r="B20" s="11" t="s">
        <v>101</v>
      </c>
      <c r="C20" s="81" t="s">
        <v>63</v>
      </c>
      <c r="D20" s="117">
        <f>'COLOMBIA USD'!D20+'EL SALVADOR USD'!D20+'VENEZUELA USD'!D20+'PANAMA USD'!D20</f>
        <v>64250.57588235294</v>
      </c>
      <c r="E20" s="126">
        <f t="shared" si="1"/>
        <v>0.25652874000701514</v>
      </c>
      <c r="F20" s="117">
        <f>'COLOMBIA USD'!F20+'EL SALVADOR USD'!F20+'VENEZUELA USD'!F20+'PANAMA USD'!F20</f>
        <v>133558.66647549253</v>
      </c>
      <c r="G20" s="126">
        <f t="shared" si="2"/>
        <v>1.8449411081994008E-2</v>
      </c>
      <c r="H20" s="91">
        <f>'COLOMBIA USD'!H20+'EL SALVADOR USD'!H20+'VENEZUELA USD'!H20+'PANAMA USD'!H20</f>
        <v>49765.822574152022</v>
      </c>
      <c r="I20" s="127">
        <f t="shared" si="3"/>
        <v>0.2304928573022953</v>
      </c>
      <c r="J20" s="128">
        <f t="shared" si="7"/>
        <v>0.77455838941080524</v>
      </c>
      <c r="K20" s="128">
        <f t="shared" si="8"/>
        <v>-0.62738604773892481</v>
      </c>
      <c r="L20" s="83">
        <f>'COLOMBIA USD'!L20+'EL SALVADOR USD'!L20+'VENEZUELA USD'!L20+'PANAMA USD'!L20</f>
        <v>285173.76176470588</v>
      </c>
      <c r="M20" s="126">
        <f t="shared" si="4"/>
        <v>0.2285170416588144</v>
      </c>
      <c r="N20" s="117">
        <f>'COLOMBIA USD'!N20+'EL SALVADOR USD'!N20+'VENEZUELA USD'!N20+'PANAMA USD'!N20</f>
        <v>471749.51185788965</v>
      </c>
      <c r="O20" s="126">
        <f t="shared" si="5"/>
        <v>2.3603944939352653E-2</v>
      </c>
      <c r="P20" s="91">
        <f>'COLOMBIA USD'!P20+'EL SALVADOR USD'!P20+'VENEZUELA USD'!P20+'PANAMA USD'!P20</f>
        <v>250508.16197771477</v>
      </c>
      <c r="Q20" s="127">
        <f t="shared" si="6"/>
        <v>0.23811698058291161</v>
      </c>
      <c r="R20" s="128">
        <f t="shared" si="9"/>
        <v>0.87844043023988527</v>
      </c>
      <c r="S20" s="148">
        <f t="shared" si="10"/>
        <v>-0.46898055921427612</v>
      </c>
      <c r="T20" s="449">
        <v>1906317.1174807756</v>
      </c>
      <c r="U20" s="449">
        <v>1268295.3505251447</v>
      </c>
      <c r="V20" s="449">
        <v>1613945.1271809663</v>
      </c>
      <c r="W20" s="81" t="s">
        <v>64</v>
      </c>
      <c r="X20" s="82">
        <f>'COLOMBIA USD'!X20+'EL SALVADOR USD'!X20+'VENEZUELA USD'!X20+'PANAMA USD'!X20</f>
        <v>1547.0588235294117</v>
      </c>
      <c r="Y20" s="82">
        <f>'COLOMBIA USD'!Y20+'EL SALVADOR USD'!Y20+'VENEZUELA USD'!Y20+'PANAMA USD'!Y20</f>
        <v>-97649.619678732153</v>
      </c>
      <c r="Z20" s="83">
        <f>'COLOMBIA USD'!Z20+'EL SALVADOR USD'!Z20+'VENEZUELA USD'!Z20+'PANAMA USD'!Z20</f>
        <v>14690.975362570736</v>
      </c>
      <c r="AA20" s="682">
        <f>'COLOMBIA USD'!AA20+'EL SALVADOR USD'!AA20+'VENEZUELA USD'!AA20+'PANAMA USD'!AA20</f>
        <v>-44572.647058823524</v>
      </c>
      <c r="AB20" s="690">
        <f>'COLOMBIA USD'!AB20+'EL SALVADOR USD'!AB20+'VENEZUELA USD'!AB20+'PANAMA USD'!AB20</f>
        <v>-38664.429426584269</v>
      </c>
      <c r="AC20" s="262">
        <f>'COLOMBIA USD'!AC20+'EL SALVADOR USD'!AC20+'VENEZUELA USD'!AC20+'PANAMA USD'!AC20</f>
        <v>-37231.834319103145</v>
      </c>
      <c r="AD20" s="85">
        <f t="shared" si="15"/>
        <v>7340.8127397203789</v>
      </c>
      <c r="AE20" s="86">
        <f t="shared" si="12"/>
        <v>1.1646932193646149</v>
      </c>
      <c r="AF20" s="86">
        <f t="shared" si="11"/>
        <v>3.7052017286361996E-2</v>
      </c>
      <c r="AG20" s="149"/>
      <c r="AH20" s="87">
        <f>+'COLOMBIA USD'!Y20+'EL SALVADOR USD'!Y20+'VENEZUELA USD'!Y20+'PANAMA USD'!Y20</f>
        <v>-97649.619678732153</v>
      </c>
      <c r="AI20" s="87">
        <f>+'COLOMBIA USD'!Z20+'EL SALVADOR USD'!Z20+'VENEZUELA USD'!Z20+'PANAMA USD'!Z20</f>
        <v>14690.975362570736</v>
      </c>
      <c r="AJ20" s="87">
        <f>+'COLOMBIA USD'!AD20+'EL SALVADOR USD'!AD20+'VENEZUELA USD'!AD20+'PANAMA USD'!AD20</f>
        <v>7340.8127397203789</v>
      </c>
      <c r="AL20" s="87">
        <f>+'COLOMBIA USD'!AC20+'EL SALVADOR USD'!AC20+'VENEZUELA USD'!AC20+'PANAMA USD'!AC20</f>
        <v>-37231.834319103145</v>
      </c>
    </row>
    <row r="21" spans="1:38" ht="15.75" thickBot="1" x14ac:dyDescent="0.3">
      <c r="B21" s="11" t="s">
        <v>102</v>
      </c>
      <c r="C21" s="81" t="s">
        <v>65</v>
      </c>
      <c r="D21" s="117">
        <f>'COLOMBIA USD'!D21+'EL SALVADOR USD'!D21+'VENEZUELA USD'!D21+'PANAMA USD'!D21</f>
        <v>82938.945882352957</v>
      </c>
      <c r="E21" s="126">
        <f t="shared" si="1"/>
        <v>0.33114447602256813</v>
      </c>
      <c r="F21" s="117">
        <f>'COLOMBIA USD'!F21+'EL SALVADOR USD'!F21+'VENEZUELA USD'!F21+'PANAMA USD'!F21</f>
        <v>1714209.108914501</v>
      </c>
      <c r="G21" s="126">
        <f t="shared" si="2"/>
        <v>0.23679592920063738</v>
      </c>
      <c r="H21" s="91">
        <f>'COLOMBIA USD'!H21+'EL SALVADOR USD'!H21+'VENEZUELA USD'!H21+'PANAMA USD'!H21</f>
        <v>71816.553183109951</v>
      </c>
      <c r="I21" s="127">
        <f t="shared" si="3"/>
        <v>0.33262190171000744</v>
      </c>
      <c r="J21" s="128">
        <f t="shared" si="7"/>
        <v>0.86589662334242989</v>
      </c>
      <c r="K21" s="128">
        <f t="shared" si="8"/>
        <v>-0.95810513850985968</v>
      </c>
      <c r="L21" s="83">
        <f>'COLOMBIA USD'!L21+'EL SALVADOR USD'!L21+'VENEZUELA USD'!L21+'PANAMA USD'!L21</f>
        <v>421776.49411764706</v>
      </c>
      <c r="M21" s="126">
        <f t="shared" si="4"/>
        <v>0.3379803109534173</v>
      </c>
      <c r="N21" s="117">
        <f>'COLOMBIA USD'!N21+'EL SALVADOR USD'!N21+'VENEZUELA USD'!N21+'PANAMA USD'!N21</f>
        <v>4665652.1838652426</v>
      </c>
      <c r="O21" s="126">
        <f t="shared" si="5"/>
        <v>0.233445492758243</v>
      </c>
      <c r="P21" s="91">
        <f>'COLOMBIA USD'!P21+'EL SALVADOR USD'!P21+'VENEZUELA USD'!P21+'PANAMA USD'!P21</f>
        <v>356754.49128653028</v>
      </c>
      <c r="Q21" s="127">
        <f t="shared" si="6"/>
        <v>0.33910792208877544</v>
      </c>
      <c r="R21" s="128">
        <f t="shared" si="9"/>
        <v>0.84583777489273726</v>
      </c>
      <c r="S21" s="148">
        <f t="shared" si="10"/>
        <v>-0.92353598656148039</v>
      </c>
      <c r="T21" s="449">
        <v>1755883.5858226647</v>
      </c>
      <c r="U21" s="449">
        <v>1654492.9176644166</v>
      </c>
      <c r="V21" s="449">
        <v>1775735.7172193637</v>
      </c>
      <c r="W21" s="81" t="s">
        <v>66</v>
      </c>
      <c r="X21" s="82">
        <f>'COLOMBIA USD'!X21+'EL SALVADOR USD'!X21+'VENEZUELA USD'!X21+'PANAMA USD'!X21</f>
        <v>22794.117647058822</v>
      </c>
      <c r="Y21" s="82">
        <f>'COLOMBIA USD'!Y21+'EL SALVADOR USD'!Y21+'VENEZUELA USD'!Y21+'PANAMA USD'!Y21</f>
        <v>0</v>
      </c>
      <c r="Z21" s="83">
        <f>'COLOMBIA USD'!Z21+'EL SALVADOR USD'!Z21+'VENEZUELA USD'!Z21+'PANAMA USD'!Z21</f>
        <v>18842.90143494686</v>
      </c>
      <c r="AA21" s="682">
        <f>'COLOMBIA USD'!AA21+'EL SALVADOR USD'!AA21+'VENEZUELA USD'!AA21+'PANAMA USD'!AA21</f>
        <v>45588.235294117643</v>
      </c>
      <c r="AB21" s="690">
        <f>'COLOMBIA USD'!AB21+'EL SALVADOR USD'!AB21+'VENEZUELA USD'!AB21+'PANAMA USD'!AB21</f>
        <v>46000</v>
      </c>
      <c r="AC21" s="262">
        <f>'COLOMBIA USD'!AC21+'EL SALVADOR USD'!AC21+'VENEZUELA USD'!AC21+'PANAMA USD'!AC21</f>
        <v>34094.702914368383</v>
      </c>
      <c r="AD21" s="85">
        <f t="shared" si="15"/>
        <v>-11493.53237974926</v>
      </c>
      <c r="AE21" s="86">
        <f t="shared" si="12"/>
        <v>0.74788380586356462</v>
      </c>
      <c r="AF21" s="86">
        <f t="shared" si="11"/>
        <v>-0.25881080620938296</v>
      </c>
      <c r="AG21" s="149"/>
      <c r="AH21" s="87">
        <f>+'COLOMBIA USD'!Y21+'EL SALVADOR USD'!Y21+'VENEZUELA USD'!Y21+'PANAMA USD'!Y21</f>
        <v>0</v>
      </c>
      <c r="AI21" s="87">
        <f>+'COLOMBIA USD'!Z21+'EL SALVADOR USD'!Z21+'VENEZUELA USD'!Z21+'PANAMA USD'!Z21</f>
        <v>18842.90143494686</v>
      </c>
      <c r="AJ21" s="87">
        <f>+'COLOMBIA USD'!AD21+'EL SALVADOR USD'!AD21+'VENEZUELA USD'!AD21+'PANAMA USD'!AD21</f>
        <v>-11493.53237974926</v>
      </c>
      <c r="AL21" s="87">
        <f>+'COLOMBIA USD'!AC21+'EL SALVADOR USD'!AC21+'VENEZUELA USD'!AC21+'PANAMA USD'!AC21</f>
        <v>34094.702914368383</v>
      </c>
    </row>
    <row r="22" spans="1:38" ht="15.75" thickBot="1" x14ac:dyDescent="0.3">
      <c r="B22" s="11"/>
      <c r="C22" s="112" t="s">
        <v>67</v>
      </c>
      <c r="D22" s="117">
        <f>+D21+D20</f>
        <v>147189.52176470589</v>
      </c>
      <c r="E22" s="113">
        <f t="shared" si="1"/>
        <v>0.58767321602958322</v>
      </c>
      <c r="F22" s="117">
        <f>'COLOMBIA USD'!F22+'EL SALVADOR USD'!F22+'VENEZUELA USD'!F22+'PANAMA USD'!F22</f>
        <v>1847767.7753899936</v>
      </c>
      <c r="G22" s="113">
        <f t="shared" si="2"/>
        <v>0.25524534028263141</v>
      </c>
      <c r="H22" s="114">
        <f>'COLOMBIA USD'!H22+'EL SALVADOR USD'!H22+'VENEZUELA USD'!H22+'PANAMA USD'!H22</f>
        <v>121582.37575726197</v>
      </c>
      <c r="I22" s="115">
        <f t="shared" si="3"/>
        <v>0.56311475901230268</v>
      </c>
      <c r="J22" s="116">
        <f t="shared" si="7"/>
        <v>0.82602602617067422</v>
      </c>
      <c r="K22" s="116">
        <f t="shared" si="8"/>
        <v>-0.93420040257407322</v>
      </c>
      <c r="L22" s="117">
        <f>'COLOMBIA USD'!L22+'EL SALVADOR USD'!L22+'VENEZUELA USD'!L22+'PANAMA USD'!L22</f>
        <v>706950.25588235306</v>
      </c>
      <c r="M22" s="113">
        <f t="shared" si="4"/>
        <v>0.56649735261223177</v>
      </c>
      <c r="N22" s="117">
        <f>'COLOMBIA USD'!N22+'EL SALVADOR USD'!N22+'VENEZUELA USD'!N22+'PANAMA USD'!N22</f>
        <v>5137401.6957231332</v>
      </c>
      <c r="O22" s="113">
        <f t="shared" si="5"/>
        <v>0.2570494376975957</v>
      </c>
      <c r="P22" s="114">
        <f>'COLOMBIA USD'!P22+'EL SALVADOR USD'!P22+'VENEZUELA USD'!P22+'PANAMA USD'!P22</f>
        <v>607262.65326424502</v>
      </c>
      <c r="Q22" s="115">
        <f t="shared" si="6"/>
        <v>0.57722490267168702</v>
      </c>
      <c r="R22" s="116">
        <f t="shared" si="9"/>
        <v>0.85898922620278739</v>
      </c>
      <c r="S22" s="374">
        <f t="shared" si="10"/>
        <v>-0.88179576189851205</v>
      </c>
      <c r="T22" s="449">
        <v>3662200.70330344</v>
      </c>
      <c r="U22" s="449">
        <v>2922788.2681895616</v>
      </c>
      <c r="V22" s="449">
        <v>3389680.84440033</v>
      </c>
      <c r="W22" s="73" t="s">
        <v>68</v>
      </c>
      <c r="X22" s="75">
        <f>X17-X18-X19-X20-X21</f>
        <v>23493.529656953138</v>
      </c>
      <c r="Y22" s="75">
        <f t="shared" ref="Y22:AC22" si="16">Y17-Y18-Y19-Y20-Y21</f>
        <v>2297083.5508828089</v>
      </c>
      <c r="Z22" s="74">
        <f t="shared" si="16"/>
        <v>23474.942023920132</v>
      </c>
      <c r="AA22" s="691">
        <f t="shared" si="16"/>
        <v>26577.387261818199</v>
      </c>
      <c r="AB22" s="692">
        <f t="shared" si="16"/>
        <v>2297083.5032073702</v>
      </c>
      <c r="AC22" s="693">
        <f t="shared" si="16"/>
        <v>26558.865310239831</v>
      </c>
      <c r="AD22" s="76">
        <f t="shared" ref="AD22" si="17">Z22-X22</f>
        <v>-18.587633033006568</v>
      </c>
      <c r="AE22" s="77">
        <f t="shared" ref="AE22" si="18">IF(X22=0,"",(Z22-X22)/ABS(X22)+1)</f>
        <v>0.9992088190533982</v>
      </c>
      <c r="AF22" s="77">
        <f t="shared" ref="AF22" si="19">IF(Y22=0,"",(Z22-Y22)/ABS(Y22))</f>
        <v>-0.98978054498065671</v>
      </c>
      <c r="AG22" s="149"/>
      <c r="AH22" s="87">
        <f>+'COLOMBIA USD'!Y22+'EL SALVADOR USD'!Y22+'VENEZUELA USD'!Y22+'PANAMA USD'!Y22</f>
        <v>2297083.5508828084</v>
      </c>
      <c r="AI22" s="87">
        <f>+'COLOMBIA USD'!Z22+'EL SALVADOR USD'!Z22+'VENEZUELA USD'!Z22+'PANAMA USD'!Z22</f>
        <v>23474.942023920157</v>
      </c>
      <c r="AJ22" s="87">
        <f>+'COLOMBIA USD'!AD22+'EL SALVADOR USD'!AD22+'VENEZUELA USD'!AD22+'PANAMA USD'!AD22</f>
        <v>-18.521951578290128</v>
      </c>
      <c r="AL22" s="87">
        <f>+'COLOMBIA USD'!AC22+'EL SALVADOR USD'!AC22+'VENEZUELA USD'!AC22+'PANAMA USD'!AC22</f>
        <v>26558.865310239802</v>
      </c>
    </row>
    <row r="23" spans="1:38" s="20" customFormat="1" x14ac:dyDescent="0.25">
      <c r="B23" s="481" t="s">
        <v>103</v>
      </c>
      <c r="C23" s="566" t="s">
        <v>69</v>
      </c>
      <c r="D23" s="550">
        <f>'COLOMBIA USD'!D23+'EL SALVADOR USD'!D23+'VENEZUELA USD'!D23+'PANAMA USD'!D23</f>
        <v>21652.631764705882</v>
      </c>
      <c r="E23" s="567">
        <f t="shared" si="1"/>
        <v>8.6450934768375787E-2</v>
      </c>
      <c r="F23" s="550">
        <f>'COLOMBIA USD'!F23+'EL SALVADOR USD'!F23+'VENEZUELA USD'!F23+'PANAMA USD'!F23</f>
        <v>2463377.8699181918</v>
      </c>
      <c r="G23" s="567">
        <f t="shared" si="2"/>
        <v>0.34028395290055535</v>
      </c>
      <c r="H23" s="572">
        <f>'COLOMBIA USD'!H23+'EL SALVADOR USD'!H23+'VENEZUELA USD'!H23+'PANAMA USD'!H23</f>
        <v>18629.738570964309</v>
      </c>
      <c r="I23" s="573">
        <f t="shared" si="3"/>
        <v>8.6284551362899087E-2</v>
      </c>
      <c r="J23" s="574">
        <f t="shared" si="7"/>
        <v>0.86039141908518779</v>
      </c>
      <c r="K23" s="574">
        <f t="shared" si="8"/>
        <v>-0.99243731999119444</v>
      </c>
      <c r="L23" s="190">
        <f>'COLOMBIA USD'!L23+'EL SALVADOR USD'!L23+'VENEZUELA USD'!L23+'PANAMA USD'!L23</f>
        <v>107498.68823529413</v>
      </c>
      <c r="M23" s="567">
        <f t="shared" si="4"/>
        <v>8.6141453076602426E-2</v>
      </c>
      <c r="N23" s="550">
        <f>'COLOMBIA USD'!N23+'EL SALVADOR USD'!N23+'VENEZUELA USD'!N23+'PANAMA USD'!N23</f>
        <v>7171013.7925316216</v>
      </c>
      <c r="O23" s="567">
        <f t="shared" si="5"/>
        <v>0.35880103839777622</v>
      </c>
      <c r="P23" s="572">
        <f>'COLOMBIA USD'!P23+'EL SALVADOR USD'!P23+'VENEZUELA USD'!P28+'PANAMA USD'!P23</f>
        <v>92724.238490315256</v>
      </c>
      <c r="Q23" s="573">
        <f t="shared" si="6"/>
        <v>8.8137709852854351E-2</v>
      </c>
      <c r="R23" s="574">
        <f t="shared" si="9"/>
        <v>0.86256158109910674</v>
      </c>
      <c r="S23" s="575">
        <f t="shared" si="10"/>
        <v>-0.98706957744428203</v>
      </c>
      <c r="T23" s="449">
        <v>489577.11590925977</v>
      </c>
      <c r="U23" s="449">
        <v>259369.55845243362</v>
      </c>
      <c r="V23" s="449">
        <v>253327.6270811818</v>
      </c>
      <c r="W23" s="597"/>
      <c r="X23" s="433">
        <f>+'COLOMBIA USD'!X22+'EL SALVADOR USD'!X22+'VENEZUELA USD'!X22+'PANAMA USD'!X22</f>
        <v>23493.529656953189</v>
      </c>
      <c r="Y23" s="433">
        <f>+'COLOMBIA USD'!Y22+'EL SALVADOR USD'!Y22+'VENEZUELA USD'!Y22+'PANAMA USD'!Y22</f>
        <v>2297083.5508828084</v>
      </c>
      <c r="Z23" s="433">
        <f>+'COLOMBIA USD'!Z22+'EL SALVADOR USD'!Z22+'VENEZUELA USD'!Z22+'PANAMA USD'!Z22</f>
        <v>23474.942023920157</v>
      </c>
      <c r="AA23" s="433">
        <f>+'COLOMBIA USD'!AA22+'EL SALVADOR USD'!AA22+'VENEZUELA USD'!AA22+'PANAMA USD'!AA22</f>
        <v>26577.387261818098</v>
      </c>
      <c r="AB23" s="433">
        <f>+'COLOMBIA USD'!AB22+'EL SALVADOR USD'!AB22+'VENEZUELA USD'!AB22+'PANAMA USD'!AB22</f>
        <v>2297083.5032073697</v>
      </c>
      <c r="AC23" s="433">
        <f>+'COLOMBIA USD'!AC22+'EL SALVADOR USD'!AC22+'VENEZUELA USD'!AC22+'PANAMA USD'!AC22</f>
        <v>26558.865310239802</v>
      </c>
      <c r="AD23" s="433">
        <f>+'COLOMBIA USD'!AD22+'EL SALVADOR USD'!AD22+'VENEZUELA USD'!AD22+'PANAMA USD'!AD22</f>
        <v>-18.521951578290128</v>
      </c>
      <c r="AE23" s="178"/>
      <c r="AF23" s="694"/>
      <c r="AG23" s="149"/>
      <c r="AL23" s="87" t="e">
        <f>+'COLOMBIA USD'!AC23+'EL SALVADOR USD'!AC23+'VENEZUELA USD'!AC23+'PANAMA USD'!AC23</f>
        <v>#VALUE!</v>
      </c>
    </row>
    <row r="24" spans="1:38" x14ac:dyDescent="0.25">
      <c r="A24" s="11" t="s">
        <v>104</v>
      </c>
      <c r="B24" s="11" t="s">
        <v>105</v>
      </c>
      <c r="C24" s="81" t="s">
        <v>71</v>
      </c>
      <c r="D24" s="117">
        <f>'COLOMBIA USD'!D24+'EL SALVADOR USD'!D24+'VENEZUELA USD'!D24+'PANAMA USD'!D24</f>
        <v>49525</v>
      </c>
      <c r="E24" s="126">
        <f t="shared" si="1"/>
        <v>0.19773497240103127</v>
      </c>
      <c r="F24" s="117">
        <f>'COLOMBIA USD'!F24+'EL SALVADOR USD'!F24+'VENEZUELA USD'!F24+'PANAMA USD'!F24</f>
        <v>1000224.3996386852</v>
      </c>
      <c r="G24" s="126">
        <f t="shared" si="2"/>
        <v>0.1381681294830906</v>
      </c>
      <c r="H24" s="91">
        <f>'COLOMBIA USD'!H24+'EL SALVADOR USD'!H24+'VENEZUELA USD'!H24+'PANAMA USD'!H24</f>
        <v>41479.49905779495</v>
      </c>
      <c r="I24" s="127">
        <f t="shared" si="3"/>
        <v>0.19211434198748259</v>
      </c>
      <c r="J24" s="128">
        <f t="shared" si="7"/>
        <v>0.83754667456425946</v>
      </c>
      <c r="K24" s="128">
        <f t="shared" si="8"/>
        <v>-0.9585298068385667</v>
      </c>
      <c r="L24" s="83">
        <f>'COLOMBIA USD'!L24+'EL SALVADOR USD'!L24+'VENEZUELA USD'!L24+'PANAMA USD'!L24</f>
        <v>270089.11764705885</v>
      </c>
      <c r="M24" s="126">
        <f t="shared" si="4"/>
        <v>0.21642932984791891</v>
      </c>
      <c r="N24" s="117">
        <f>'COLOMBIA USD'!N24+'EL SALVADOR USD'!N24+'VENEZUELA USD'!N24+'PANAMA USD'!N24</f>
        <v>3454816.2610263322</v>
      </c>
      <c r="O24" s="126">
        <f t="shared" si="5"/>
        <v>0.1728614248686518</v>
      </c>
      <c r="P24" s="91">
        <f>'COLOMBIA USD'!P24+'EL SALVADOR USD'!P24+'VENEZUELA USD'!P24+'PANAMA USD'!P24</f>
        <v>225669.91893495692</v>
      </c>
      <c r="Q24" s="127">
        <f t="shared" si="6"/>
        <v>0.21450734092233978</v>
      </c>
      <c r="R24" s="128">
        <f t="shared" si="9"/>
        <v>0.83553873218191976</v>
      </c>
      <c r="S24" s="148">
        <f t="shared" si="10"/>
        <v>-0.93467961770334007</v>
      </c>
      <c r="T24" s="449">
        <v>1325812.9354524652</v>
      </c>
      <c r="U24" s="449">
        <v>1398965.9676199039</v>
      </c>
      <c r="V24" s="449">
        <v>1452260.7260694457</v>
      </c>
      <c r="W24" s="597"/>
      <c r="X24" s="597"/>
      <c r="Y24" s="597"/>
      <c r="Z24" s="597"/>
      <c r="AA24" s="597"/>
      <c r="AB24" s="597"/>
      <c r="AC24" s="694"/>
      <c r="AD24" s="597"/>
      <c r="AE24" s="597"/>
      <c r="AF24" s="694"/>
      <c r="AG24" s="149"/>
      <c r="AL24" s="87">
        <f>+'COLOMBIA USD'!AC24+'EL SALVADOR USD'!AC24+'VENEZUELA USD'!AC24+'PANAMA USD'!AC24</f>
        <v>0</v>
      </c>
    </row>
    <row r="25" spans="1:38" x14ac:dyDescent="0.25">
      <c r="B25" s="11"/>
      <c r="C25" s="112" t="s">
        <v>72</v>
      </c>
      <c r="D25" s="117">
        <f>+D23+D24</f>
        <v>71177.631764705875</v>
      </c>
      <c r="E25" s="113">
        <f t="shared" si="1"/>
        <v>0.284185907169407</v>
      </c>
      <c r="F25" s="117">
        <f>'COLOMBIA USD'!F25+'EL SALVADOR USD'!F25+'VENEZUELA USD'!F25+'PANAMA USD'!F25</f>
        <v>3463602.2695568772</v>
      </c>
      <c r="G25" s="113">
        <f t="shared" si="2"/>
        <v>0.478452082383646</v>
      </c>
      <c r="H25" s="114">
        <f>'COLOMBIA USD'!H25+'EL SALVADOR USD'!H25+'VENEZUELA USD'!H25+'PANAMA USD'!H25</f>
        <v>60109.237628759256</v>
      </c>
      <c r="I25" s="115">
        <f t="shared" si="3"/>
        <v>0.2783988933503817</v>
      </c>
      <c r="J25" s="116">
        <f t="shared" si="7"/>
        <v>0.84449617300367963</v>
      </c>
      <c r="K25" s="116">
        <f t="shared" si="8"/>
        <v>-0.98264545610300413</v>
      </c>
      <c r="L25" s="117">
        <f>'COLOMBIA USD'!L25+'EL SALVADOR USD'!L25+'VENEZUELA USD'!L25+'PANAMA USD'!L25</f>
        <v>377587.80588235299</v>
      </c>
      <c r="M25" s="113">
        <f t="shared" si="4"/>
        <v>0.30257078292452133</v>
      </c>
      <c r="N25" s="117">
        <f>'COLOMBIA USD'!N25+'EL SALVADOR USD'!N25+'VENEZUELA USD'!N25+'PANAMA USD'!N25</f>
        <v>10625830.053557955</v>
      </c>
      <c r="O25" s="113">
        <f t="shared" si="5"/>
        <v>0.53166246326642808</v>
      </c>
      <c r="P25" s="114">
        <f>'COLOMBIA USD'!P25+'EL SALVADOR USD'!P25+'VENEZUELA USD'!P25+'PANAMA USD'!P25</f>
        <v>318458.12119703315</v>
      </c>
      <c r="Q25" s="115">
        <f t="shared" si="6"/>
        <v>0.30270585063128735</v>
      </c>
      <c r="R25" s="116">
        <f t="shared" si="9"/>
        <v>0.8434014982365633</v>
      </c>
      <c r="S25" s="374">
        <f t="shared" si="10"/>
        <v>-0.97002981229777896</v>
      </c>
      <c r="T25" s="449">
        <v>1815390.051361725</v>
      </c>
      <c r="U25" s="449">
        <v>1658335.5260723373</v>
      </c>
      <c r="V25" s="449">
        <v>1937385.4960077705</v>
      </c>
      <c r="W25" s="12"/>
      <c r="X25" s="301"/>
      <c r="Y25" s="301"/>
      <c r="Z25" s="301"/>
      <c r="AA25" s="301"/>
      <c r="AB25" s="301"/>
      <c r="AC25" s="301"/>
      <c r="AD25" s="301"/>
      <c r="AE25" s="12"/>
      <c r="AF25" s="12"/>
      <c r="AG25" s="149"/>
      <c r="AL25" s="87">
        <f>+'COLOMBIA USD'!AC25+'EL SALVADOR USD'!AC25+'VENEZUELA USD'!AC25+'PANAMA USD'!AC25</f>
        <v>0</v>
      </c>
    </row>
    <row r="26" spans="1:38" ht="15.75" thickBot="1" x14ac:dyDescent="0.3">
      <c r="B26" s="11"/>
      <c r="C26" s="112" t="s">
        <v>74</v>
      </c>
      <c r="D26" s="117">
        <f>+D22+D25</f>
        <v>218367.15352941176</v>
      </c>
      <c r="E26" s="113">
        <f t="shared" si="1"/>
        <v>0.87185912319899028</v>
      </c>
      <c r="F26" s="117">
        <f>'COLOMBIA USD'!F26+'EL SALVADOR USD'!F26+'VENEZUELA USD'!F26+'PANAMA USD'!F26</f>
        <v>5311370.0449468708</v>
      </c>
      <c r="G26" s="113">
        <f t="shared" si="2"/>
        <v>0.73369742266627735</v>
      </c>
      <c r="H26" s="114">
        <f>'COLOMBIA USD'!H26+'EL SALVADOR USD'!H26+'VENEZUELA USD'!H26+'PANAMA USD'!H26</f>
        <v>181691.61338602123</v>
      </c>
      <c r="I26" s="115">
        <f t="shared" si="3"/>
        <v>0.84151365236268438</v>
      </c>
      <c r="J26" s="116">
        <f t="shared" si="7"/>
        <v>0.83204644310917064</v>
      </c>
      <c r="K26" s="116">
        <f t="shared" si="8"/>
        <v>-0.96579194975148108</v>
      </c>
      <c r="L26" s="117">
        <f>'COLOMBIA USD'!L26+'EL SALVADOR USD'!L26+'VENEZUELA USD'!L26+'PANAMA USD'!L26</f>
        <v>1084538.0617647059</v>
      </c>
      <c r="M26" s="113">
        <f t="shared" si="4"/>
        <v>0.86906813553675299</v>
      </c>
      <c r="N26" s="117">
        <f>'COLOMBIA USD'!N26+'EL SALVADOR USD'!N26+'VENEZUELA USD'!N26+'PANAMA USD'!N26</f>
        <v>15763231.749281086</v>
      </c>
      <c r="O26" s="113">
        <f t="shared" si="5"/>
        <v>0.78871190096402366</v>
      </c>
      <c r="P26" s="114">
        <f>'COLOMBIA USD'!P26+'EL SALVADOR USD'!P26+'VENEZUELA USD'!P26+'PANAMA USD'!P26</f>
        <v>925720.77446127811</v>
      </c>
      <c r="Q26" s="115">
        <f t="shared" si="6"/>
        <v>0.87993075330297432</v>
      </c>
      <c r="R26" s="116">
        <f t="shared" si="9"/>
        <v>0.85356227420455089</v>
      </c>
      <c r="S26" s="374">
        <f t="shared" si="10"/>
        <v>-0.94127341466615833</v>
      </c>
      <c r="T26" s="449">
        <v>5477590.7546651652</v>
      </c>
      <c r="U26" s="449">
        <v>4581123.7942618988</v>
      </c>
      <c r="V26" s="449">
        <v>5327066.3404081007</v>
      </c>
      <c r="W26" s="12"/>
      <c r="X26" s="301"/>
      <c r="Y26" s="301"/>
      <c r="Z26" s="301"/>
      <c r="AA26" s="301"/>
      <c r="AB26" s="301"/>
      <c r="AC26" s="301"/>
      <c r="AD26" s="301"/>
      <c r="AE26" s="12"/>
      <c r="AF26" s="12"/>
      <c r="AG26" s="149"/>
    </row>
    <row r="27" spans="1:38" ht="15.75" thickBot="1" x14ac:dyDescent="0.3">
      <c r="B27" s="11"/>
      <c r="C27" s="73" t="s">
        <v>75</v>
      </c>
      <c r="D27" s="141">
        <f>+D19-D26</f>
        <v>10213.711764705891</v>
      </c>
      <c r="E27" s="142">
        <f t="shared" si="1"/>
        <v>4.077956615661197E-2</v>
      </c>
      <c r="F27" s="141">
        <f>+F19-F26</f>
        <v>1919409.0833845669</v>
      </c>
      <c r="G27" s="142">
        <f t="shared" si="2"/>
        <v>0.26514166507025694</v>
      </c>
      <c r="H27" s="141">
        <f>+H19-H26</f>
        <v>10572.70442450518</v>
      </c>
      <c r="I27" s="143">
        <f t="shared" si="3"/>
        <v>4.8968001053046842E-2</v>
      </c>
      <c r="J27" s="144">
        <f t="shared" si="7"/>
        <v>1.0351481095285859</v>
      </c>
      <c r="K27" s="144">
        <f t="shared" si="8"/>
        <v>-0.99449168782411834</v>
      </c>
      <c r="L27" s="141">
        <f>+L19-L26</f>
        <v>63824.605882353149</v>
      </c>
      <c r="M27" s="142">
        <f t="shared" si="4"/>
        <v>5.1144291925808577E-2</v>
      </c>
      <c r="N27" s="141">
        <f>+N19-N26</f>
        <v>4066922.8470869362</v>
      </c>
      <c r="O27" s="142">
        <f t="shared" si="5"/>
        <v>0.20348812355348689</v>
      </c>
      <c r="P27" s="141">
        <f>+P19-P26</f>
        <v>42138.101695647812</v>
      </c>
      <c r="Q27" s="145">
        <f t="shared" si="6"/>
        <v>4.0053774951076974E-2</v>
      </c>
      <c r="R27" s="146">
        <f t="shared" si="9"/>
        <v>0.66021718603825441</v>
      </c>
      <c r="S27" s="146">
        <f t="shared" si="10"/>
        <v>-0.98963882441836071</v>
      </c>
      <c r="T27" s="449">
        <v>842281.05363427289</v>
      </c>
      <c r="U27" s="449">
        <v>1013711.5972500257</v>
      </c>
      <c r="V27" s="449">
        <v>856500.60917004384</v>
      </c>
      <c r="W27" s="12"/>
      <c r="X27" s="301"/>
      <c r="Y27" s="301"/>
      <c r="Z27" s="301"/>
      <c r="AA27" s="301"/>
      <c r="AB27" s="301"/>
      <c r="AC27" s="301"/>
      <c r="AD27" s="301"/>
      <c r="AE27" s="301"/>
      <c r="AF27" s="301"/>
    </row>
    <row r="28" spans="1:38" x14ac:dyDescent="0.25">
      <c r="B28" s="11" t="s">
        <v>106</v>
      </c>
      <c r="C28" s="81" t="s">
        <v>76</v>
      </c>
      <c r="D28" s="117">
        <f>'COLOMBIA USD'!D28+'EL SALVADOR USD'!D28+'VENEZUELA USD'!D28+'PANAMA USD'!D28</f>
        <v>188.99529411764703</v>
      </c>
      <c r="E28" s="126">
        <f t="shared" si="1"/>
        <v>7.5458817296875764E-4</v>
      </c>
      <c r="F28" s="117">
        <f>'COLOMBIA USD'!F28+'EL SALVADOR USD'!F28+'VENEZUELA USD'!F28+'PANAMA USD'!F28</f>
        <v>890.99721420727371</v>
      </c>
      <c r="G28" s="126">
        <f t="shared" si="2"/>
        <v>1.2307979939914899E-4</v>
      </c>
      <c r="H28" s="91">
        <f>'COLOMBIA USD'!H28+'EL SALVADOR USD'!H28+'VENEZUELA USD'!H28+'PANAMA USD'!H28</f>
        <v>98.873288108906678</v>
      </c>
      <c r="I28" s="127">
        <f t="shared" si="3"/>
        <v>4.5793650156466398E-4</v>
      </c>
      <c r="J28" s="128">
        <f t="shared" si="7"/>
        <v>0.52315211640856718</v>
      </c>
      <c r="K28" s="128">
        <f t="shared" si="8"/>
        <v>-0.88903075505474516</v>
      </c>
      <c r="L28" s="83">
        <f>'COLOMBIA USD'!L28+'EL SALVADOR USD'!L28+'VENEZUELA USD'!L28+'PANAMA USD'!L28</f>
        <v>944.9764705882352</v>
      </c>
      <c r="M28" s="126">
        <f t="shared" si="4"/>
        <v>7.5723385685876608E-4</v>
      </c>
      <c r="N28" s="117">
        <f>'COLOMBIA USD'!N28+'EL SALVADOR USD'!N28+'VENEZUELA USD'!N28+'PANAMA USD'!N28</f>
        <v>44782.952413169398</v>
      </c>
      <c r="O28" s="126">
        <f t="shared" si="5"/>
        <v>2.2407110477318921E-3</v>
      </c>
      <c r="P28" s="91">
        <f>'COLOMBIA USD'!P28+'EL SALVADOR USD'!P28+'VENEZUELA USD'!P28+'PANAMA USD'!P28</f>
        <v>2182.5166089859263</v>
      </c>
      <c r="Q28" s="127">
        <f t="shared" si="6"/>
        <v>2.0745602095392644E-3</v>
      </c>
      <c r="R28" s="148">
        <f t="shared" si="9"/>
        <v>2.3095988915230228</v>
      </c>
      <c r="S28" s="148">
        <f t="shared" si="10"/>
        <v>-0.95126456628294764</v>
      </c>
      <c r="T28" s="449">
        <v>36967.506342685476</v>
      </c>
      <c r="U28" s="449">
        <v>93879.133684850676</v>
      </c>
      <c r="V28" s="449">
        <v>133949.53460005065</v>
      </c>
      <c r="W28" s="12"/>
      <c r="X28" s="301"/>
      <c r="Y28" s="301"/>
      <c r="Z28" s="301"/>
      <c r="AA28" s="301"/>
      <c r="AB28" s="301"/>
      <c r="AC28" s="301"/>
      <c r="AD28" s="301"/>
      <c r="AE28" s="12"/>
      <c r="AF28" s="12"/>
    </row>
    <row r="29" spans="1:38" ht="15.75" thickBot="1" x14ac:dyDescent="0.3">
      <c r="B29" s="11" t="s">
        <v>107</v>
      </c>
      <c r="C29" s="81" t="s">
        <v>77</v>
      </c>
      <c r="D29" s="117">
        <f>'COLOMBIA USD'!D29+'EL SALVADOR USD'!D29+'VENEZUELA USD'!D29+'PANAMA USD'!D29</f>
        <v>4507.1376470588239</v>
      </c>
      <c r="E29" s="126">
        <f t="shared" si="1"/>
        <v>1.799533040381273E-2</v>
      </c>
      <c r="F29" s="117">
        <f>'COLOMBIA USD'!F29+'EL SALVADOR USD'!F29+'VENEZUELA USD'!F29+'PANAMA USD'!F29</f>
        <v>88650.296434940552</v>
      </c>
      <c r="G29" s="126">
        <f t="shared" si="2"/>
        <v>1.2245897661526608E-2</v>
      </c>
      <c r="H29" s="91">
        <f>'COLOMBIA USD'!H29+'EL SALVADOR USD'!H29+'VENEZUELA USD'!H29+'PANAMA USD'!H29</f>
        <v>4888.4472372122864</v>
      </c>
      <c r="I29" s="127">
        <f t="shared" si="3"/>
        <v>2.2641084045133365E-2</v>
      </c>
      <c r="J29" s="128">
        <f t="shared" si="7"/>
        <v>1.0846012746919966</v>
      </c>
      <c r="K29" s="128">
        <f t="shared" si="8"/>
        <v>-0.94485695554554794</v>
      </c>
      <c r="L29" s="83">
        <f>'COLOMBIA USD'!L29+'EL SALVADOR USD'!L29+'VENEZUELA USD'!L29+'PANAMA USD'!L29</f>
        <v>23080.1</v>
      </c>
      <c r="M29" s="126">
        <f t="shared" si="4"/>
        <v>1.8494675458751674E-2</v>
      </c>
      <c r="N29" s="117">
        <f>'COLOMBIA USD'!N29+'EL SALVADOR USD'!N29+'VENEZUELA USD'!N29+'PANAMA USD'!N29</f>
        <v>282623.84647139302</v>
      </c>
      <c r="O29" s="126">
        <f t="shared" si="5"/>
        <v>1.4141059064134039E-2</v>
      </c>
      <c r="P29" s="91">
        <f>'COLOMBIA USD'!P29+'EL SALVADOR USD'!P29+'VENEZUELA USD'!P29+'PANAMA USD'!P29</f>
        <v>22907.934264805852</v>
      </c>
      <c r="Q29" s="127">
        <f t="shared" si="6"/>
        <v>2.1774812027931641E-2</v>
      </c>
      <c r="R29" s="148">
        <f t="shared" si="9"/>
        <v>0.99254051173113866</v>
      </c>
      <c r="S29" s="148">
        <f t="shared" si="10"/>
        <v>-0.91894550105797745</v>
      </c>
      <c r="T29" s="449">
        <v>196255.56818784965</v>
      </c>
      <c r="U29" s="449">
        <v>228440.23274706514</v>
      </c>
      <c r="V29" s="449">
        <v>333599.69772224413</v>
      </c>
      <c r="X29" s="149"/>
      <c r="Y29" s="149"/>
      <c r="Z29" s="149"/>
      <c r="AA29" s="149"/>
      <c r="AB29" s="149"/>
      <c r="AC29" s="149"/>
      <c r="AD29" s="149"/>
    </row>
    <row r="30" spans="1:38" ht="15.75" thickBot="1" x14ac:dyDescent="0.3">
      <c r="B30" s="11"/>
      <c r="C30" s="73" t="s">
        <v>78</v>
      </c>
      <c r="D30" s="141">
        <f>+D27+D28-D29</f>
        <v>5895.5694117647145</v>
      </c>
      <c r="E30" s="142">
        <f t="shared" si="1"/>
        <v>2.3538823925767994E-2</v>
      </c>
      <c r="F30" s="141">
        <f>+F27+F28-F29</f>
        <v>1831649.7841638336</v>
      </c>
      <c r="G30" s="142">
        <f t="shared" si="2"/>
        <v>0.25301884720812945</v>
      </c>
      <c r="H30" s="141">
        <f>+H27+H28-H29</f>
        <v>5783.130475401801</v>
      </c>
      <c r="I30" s="143">
        <f t="shared" si="3"/>
        <v>2.6784853509478145E-2</v>
      </c>
      <c r="J30" s="144">
        <f t="shared" si="7"/>
        <v>0.98092823126829121</v>
      </c>
      <c r="K30" s="144">
        <f t="shared" si="8"/>
        <v>-0.99684266581668513</v>
      </c>
      <c r="L30" s="141">
        <f>+L27+L28-L29</f>
        <v>41689.482352941384</v>
      </c>
      <c r="M30" s="142">
        <f t="shared" si="4"/>
        <v>3.3406850323915667E-2</v>
      </c>
      <c r="N30" s="141">
        <f>+N27+N28-N29</f>
        <v>3829081.9530287124</v>
      </c>
      <c r="O30" s="142">
        <f t="shared" si="5"/>
        <v>0.19158777553708473</v>
      </c>
      <c r="P30" s="141">
        <f>+P27+P28-P29</f>
        <v>21412.684039827887</v>
      </c>
      <c r="Q30" s="143">
        <f t="shared" si="6"/>
        <v>2.0353523132684601E-2</v>
      </c>
      <c r="R30" s="144">
        <f t="shared" si="9"/>
        <v>0.5136231689937768</v>
      </c>
      <c r="S30" s="146">
        <f t="shared" si="10"/>
        <v>-0.99440788045215611</v>
      </c>
      <c r="T30" s="449">
        <v>682992.99178910861</v>
      </c>
      <c r="U30" s="449">
        <v>879150.49818781135</v>
      </c>
      <c r="V30" s="449">
        <v>656850.44604785042</v>
      </c>
      <c r="X30" s="149"/>
      <c r="Y30" s="149"/>
      <c r="Z30" s="149"/>
      <c r="AA30" s="149"/>
      <c r="AB30" s="149"/>
      <c r="AC30" s="149"/>
      <c r="AD30" s="149"/>
    </row>
    <row r="31" spans="1:38" ht="15.75" thickBot="1" x14ac:dyDescent="0.3">
      <c r="B31" s="11" t="s">
        <v>108</v>
      </c>
      <c r="C31" s="81" t="s">
        <v>62</v>
      </c>
      <c r="D31" s="117">
        <f>'COLOMBIA USD'!D31+'EL SALVADOR USD'!D31+'VENEZUELA USD'!D31+'PANAMA USD'!D31</f>
        <v>6711.7764705882355</v>
      </c>
      <c r="E31" s="126">
        <f t="shared" si="1"/>
        <v>2.6797636247827477E-2</v>
      </c>
      <c r="F31" s="117">
        <f>'COLOMBIA USD'!F31+'EL SALVADOR USD'!F31+'VENEZUELA USD'!F31+'PANAMA USD'!F31</f>
        <v>3534.4517032363642</v>
      </c>
      <c r="G31" s="126">
        <f t="shared" si="2"/>
        <v>4.8823901992482894E-4</v>
      </c>
      <c r="H31" s="91">
        <f>'COLOMBIA USD'!H31+'EL SALVADOR USD'!H31+'VENEZUELA USD'!H31+'PANAMA USD'!H31</f>
        <v>7280.171412862891</v>
      </c>
      <c r="I31" s="127">
        <f t="shared" si="3"/>
        <v>3.3718472313020907E-2</v>
      </c>
      <c r="J31" s="128">
        <f t="shared" si="7"/>
        <v>1.0846862145611413</v>
      </c>
      <c r="K31" s="128">
        <f t="shared" si="8"/>
        <v>1.0597739123713905</v>
      </c>
      <c r="L31" s="83">
        <f>'COLOMBIA USD'!L31+'EL SALVADOR USD'!L31+'VENEZUELA USD'!L31+'PANAMA USD'!L31</f>
        <v>38871.604117647061</v>
      </c>
      <c r="M31" s="126">
        <f t="shared" si="4"/>
        <v>3.1148812297908484E-2</v>
      </c>
      <c r="N31" s="117">
        <f>'COLOMBIA USD'!N31+'EL SALVADOR USD'!N31+'VENEZUELA USD'!N31+'PANAMA USD'!N31</f>
        <v>62517.961403778034</v>
      </c>
      <c r="O31" s="126">
        <f t="shared" si="5"/>
        <v>3.1280806478924004E-3</v>
      </c>
      <c r="P31" s="91">
        <f>'COLOMBIA USD'!P31+'EL SALVADOR USD'!P31+'VENEZUELA USD'!P31+'PANAMA USD'!P31</f>
        <v>34727.614962963344</v>
      </c>
      <c r="Q31" s="127">
        <f t="shared" si="6"/>
        <v>3.3009841885161435E-2</v>
      </c>
      <c r="R31" s="148">
        <f t="shared" si="9"/>
        <v>0.89339289569471569</v>
      </c>
      <c r="S31" s="148">
        <f t="shared" si="10"/>
        <v>-0.4445177964349824</v>
      </c>
      <c r="T31" s="449">
        <v>280419.6325910202</v>
      </c>
      <c r="U31" s="449">
        <v>316141.88521195261</v>
      </c>
      <c r="V31" s="449">
        <v>205076.37559374908</v>
      </c>
      <c r="X31" s="149"/>
      <c r="Y31" s="149"/>
      <c r="Z31" s="149"/>
      <c r="AA31" s="149"/>
      <c r="AB31" s="149"/>
      <c r="AC31" s="149"/>
      <c r="AD31" s="149"/>
    </row>
    <row r="32" spans="1:38" ht="15.75" thickBot="1" x14ac:dyDescent="0.3">
      <c r="B32" s="11"/>
      <c r="C32" s="73" t="s">
        <v>79</v>
      </c>
      <c r="D32" s="141">
        <f>+D30-D31</f>
        <v>-816.20705882352104</v>
      </c>
      <c r="E32" s="142">
        <f t="shared" si="1"/>
        <v>-3.2588123220594818E-3</v>
      </c>
      <c r="F32" s="141">
        <f>+F30-F31</f>
        <v>1828115.3324605972</v>
      </c>
      <c r="G32" s="142">
        <f t="shared" si="2"/>
        <v>0.25253060818820461</v>
      </c>
      <c r="H32" s="141">
        <f>+H30-H31</f>
        <v>-1497.0409374610899</v>
      </c>
      <c r="I32" s="143">
        <f t="shared" si="3"/>
        <v>-6.9336188035427626E-3</v>
      </c>
      <c r="J32" s="144">
        <f t="shared" si="7"/>
        <v>0.165856419302571</v>
      </c>
      <c r="K32" s="144">
        <f t="shared" si="8"/>
        <v>-1.000818898518534</v>
      </c>
      <c r="L32" s="141">
        <f>+L30-L31</f>
        <v>2817.8782352943235</v>
      </c>
      <c r="M32" s="142">
        <f t="shared" si="4"/>
        <v>2.2580380260071838E-3</v>
      </c>
      <c r="N32" s="141">
        <f>+N30-N31</f>
        <v>3766563.9916249346</v>
      </c>
      <c r="O32" s="142">
        <f t="shared" si="5"/>
        <v>0.18845969488919234</v>
      </c>
      <c r="P32" s="141">
        <f>+P30-P31</f>
        <v>-13314.930923135456</v>
      </c>
      <c r="Q32" s="143">
        <f t="shared" si="6"/>
        <v>-1.2656318752476831E-2</v>
      </c>
      <c r="R32" s="144">
        <f t="shared" si="9"/>
        <v>-4.7251619166378669</v>
      </c>
      <c r="S32" s="146">
        <f t="shared" si="10"/>
        <v>-1.0035350337742148</v>
      </c>
      <c r="T32" s="449">
        <v>402573.35919808841</v>
      </c>
      <c r="U32" s="449">
        <v>563008.61297585873</v>
      </c>
      <c r="V32" s="449">
        <v>451774.07045410131</v>
      </c>
      <c r="X32" s="149"/>
      <c r="Y32" s="149"/>
      <c r="Z32" s="149"/>
      <c r="AA32" s="149"/>
      <c r="AB32" s="149"/>
      <c r="AC32" s="149"/>
      <c r="AD32" s="149"/>
    </row>
    <row r="33" spans="2:33" ht="15.75" thickBot="1" x14ac:dyDescent="0.3">
      <c r="B33" s="11"/>
      <c r="C33" s="73" t="s">
        <v>81</v>
      </c>
      <c r="D33" s="141">
        <f>'COLOMBIA USD'!D33+'EL SALVADOR USD'!D33+'VENEZUELA USD'!D33+'PANAMA USD'!D33</f>
        <v>35338.080000000002</v>
      </c>
      <c r="E33" s="142">
        <f t="shared" si="1"/>
        <v>0.14109185812227026</v>
      </c>
      <c r="F33" s="141">
        <f>'COLOMBIA USD'!F33+'EL SALVADOR USD'!F33+'VENEZUELA USD'!F33+'PANAMA USD'!F33</f>
        <v>1836918.2535595186</v>
      </c>
      <c r="G33" s="142">
        <f t="shared" si="2"/>
        <v>0.2537466184581646</v>
      </c>
      <c r="H33" s="633">
        <f>'COLOMBIA USD'!H33+'EL SALVADOR USD'!H33+'VENEZUELA USD'!H33+'PANAMA USD'!H33</f>
        <v>35387.531319142363</v>
      </c>
      <c r="I33" s="143">
        <f t="shared" si="3"/>
        <v>0.16389909348871179</v>
      </c>
      <c r="J33" s="144">
        <f t="shared" si="7"/>
        <v>1.0013993776442398</v>
      </c>
      <c r="K33" s="144">
        <f t="shared" si="8"/>
        <v>-0.98073538043918418</v>
      </c>
      <c r="L33" s="141">
        <f>'COLOMBIA USD'!L33+'EL SALVADOR USD'!L33+'VENEZUELA USD'!L33+'PANAMA USD'!L33</f>
        <v>192147.91764705881</v>
      </c>
      <c r="M33" s="142">
        <f t="shared" si="4"/>
        <v>0.15397304937835174</v>
      </c>
      <c r="N33" s="141">
        <f>'COLOMBIA USD'!N33+'EL SALVADOR USD'!N33+'VENEZUELA USD'!N33+'PANAMA USD'!N33</f>
        <v>4002288.2685213182</v>
      </c>
      <c r="O33" s="142">
        <f t="shared" si="5"/>
        <v>0.20025413815383544</v>
      </c>
      <c r="P33" s="633">
        <f>'COLOMBIA USD'!P33+'EL SALVADOR USD'!P33+'VENEZUELA USD'!P33+'PANAMA USD'!P33</f>
        <v>165913.066785806</v>
      </c>
      <c r="Q33" s="143">
        <f t="shared" si="6"/>
        <v>0.15770631260230797</v>
      </c>
      <c r="R33" s="144">
        <f t="shared" si="9"/>
        <v>0.86346533866975594</v>
      </c>
      <c r="S33" s="146">
        <f t="shared" si="10"/>
        <v>-0.95854544809009878</v>
      </c>
      <c r="T33" s="449">
        <v>1264092.6280541716</v>
      </c>
      <c r="U33" s="449">
        <v>1256816.4542991167</v>
      </c>
      <c r="V33" s="449">
        <v>1312724.211591563</v>
      </c>
      <c r="X33" s="149"/>
      <c r="Y33" s="149"/>
      <c r="Z33" s="149"/>
      <c r="AA33" s="149"/>
      <c r="AB33" s="149"/>
      <c r="AC33" s="149"/>
      <c r="AD33" s="149"/>
    </row>
    <row r="34" spans="2:33" ht="15.75" thickBot="1" x14ac:dyDescent="0.3">
      <c r="B34" s="11" t="s">
        <v>109</v>
      </c>
      <c r="C34" s="153" t="s">
        <v>45</v>
      </c>
      <c r="D34" s="158">
        <f>'COLOMBIA USD'!D34+'EL SALVADOR USD'!D34+'VENEZUELA USD'!D34+'PANAMA USD'!D34</f>
        <v>116015.71352941176</v>
      </c>
      <c r="E34" s="155">
        <f t="shared" si="1"/>
        <v>0.46320775189952923</v>
      </c>
      <c r="F34" s="158">
        <f>'COLOMBIA USD'!F34+'EL SALVADOR USD'!F34+'VENEZUELA USD'!F34+'PANAMA USD'!F34</f>
        <v>1195472.0433896282</v>
      </c>
      <c r="G34" s="155">
        <f t="shared" si="2"/>
        <v>0.16513907893482727</v>
      </c>
      <c r="H34" s="695">
        <f>'COLOMBIA USD'!H34+'EL SALVADOR USD'!H34+'VENEZUELA USD'!H34+'PANAMA USD'!H34</f>
        <v>91871.228373910242</v>
      </c>
      <c r="I34" s="156">
        <f t="shared" si="3"/>
        <v>0.42550611717955905</v>
      </c>
      <c r="J34" s="157">
        <f t="shared" si="7"/>
        <v>0.79188607800631661</v>
      </c>
      <c r="K34" s="157">
        <f t="shared" si="8"/>
        <v>-0.9231506676530723</v>
      </c>
      <c r="L34" s="154">
        <f>'COLOMBIA USD'!L34+'EL SALVADOR USD'!L34+'VENEZUELA USD'!L34+'PANAMA USD'!L34</f>
        <v>553766.21470588236</v>
      </c>
      <c r="M34" s="155">
        <f t="shared" si="4"/>
        <v>0.44374705573228418</v>
      </c>
      <c r="N34" s="158">
        <f>'COLOMBIA USD'!N34+'EL SALVADOR USD'!N34+'VENEZUELA USD'!N34+'PANAMA USD'!N34</f>
        <v>4476349.954358777</v>
      </c>
      <c r="O34" s="155">
        <f t="shared" si="5"/>
        <v>0.2239737725129588</v>
      </c>
      <c r="P34" s="695">
        <f>'COLOMBIA USD'!P34+'EL SALVADOR USD'!P34+'VENEZUELA USD'!P34+'PANAMA USD'!P34</f>
        <v>462910.73752548208</v>
      </c>
      <c r="Q34" s="159">
        <f t="shared" si="6"/>
        <v>0.4400132364101666</v>
      </c>
      <c r="R34" s="160">
        <f t="shared" si="9"/>
        <v>0.83593170769969116</v>
      </c>
      <c r="S34" s="160">
        <f t="shared" si="10"/>
        <v>-0.89658745579649557</v>
      </c>
      <c r="T34" s="449">
        <v>2605262.123307826</v>
      </c>
      <c r="U34" s="449">
        <v>2379828.5360035086</v>
      </c>
      <c r="V34" s="449">
        <v>2567163.5334917912</v>
      </c>
      <c r="X34" s="149"/>
      <c r="Y34" s="149"/>
      <c r="Z34" s="149"/>
      <c r="AA34" s="149"/>
      <c r="AB34" s="149"/>
      <c r="AC34" s="149"/>
      <c r="AD34" s="149"/>
    </row>
    <row r="35" spans="2:33" s="191" customFormat="1" x14ac:dyDescent="0.25">
      <c r="D35" s="696"/>
      <c r="F35" s="12"/>
      <c r="L35" s="696"/>
      <c r="M35" s="696"/>
      <c r="N35" s="697"/>
      <c r="O35" s="696"/>
      <c r="P35" s="696"/>
      <c r="S35" s="698"/>
      <c r="T35" s="699"/>
      <c r="U35" s="699"/>
      <c r="V35" s="699"/>
      <c r="X35" s="696"/>
      <c r="Y35" s="696"/>
      <c r="Z35" s="696"/>
      <c r="AA35" s="696"/>
      <c r="AB35" s="696"/>
      <c r="AC35" s="696"/>
      <c r="AD35" s="696"/>
    </row>
    <row r="36" spans="2:33" s="138" customFormat="1" x14ac:dyDescent="0.25">
      <c r="C36" s="15"/>
      <c r="D36" s="87">
        <f>+'COLOMBIA USD'!D32+'EL SALVADOR USD'!D32+'VENEZUELA USD'!D32+'PANAMA USD'!D32</f>
        <v>-816.20705882353684</v>
      </c>
      <c r="E36" s="87" t="e">
        <f>+'COLOMBIA USD'!E32+'EL SALVADOR USD'!E32+'VENEZUELA USD'!E32+'PANAMA USD'!E32</f>
        <v>#DIV/0!</v>
      </c>
      <c r="F36" s="87">
        <f>+'COLOMBIA USD'!F32+'EL SALVADOR USD'!F32+'VENEZUELA USD'!F32+'PANAMA USD'!F32</f>
        <v>1828115.3324605976</v>
      </c>
      <c r="G36" s="87" t="e">
        <f>+'COLOMBIA USD'!G32+'EL SALVADOR USD'!G32+'VENEZUELA USD'!G32+'PANAMA USD'!G32</f>
        <v>#DIV/0!</v>
      </c>
      <c r="H36" s="87">
        <f>+'COLOMBIA USD'!H32+'EL SALVADOR USD'!H32+'VENEZUELA USD'!H32+'PANAMA USD'!H32</f>
        <v>-1497.0409374610874</v>
      </c>
      <c r="I36" s="87" t="e">
        <f>+'COLOMBIA USD'!I32+'EL SALVADOR USD'!I32+'VENEZUELA USD'!I32+'PANAMA USD'!I32</f>
        <v>#DIV/0!</v>
      </c>
      <c r="J36" s="87" t="e">
        <f>+'COLOMBIA USD'!J32+'EL SALVADOR USD'!J32+'VENEZUELA USD'!J32+'PANAMA USD'!J32</f>
        <v>#VALUE!</v>
      </c>
      <c r="K36" s="87">
        <f>+'COLOMBIA USD'!K32+'EL SALVADOR USD'!K32+'VENEZUELA USD'!K32+'PANAMA USD'!K32</f>
        <v>-3.0835105756241283</v>
      </c>
      <c r="L36" s="87">
        <f>+'COLOMBIA USD'!L32+'EL SALVADOR USD'!L32+'VENEZUELA USD'!L32+'PANAMA USD'!L32</f>
        <v>2817.8782352941853</v>
      </c>
      <c r="M36" s="87" t="e">
        <f>+'COLOMBIA USD'!M32+'EL SALVADOR USD'!M32+'VENEZUELA USD'!M32+'PANAMA USD'!M32</f>
        <v>#DIV/0!</v>
      </c>
      <c r="N36" s="87">
        <f>+'COLOMBIA USD'!N32+'EL SALVADOR USD'!N32+'VENEZUELA USD'!N32+'PANAMA USD'!N32</f>
        <v>3766563.9916249323</v>
      </c>
      <c r="O36" s="87" t="e">
        <f>+'COLOMBIA USD'!O32+'EL SALVADOR USD'!O32+'VENEZUELA USD'!O32+'PANAMA USD'!O32</f>
        <v>#DIV/0!</v>
      </c>
      <c r="P36" s="87">
        <f>+'COLOMBIA USD'!P32+'EL SALVADOR USD'!P32+'VENEZUELA USD'!P32+'PANAMA USD'!P32</f>
        <v>-13314.930923135405</v>
      </c>
      <c r="Q36" s="87" t="e">
        <f>+'COLOMBIA USD'!Q32+'EL SALVADOR USD'!Q32+'VENEZUELA USD'!Q32+'PANAMA USD'!Q32</f>
        <v>#DIV/0!</v>
      </c>
      <c r="R36" s="87" t="e">
        <f>+'COLOMBIA USD'!R32+'EL SALVADOR USD'!R32+'VENEZUELA USD'!R32+'PANAMA USD'!R32</f>
        <v>#VALUE!</v>
      </c>
      <c r="S36" s="87">
        <f>+'COLOMBIA USD'!S32+'EL SALVADOR USD'!S32+'VENEZUELA USD'!S32+'PANAMA USD'!S32</f>
        <v>-2.2423425941553097</v>
      </c>
      <c r="T36" s="449">
        <v>402573.35919808812</v>
      </c>
      <c r="U36" s="449">
        <v>563008.6129758592</v>
      </c>
      <c r="V36" s="700">
        <v>451774.07045410166</v>
      </c>
      <c r="X36" s="193"/>
      <c r="Y36" s="193"/>
      <c r="Z36" s="193"/>
      <c r="AA36" s="193"/>
      <c r="AB36" s="193"/>
      <c r="AC36" s="193"/>
      <c r="AD36" s="193"/>
    </row>
    <row r="37" spans="2:33" s="138" customFormat="1" x14ac:dyDescent="0.25">
      <c r="C37" s="15"/>
      <c r="D37" s="87">
        <f>+'COLOMBIA USD'!D33+'EL SALVADOR USD'!D33+'VENEZUELA USD'!D33+'PANAMA USD'!D33</f>
        <v>35338.080000000002</v>
      </c>
      <c r="E37" s="87" t="e">
        <f>+'COLOMBIA USD'!E33+'EL SALVADOR USD'!E33+'VENEZUELA USD'!E33+'PANAMA USD'!E33</f>
        <v>#DIV/0!</v>
      </c>
      <c r="F37" s="87">
        <f>+'COLOMBIA USD'!F33+'EL SALVADOR USD'!F33+'VENEZUELA USD'!F33+'PANAMA USD'!F33</f>
        <v>1836918.2535595186</v>
      </c>
      <c r="G37" s="87" t="e">
        <f>+'COLOMBIA USD'!G33+'EL SALVADOR USD'!G33+'VENEZUELA USD'!G33+'PANAMA USD'!G33</f>
        <v>#DIV/0!</v>
      </c>
      <c r="H37" s="87">
        <f>+'COLOMBIA USD'!H33+'EL SALVADOR USD'!H33+'VENEZUELA USD'!H33+'PANAMA USD'!H33</f>
        <v>35387.531319142363</v>
      </c>
      <c r="I37" s="87" t="e">
        <f>+'COLOMBIA USD'!I33+'EL SALVADOR USD'!I33+'VENEZUELA USD'!I33+'PANAMA USD'!I33</f>
        <v>#DIV/0!</v>
      </c>
      <c r="J37" s="87" t="e">
        <f>+'COLOMBIA USD'!J33+'EL SALVADOR USD'!J33+'VENEZUELA USD'!J33+'PANAMA USD'!J33</f>
        <v>#VALUE!</v>
      </c>
      <c r="K37" s="87">
        <f>+'COLOMBIA USD'!K33+'EL SALVADOR USD'!K33+'VENEZUELA USD'!K33+'PANAMA USD'!K33</f>
        <v>-0.7426878608562284</v>
      </c>
      <c r="L37" s="87">
        <f>+'COLOMBIA USD'!L33+'EL SALVADOR USD'!L33+'VENEZUELA USD'!L33+'PANAMA USD'!L33</f>
        <v>192147.91764705881</v>
      </c>
      <c r="M37" s="87" t="e">
        <f>+'COLOMBIA USD'!M33+'EL SALVADOR USD'!M33+'VENEZUELA USD'!M33+'PANAMA USD'!M33</f>
        <v>#DIV/0!</v>
      </c>
      <c r="N37" s="87">
        <f>+'COLOMBIA USD'!N33+'EL SALVADOR USD'!N33+'VENEZUELA USD'!N33+'PANAMA USD'!N33</f>
        <v>4002288.2685213182</v>
      </c>
      <c r="O37" s="87" t="e">
        <f>+'COLOMBIA USD'!O33+'EL SALVADOR USD'!O33+'VENEZUELA USD'!O33+'PANAMA USD'!O33</f>
        <v>#DIV/0!</v>
      </c>
      <c r="P37" s="87">
        <f>+'COLOMBIA USD'!P33+'EL SALVADOR USD'!P33+'VENEZUELA USD'!P33+'PANAMA USD'!P33</f>
        <v>165913.066785806</v>
      </c>
      <c r="Q37" s="87" t="e">
        <f>+'COLOMBIA USD'!Q33+'EL SALVADOR USD'!Q33+'VENEZUELA USD'!Q33+'PANAMA USD'!Q33</f>
        <v>#DIV/0!</v>
      </c>
      <c r="R37" s="87" t="e">
        <f>+'COLOMBIA USD'!R33+'EL SALVADOR USD'!R33+'VENEZUELA USD'!R33+'PANAMA USD'!R33</f>
        <v>#VALUE!</v>
      </c>
      <c r="S37" s="87">
        <f>+'COLOMBIA USD'!S33+'EL SALVADOR USD'!S33+'VENEZUELA USD'!S33+'PANAMA USD'!S33</f>
        <v>-2.7994299371724476</v>
      </c>
      <c r="T37" s="449">
        <v>1264092.6280541716</v>
      </c>
      <c r="U37" s="449">
        <v>1256816.4542991167</v>
      </c>
      <c r="V37" s="700">
        <v>1312724.211591563</v>
      </c>
      <c r="X37" s="193"/>
      <c r="Y37" s="193"/>
      <c r="Z37" s="193"/>
      <c r="AA37" s="193"/>
      <c r="AB37" s="193"/>
      <c r="AC37" s="193"/>
      <c r="AD37" s="193"/>
    </row>
    <row r="38" spans="2:33" s="138" customFormat="1" x14ac:dyDescent="0.25">
      <c r="C38" s="15"/>
      <c r="D38" s="87">
        <f>+'COLOMBIA USD'!D34+'EL SALVADOR USD'!D34+'VENEZUELA USD'!D34+'PANAMA USD'!D34</f>
        <v>116015.71352941176</v>
      </c>
      <c r="E38" s="87" t="e">
        <f>+'COLOMBIA USD'!E34+'EL SALVADOR USD'!E34+'VENEZUELA USD'!E34+'PANAMA USD'!E34</f>
        <v>#DIV/0!</v>
      </c>
      <c r="F38" s="87">
        <f>+'COLOMBIA USD'!F34+'EL SALVADOR USD'!F34+'VENEZUELA USD'!F34+'PANAMA USD'!F34</f>
        <v>1195472.0433896282</v>
      </c>
      <c r="G38" s="87" t="e">
        <f>+'COLOMBIA USD'!G34+'EL SALVADOR USD'!G34+'VENEZUELA USD'!G34+'PANAMA USD'!G34</f>
        <v>#DIV/0!</v>
      </c>
      <c r="H38" s="87">
        <f>+'COLOMBIA USD'!H34+'EL SALVADOR USD'!H34+'VENEZUELA USD'!H34+'PANAMA USD'!H34</f>
        <v>91871.228373910242</v>
      </c>
      <c r="I38" s="87" t="e">
        <f>+'COLOMBIA USD'!I34+'EL SALVADOR USD'!I34+'VENEZUELA USD'!I34+'PANAMA USD'!I34</f>
        <v>#DIV/0!</v>
      </c>
      <c r="J38" s="87" t="e">
        <f>+'COLOMBIA USD'!J34+'EL SALVADOR USD'!J34+'VENEZUELA USD'!J34+'PANAMA USD'!J34</f>
        <v>#VALUE!</v>
      </c>
      <c r="K38" s="87" t="e">
        <f>+'COLOMBIA USD'!K34+'EL SALVADOR USD'!K34+'VENEZUELA USD'!K34+'PANAMA USD'!K34</f>
        <v>#VALUE!</v>
      </c>
      <c r="L38" s="87">
        <f>+'COLOMBIA USD'!L34+'EL SALVADOR USD'!L34+'VENEZUELA USD'!L34+'PANAMA USD'!L34</f>
        <v>553766.21470588236</v>
      </c>
      <c r="M38" s="87" t="e">
        <f>+'COLOMBIA USD'!M34+'EL SALVADOR USD'!M34+'VENEZUELA USD'!M34+'PANAMA USD'!M34</f>
        <v>#DIV/0!</v>
      </c>
      <c r="N38" s="87">
        <f>+'COLOMBIA USD'!N34+'EL SALVADOR USD'!N34+'VENEZUELA USD'!N34+'PANAMA USD'!N34</f>
        <v>4476349.954358777</v>
      </c>
      <c r="O38" s="87" t="e">
        <f>+'COLOMBIA USD'!O34+'EL SALVADOR USD'!O34+'VENEZUELA USD'!O34+'PANAMA USD'!O34</f>
        <v>#DIV/0!</v>
      </c>
      <c r="P38" s="87">
        <f>+'COLOMBIA USD'!P34+'EL SALVADOR USD'!P34+'VENEZUELA USD'!P34+'PANAMA USD'!P34</f>
        <v>462910.73752548208</v>
      </c>
      <c r="Q38" s="87" t="e">
        <f>+'COLOMBIA USD'!Q34+'EL SALVADOR USD'!Q34+'VENEZUELA USD'!Q34+'PANAMA USD'!Q34</f>
        <v>#DIV/0!</v>
      </c>
      <c r="R38" s="87"/>
      <c r="S38" s="87"/>
      <c r="T38" s="449">
        <v>2605262.123307826</v>
      </c>
      <c r="U38" s="449">
        <v>2379828.5360035086</v>
      </c>
      <c r="V38" s="700">
        <v>2567163.5334917912</v>
      </c>
      <c r="X38" s="193"/>
      <c r="Y38" s="193"/>
      <c r="Z38" s="193"/>
      <c r="AA38" s="193"/>
      <c r="AB38" s="193"/>
      <c r="AC38" s="193"/>
      <c r="AD38" s="193"/>
    </row>
    <row r="39" spans="2:33" s="138" customFormat="1" x14ac:dyDescent="0.25"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449"/>
      <c r="U39" s="449"/>
      <c r="V39" s="700"/>
    </row>
    <row r="40" spans="2:33" s="191" customFormat="1" x14ac:dyDescent="0.25">
      <c r="C40" s="12"/>
      <c r="D40" s="301"/>
      <c r="E40" s="12"/>
      <c r="F40" s="12"/>
      <c r="G40" s="12"/>
      <c r="H40" s="12"/>
      <c r="I40" s="12"/>
      <c r="J40" s="12"/>
      <c r="K40" s="12"/>
      <c r="L40" s="301"/>
      <c r="M40" s="301"/>
      <c r="N40" s="301"/>
      <c r="O40" s="301"/>
      <c r="P40" s="301"/>
      <c r="Q40" s="301"/>
      <c r="R40" s="301"/>
      <c r="S40" s="12"/>
      <c r="T40" s="701"/>
      <c r="U40" s="701"/>
      <c r="V40" s="699"/>
    </row>
    <row r="41" spans="2:33" s="401" customFormat="1" x14ac:dyDescent="0.25"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T41" s="702"/>
      <c r="U41" s="702"/>
      <c r="V41" s="702"/>
      <c r="AG41" s="10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530E7-3A14-42DB-93A0-7A39365FF1F2}">
  <dimension ref="A6:V595"/>
  <sheetViews>
    <sheetView topLeftCell="A75" workbookViewId="0">
      <selection activeCell="A60" sqref="A60:A87"/>
    </sheetView>
  </sheetViews>
  <sheetFormatPr baseColWidth="10" defaultRowHeight="11.25" x14ac:dyDescent="0.2"/>
  <cols>
    <col min="1" max="1" width="31.42578125" style="705" customWidth="1"/>
    <col min="2" max="2" width="44.42578125" style="705" customWidth="1"/>
    <col min="3" max="3" width="29.140625" style="705" customWidth="1"/>
    <col min="4" max="4" width="8" style="705" customWidth="1"/>
    <col min="5" max="5" width="22.7109375" style="705" bestFit="1" customWidth="1"/>
    <col min="6" max="6" width="37.42578125" style="705" bestFit="1" customWidth="1"/>
    <col min="7" max="7" width="12.5703125" style="708" bestFit="1" customWidth="1"/>
    <col min="8" max="18" width="30.5703125" style="708" bestFit="1" customWidth="1"/>
    <col min="19" max="19" width="14.140625" style="708" bestFit="1" customWidth="1"/>
    <col min="20" max="22" width="11.42578125" style="708"/>
    <col min="23" max="16384" width="11.42578125" style="705"/>
  </cols>
  <sheetData>
    <row r="6" spans="1:2" ht="12" x14ac:dyDescent="0.2">
      <c r="A6" s="703" t="s">
        <v>190</v>
      </c>
      <c r="B6" s="704" t="s">
        <v>191</v>
      </c>
    </row>
    <row r="7" spans="1:2" ht="12" x14ac:dyDescent="0.2">
      <c r="A7" s="703" t="s">
        <v>35</v>
      </c>
      <c r="B7" s="704" t="s">
        <v>192</v>
      </c>
    </row>
    <row r="8" spans="1:2" ht="12" x14ac:dyDescent="0.2">
      <c r="A8" s="703" t="s">
        <v>38</v>
      </c>
      <c r="B8" s="704" t="s">
        <v>193</v>
      </c>
    </row>
    <row r="9" spans="1:2" ht="12" x14ac:dyDescent="0.2">
      <c r="A9" s="703" t="s">
        <v>53</v>
      </c>
      <c r="B9" s="704" t="s">
        <v>194</v>
      </c>
    </row>
    <row r="10" spans="1:2" ht="15" x14ac:dyDescent="0.25">
      <c r="A10" s="706" t="s">
        <v>195</v>
      </c>
      <c r="B10" s="704" t="s">
        <v>196</v>
      </c>
    </row>
    <row r="11" spans="1:2" ht="12" x14ac:dyDescent="0.2">
      <c r="A11" s="703" t="s">
        <v>197</v>
      </c>
      <c r="B11" s="704" t="s">
        <v>198</v>
      </c>
    </row>
    <row r="12" spans="1:2" ht="12" x14ac:dyDescent="0.2">
      <c r="A12" s="703" t="s">
        <v>55</v>
      </c>
      <c r="B12" s="704" t="s">
        <v>199</v>
      </c>
    </row>
    <row r="13" spans="1:2" ht="12" x14ac:dyDescent="0.2">
      <c r="A13" s="703" t="s">
        <v>200</v>
      </c>
      <c r="B13" s="704" t="s">
        <v>201</v>
      </c>
    </row>
    <row r="14" spans="1:2" ht="12" x14ac:dyDescent="0.2">
      <c r="A14" s="703" t="s">
        <v>46</v>
      </c>
      <c r="B14" s="704" t="s">
        <v>202</v>
      </c>
    </row>
    <row r="15" spans="1:2" ht="12" x14ac:dyDescent="0.2">
      <c r="A15" s="703" t="s">
        <v>203</v>
      </c>
      <c r="B15" s="704" t="s">
        <v>204</v>
      </c>
    </row>
    <row r="16" spans="1:2" ht="12" x14ac:dyDescent="0.2">
      <c r="A16" s="703" t="s">
        <v>205</v>
      </c>
      <c r="B16" s="704" t="s">
        <v>206</v>
      </c>
    </row>
    <row r="33" spans="1:19" x14ac:dyDescent="0.2">
      <c r="B33" s="707" t="s">
        <v>207</v>
      </c>
      <c r="D33" s="705" t="s">
        <v>208</v>
      </c>
    </row>
    <row r="34" spans="1:19" x14ac:dyDescent="0.2">
      <c r="A34" s="705" t="s">
        <v>209</v>
      </c>
      <c r="B34" s="707" t="s">
        <v>210</v>
      </c>
    </row>
    <row r="35" spans="1:19" x14ac:dyDescent="0.2">
      <c r="A35" s="705" t="s">
        <v>211</v>
      </c>
      <c r="B35" s="707" t="s">
        <v>212</v>
      </c>
    </row>
    <row r="36" spans="1:19" x14ac:dyDescent="0.2">
      <c r="A36" s="705" t="s">
        <v>213</v>
      </c>
      <c r="B36" s="707" t="s">
        <v>214</v>
      </c>
    </row>
    <row r="37" spans="1:19" x14ac:dyDescent="0.2">
      <c r="A37" s="705" t="s">
        <v>215</v>
      </c>
      <c r="B37" s="707" t="s">
        <v>216</v>
      </c>
    </row>
    <row r="38" spans="1:19" x14ac:dyDescent="0.2">
      <c r="B38" s="707"/>
    </row>
    <row r="39" spans="1:19" x14ac:dyDescent="0.2">
      <c r="B39" s="707"/>
    </row>
    <row r="40" spans="1:19" x14ac:dyDescent="0.2">
      <c r="B40" s="707"/>
    </row>
    <row r="41" spans="1:19" ht="15" x14ac:dyDescent="0.25">
      <c r="B41" s="707" t="s">
        <v>217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</row>
    <row r="42" spans="1:19" ht="15" x14ac:dyDescent="0.25">
      <c r="A42" s="709"/>
      <c r="B42" s="705" t="s">
        <v>218</v>
      </c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</row>
    <row r="43" spans="1:19" ht="15" x14ac:dyDescent="0.25">
      <c r="A43" s="709" t="s">
        <v>219</v>
      </c>
      <c r="B43" s="710" t="s">
        <v>220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</row>
    <row r="44" spans="1:19" ht="15" x14ac:dyDescent="0.25">
      <c r="A44" s="711" t="s">
        <v>221</v>
      </c>
      <c r="B44" s="710" t="s">
        <v>222</v>
      </c>
      <c r="F44" s="10"/>
      <c r="G44" s="10"/>
      <c r="H44" s="712"/>
      <c r="I44" s="712"/>
      <c r="J44" s="712"/>
      <c r="K44" s="712"/>
      <c r="L44" s="712"/>
      <c r="M44" s="712"/>
      <c r="N44" s="712"/>
      <c r="O44" s="712"/>
    </row>
    <row r="45" spans="1:19" ht="15" x14ac:dyDescent="0.25">
      <c r="A45" s="709" t="s">
        <v>223</v>
      </c>
      <c r="B45" s="710" t="s">
        <v>224</v>
      </c>
      <c r="F45" s="10"/>
      <c r="G45" s="10"/>
      <c r="H45" s="712"/>
      <c r="I45" s="712"/>
      <c r="J45" s="712"/>
      <c r="K45" s="712"/>
      <c r="L45" s="712"/>
      <c r="M45" s="712"/>
      <c r="N45" s="712"/>
      <c r="O45" s="712"/>
    </row>
    <row r="46" spans="1:19" ht="15" x14ac:dyDescent="0.25">
      <c r="A46" s="706">
        <v>5295400000</v>
      </c>
      <c r="B46" s="710" t="s">
        <v>225</v>
      </c>
      <c r="F46" s="10"/>
      <c r="G46" s="10"/>
      <c r="H46" s="712"/>
      <c r="I46" s="712"/>
      <c r="J46" s="712"/>
      <c r="K46" s="712"/>
      <c r="L46" s="712"/>
      <c r="M46" s="712"/>
      <c r="N46" s="712"/>
      <c r="O46" s="712"/>
    </row>
    <row r="47" spans="1:19" ht="15" x14ac:dyDescent="0.25">
      <c r="A47" s="706">
        <v>5235500000</v>
      </c>
      <c r="B47" s="710" t="s">
        <v>226</v>
      </c>
      <c r="F47" s="10"/>
      <c r="G47" s="712"/>
      <c r="H47" s="712"/>
      <c r="I47" s="712"/>
      <c r="J47" s="712"/>
      <c r="K47" s="712"/>
      <c r="L47" s="712"/>
      <c r="M47" s="712"/>
      <c r="N47" s="712"/>
      <c r="O47" s="712"/>
    </row>
    <row r="48" spans="1:19" ht="15" x14ac:dyDescent="0.25">
      <c r="A48" s="709" t="s">
        <v>227</v>
      </c>
      <c r="B48" s="710" t="s">
        <v>228</v>
      </c>
      <c r="F48" s="10"/>
      <c r="G48" s="712"/>
      <c r="H48" s="712"/>
      <c r="I48" s="712"/>
      <c r="J48" s="712"/>
      <c r="K48" s="712"/>
      <c r="L48" s="712"/>
      <c r="M48" s="712"/>
      <c r="N48" s="712"/>
      <c r="O48" s="712"/>
    </row>
    <row r="49" spans="1:15" ht="15" x14ac:dyDescent="0.25">
      <c r="A49" s="709" t="s">
        <v>229</v>
      </c>
      <c r="B49" s="710" t="s">
        <v>230</v>
      </c>
      <c r="F49" s="10"/>
      <c r="G49" s="712"/>
      <c r="H49" s="712"/>
      <c r="I49" s="712"/>
      <c r="J49" s="712"/>
      <c r="K49" s="712"/>
      <c r="L49" s="712"/>
      <c r="M49" s="712"/>
      <c r="N49" s="712"/>
      <c r="O49" s="712"/>
    </row>
    <row r="50" spans="1:15" ht="15" x14ac:dyDescent="0.25">
      <c r="A50" s="709" t="s">
        <v>231</v>
      </c>
      <c r="B50" s="710" t="s">
        <v>232</v>
      </c>
      <c r="F50" s="10"/>
      <c r="G50" s="712"/>
      <c r="H50" s="712"/>
      <c r="I50" s="712"/>
      <c r="J50" s="712"/>
      <c r="K50" s="712"/>
      <c r="L50" s="712"/>
      <c r="M50" s="712"/>
      <c r="N50" s="712"/>
      <c r="O50" s="712"/>
    </row>
    <row r="51" spans="1:15" ht="15" x14ac:dyDescent="0.25">
      <c r="A51" s="713">
        <v>5295950300</v>
      </c>
      <c r="B51" s="710" t="s">
        <v>233</v>
      </c>
      <c r="F51" s="10"/>
      <c r="G51" s="712"/>
      <c r="H51" s="712"/>
      <c r="I51" s="712"/>
      <c r="J51" s="712"/>
      <c r="K51" s="712"/>
      <c r="L51" s="712"/>
      <c r="M51" s="712"/>
      <c r="N51" s="712"/>
      <c r="O51" s="712"/>
    </row>
    <row r="52" spans="1:15" ht="15" x14ac:dyDescent="0.25">
      <c r="A52" s="709" t="s">
        <v>234</v>
      </c>
      <c r="B52" s="710" t="s">
        <v>235</v>
      </c>
      <c r="F52" s="10"/>
      <c r="G52" s="712"/>
      <c r="H52" s="712"/>
      <c r="I52" s="712"/>
      <c r="J52" s="712"/>
      <c r="K52" s="712"/>
      <c r="L52" s="712"/>
      <c r="M52" s="712"/>
      <c r="N52" s="712"/>
      <c r="O52" s="712"/>
    </row>
    <row r="53" spans="1:15" ht="15" x14ac:dyDescent="0.25">
      <c r="A53" s="706">
        <v>5240200100</v>
      </c>
      <c r="B53" s="710" t="s">
        <v>236</v>
      </c>
      <c r="F53" s="10"/>
      <c r="G53" s="712"/>
      <c r="H53" s="712"/>
      <c r="I53" s="712"/>
      <c r="J53" s="712"/>
      <c r="K53" s="712"/>
      <c r="L53" s="712"/>
      <c r="M53" s="712"/>
      <c r="N53" s="712"/>
      <c r="O53" s="712"/>
    </row>
    <row r="54" spans="1:15" ht="15" x14ac:dyDescent="0.25">
      <c r="A54" s="706">
        <v>5235150000</v>
      </c>
      <c r="B54" s="710" t="s">
        <v>237</v>
      </c>
      <c r="F54" s="10"/>
      <c r="G54" s="712"/>
      <c r="H54" s="712"/>
      <c r="I54" s="712"/>
      <c r="J54" s="712"/>
      <c r="K54" s="712"/>
      <c r="L54" s="712"/>
      <c r="M54" s="712"/>
      <c r="N54" s="712"/>
      <c r="O54" s="712"/>
    </row>
    <row r="55" spans="1:15" ht="15" x14ac:dyDescent="0.25">
      <c r="A55" s="706">
        <v>5235100000</v>
      </c>
      <c r="B55" s="710" t="s">
        <v>238</v>
      </c>
      <c r="F55" s="10"/>
      <c r="G55" s="712"/>
      <c r="H55" s="712"/>
      <c r="I55" s="712"/>
      <c r="J55" s="712"/>
      <c r="K55" s="712"/>
      <c r="L55" s="712"/>
      <c r="M55" s="712"/>
      <c r="N55" s="712"/>
      <c r="O55" s="712"/>
    </row>
    <row r="56" spans="1:15" ht="15" x14ac:dyDescent="0.25">
      <c r="A56" s="709" t="s">
        <v>239</v>
      </c>
      <c r="B56" s="710" t="s">
        <v>240</v>
      </c>
      <c r="F56" s="10"/>
      <c r="G56" s="712"/>
      <c r="H56" s="712"/>
      <c r="I56" s="712"/>
      <c r="J56" s="712"/>
      <c r="K56" s="712"/>
      <c r="L56" s="712"/>
      <c r="M56" s="712"/>
      <c r="N56" s="712"/>
      <c r="O56" s="712"/>
    </row>
    <row r="57" spans="1:15" ht="15" x14ac:dyDescent="0.25">
      <c r="A57" s="706">
        <v>5299100000</v>
      </c>
      <c r="B57" s="710" t="s">
        <v>241</v>
      </c>
      <c r="F57" s="10"/>
      <c r="G57" s="712"/>
      <c r="H57" s="712"/>
    </row>
    <row r="58" spans="1:15" ht="15" x14ac:dyDescent="0.25">
      <c r="A58" s="714" t="s">
        <v>242</v>
      </c>
      <c r="B58" s="715" t="s">
        <v>243</v>
      </c>
      <c r="F58" s="10"/>
      <c r="G58" s="712"/>
      <c r="H58" s="712"/>
    </row>
    <row r="59" spans="1:15" ht="15" x14ac:dyDescent="0.25">
      <c r="A59" s="716"/>
      <c r="B59" s="715" t="s">
        <v>244</v>
      </c>
      <c r="C59" s="705">
        <f>+'COLOMB$ '!B4</f>
        <v>202205</v>
      </c>
      <c r="F59" s="10"/>
      <c r="G59" s="712"/>
      <c r="H59" s="712"/>
    </row>
    <row r="60" spans="1:15" ht="15" x14ac:dyDescent="0.25">
      <c r="A60" s="709" t="s">
        <v>245</v>
      </c>
      <c r="B60" s="710" t="s">
        <v>246</v>
      </c>
      <c r="C60" s="717"/>
      <c r="D60" s="717"/>
      <c r="E60" s="718"/>
    </row>
    <row r="61" spans="1:15" ht="15" x14ac:dyDescent="0.25">
      <c r="A61" s="711" t="s">
        <v>247</v>
      </c>
      <c r="B61" s="710" t="s">
        <v>248</v>
      </c>
      <c r="C61" s="717"/>
      <c r="D61" s="717"/>
      <c r="E61" s="718"/>
    </row>
    <row r="62" spans="1:15" ht="15" x14ac:dyDescent="0.25">
      <c r="A62" s="709" t="s">
        <v>249</v>
      </c>
      <c r="B62" s="710" t="s">
        <v>250</v>
      </c>
      <c r="C62" s="717"/>
      <c r="D62" s="717"/>
      <c r="E62" s="718"/>
    </row>
    <row r="63" spans="1:15" ht="15" x14ac:dyDescent="0.25">
      <c r="A63" s="709" t="s">
        <v>251</v>
      </c>
      <c r="B63" s="710" t="s">
        <v>252</v>
      </c>
      <c r="C63" s="717"/>
      <c r="D63" s="717"/>
      <c r="E63" s="718"/>
    </row>
    <row r="64" spans="1:15" ht="15" x14ac:dyDescent="0.25">
      <c r="A64" s="709" t="s">
        <v>253</v>
      </c>
      <c r="B64" s="710" t="s">
        <v>254</v>
      </c>
      <c r="C64" s="717"/>
      <c r="D64" s="717"/>
      <c r="E64" s="718"/>
    </row>
    <row r="65" spans="1:5" ht="15" x14ac:dyDescent="0.25">
      <c r="A65" s="709" t="s">
        <v>255</v>
      </c>
      <c r="B65" s="710" t="s">
        <v>256</v>
      </c>
      <c r="C65" s="717"/>
      <c r="D65" s="717"/>
      <c r="E65" s="718"/>
    </row>
    <row r="66" spans="1:5" ht="15" x14ac:dyDescent="0.25">
      <c r="A66" s="709" t="s">
        <v>257</v>
      </c>
      <c r="B66" s="710" t="s">
        <v>258</v>
      </c>
      <c r="C66" s="717"/>
      <c r="D66" s="717"/>
      <c r="E66" s="718"/>
    </row>
    <row r="67" spans="1:5" ht="15" x14ac:dyDescent="0.25">
      <c r="A67" s="709" t="s">
        <v>259</v>
      </c>
      <c r="B67" s="710" t="s">
        <v>260</v>
      </c>
      <c r="C67" s="717"/>
      <c r="D67" s="717"/>
      <c r="E67" s="718"/>
    </row>
    <row r="68" spans="1:5" ht="15" x14ac:dyDescent="0.25">
      <c r="A68" s="706">
        <v>5265100000</v>
      </c>
      <c r="B68" s="710" t="s">
        <v>261</v>
      </c>
      <c r="C68" s="717"/>
      <c r="D68" s="717"/>
      <c r="E68" s="718"/>
    </row>
    <row r="69" spans="1:5" ht="15" x14ac:dyDescent="0.25">
      <c r="A69" s="709" t="s">
        <v>262</v>
      </c>
      <c r="B69" s="710" t="s">
        <v>263</v>
      </c>
      <c r="C69" s="717"/>
      <c r="D69" s="717"/>
      <c r="E69" s="718"/>
    </row>
    <row r="70" spans="1:5" ht="15" x14ac:dyDescent="0.25">
      <c r="A70" s="709" t="s">
        <v>264</v>
      </c>
      <c r="B70" s="710" t="s">
        <v>265</v>
      </c>
      <c r="C70" s="717"/>
      <c r="D70" s="717"/>
      <c r="E70" s="718"/>
    </row>
    <row r="71" spans="1:5" ht="15" x14ac:dyDescent="0.25">
      <c r="A71" s="709" t="s">
        <v>266</v>
      </c>
      <c r="B71" s="710" t="s">
        <v>267</v>
      </c>
      <c r="C71" s="717"/>
      <c r="D71" s="717"/>
      <c r="E71" s="718"/>
    </row>
    <row r="72" spans="1:5" ht="15" x14ac:dyDescent="0.25">
      <c r="A72" s="709" t="s">
        <v>268</v>
      </c>
      <c r="B72" s="710" t="s">
        <v>269</v>
      </c>
      <c r="C72" s="717"/>
      <c r="D72" s="717"/>
      <c r="E72" s="718"/>
    </row>
    <row r="73" spans="1:5" ht="15" x14ac:dyDescent="0.25">
      <c r="A73" s="706" t="s">
        <v>270</v>
      </c>
      <c r="B73" s="710" t="s">
        <v>271</v>
      </c>
      <c r="C73" s="717"/>
      <c r="D73" s="717"/>
      <c r="E73" s="718"/>
    </row>
    <row r="74" spans="1:5" ht="15" x14ac:dyDescent="0.25">
      <c r="A74" s="709" t="s">
        <v>272</v>
      </c>
      <c r="B74" s="710" t="s">
        <v>273</v>
      </c>
      <c r="C74" s="717"/>
      <c r="D74" s="717"/>
      <c r="E74" s="718"/>
    </row>
    <row r="75" spans="1:5" ht="15" x14ac:dyDescent="0.25">
      <c r="A75" s="706">
        <v>5265150000</v>
      </c>
      <c r="B75" s="710" t="s">
        <v>274</v>
      </c>
      <c r="C75" s="717"/>
      <c r="D75" s="717"/>
      <c r="E75" s="718"/>
    </row>
    <row r="76" spans="1:5" ht="15" x14ac:dyDescent="0.25">
      <c r="A76" s="709" t="s">
        <v>275</v>
      </c>
      <c r="B76" s="710" t="s">
        <v>276</v>
      </c>
      <c r="C76" s="717"/>
      <c r="D76" s="717"/>
      <c r="E76" s="718"/>
    </row>
    <row r="77" spans="1:5" ht="15" x14ac:dyDescent="0.25">
      <c r="A77" s="709" t="s">
        <v>277</v>
      </c>
      <c r="B77" s="710" t="s">
        <v>278</v>
      </c>
      <c r="C77" s="717"/>
      <c r="D77" s="717"/>
      <c r="E77" s="718"/>
    </row>
    <row r="78" spans="1:5" ht="15" x14ac:dyDescent="0.25">
      <c r="A78" s="709" t="s">
        <v>279</v>
      </c>
      <c r="B78" s="710" t="s">
        <v>280</v>
      </c>
      <c r="C78" s="717"/>
      <c r="D78" s="717"/>
      <c r="E78" s="718"/>
    </row>
    <row r="79" spans="1:5" ht="15" x14ac:dyDescent="0.25">
      <c r="A79" s="709" t="s">
        <v>281</v>
      </c>
      <c r="B79" s="710" t="s">
        <v>282</v>
      </c>
      <c r="C79" s="717"/>
      <c r="D79" s="717"/>
      <c r="E79" s="718"/>
    </row>
    <row r="80" spans="1:5" ht="15" x14ac:dyDescent="0.25">
      <c r="A80" s="709" t="s">
        <v>283</v>
      </c>
      <c r="B80" s="710" t="s">
        <v>284</v>
      </c>
      <c r="C80" s="717"/>
      <c r="D80" s="717"/>
      <c r="E80" s="718"/>
    </row>
    <row r="81" spans="1:5" ht="15" x14ac:dyDescent="0.25">
      <c r="A81" s="709" t="s">
        <v>285</v>
      </c>
      <c r="B81" s="710" t="s">
        <v>286</v>
      </c>
      <c r="C81" s="717"/>
      <c r="D81" s="717"/>
      <c r="E81" s="718"/>
    </row>
    <row r="82" spans="1:5" ht="15" x14ac:dyDescent="0.25">
      <c r="A82" s="706" t="s">
        <v>287</v>
      </c>
      <c r="B82" s="710" t="s">
        <v>288</v>
      </c>
      <c r="C82" s="717"/>
      <c r="D82" s="717"/>
      <c r="E82" s="718"/>
    </row>
    <row r="83" spans="1:5" ht="15" x14ac:dyDescent="0.25">
      <c r="A83" s="709" t="s">
        <v>289</v>
      </c>
      <c r="B83" s="710" t="s">
        <v>290</v>
      </c>
      <c r="C83" s="717"/>
      <c r="D83" s="717"/>
      <c r="E83" s="718"/>
    </row>
    <row r="84" spans="1:5" ht="15" x14ac:dyDescent="0.25">
      <c r="A84" s="709" t="s">
        <v>291</v>
      </c>
      <c r="B84" s="710" t="s">
        <v>292</v>
      </c>
      <c r="C84" s="717"/>
      <c r="D84" s="717"/>
      <c r="E84" s="718"/>
    </row>
    <row r="85" spans="1:5" ht="15" x14ac:dyDescent="0.25">
      <c r="A85" s="709" t="s">
        <v>293</v>
      </c>
      <c r="B85" s="710" t="s">
        <v>294</v>
      </c>
      <c r="C85" s="717"/>
      <c r="D85" s="717"/>
      <c r="E85" s="718"/>
    </row>
    <row r="86" spans="1:5" ht="15" x14ac:dyDescent="0.25">
      <c r="A86" s="719" t="s">
        <v>295</v>
      </c>
      <c r="B86" s="710" t="s">
        <v>296</v>
      </c>
      <c r="C86" s="717"/>
      <c r="D86" s="717"/>
      <c r="E86" s="718"/>
    </row>
    <row r="87" spans="1:5" ht="15" x14ac:dyDescent="0.25">
      <c r="A87" s="709" t="s">
        <v>297</v>
      </c>
      <c r="B87" s="710" t="s">
        <v>298</v>
      </c>
      <c r="C87" s="717"/>
      <c r="D87" s="717"/>
      <c r="E87" s="718"/>
    </row>
    <row r="88" spans="1:5" x14ac:dyDescent="0.2">
      <c r="A88" s="716"/>
      <c r="B88" s="715" t="s">
        <v>299</v>
      </c>
      <c r="C88" s="718"/>
      <c r="D88" s="720"/>
      <c r="E88" s="721"/>
    </row>
    <row r="89" spans="1:5" ht="15" x14ac:dyDescent="0.25">
      <c r="A89" s="709" t="s">
        <v>300</v>
      </c>
      <c r="B89" s="710" t="s">
        <v>301</v>
      </c>
    </row>
    <row r="90" spans="1:5" ht="15" x14ac:dyDescent="0.25">
      <c r="A90" s="706">
        <v>5105180100</v>
      </c>
      <c r="B90" s="710" t="s">
        <v>302</v>
      </c>
    </row>
    <row r="91" spans="1:5" ht="15" x14ac:dyDescent="0.25">
      <c r="A91" s="711" t="s">
        <v>303</v>
      </c>
      <c r="B91" s="710" t="s">
        <v>304</v>
      </c>
    </row>
    <row r="92" spans="1:5" ht="15" x14ac:dyDescent="0.25">
      <c r="A92" s="706">
        <v>5105480100</v>
      </c>
      <c r="B92" s="710" t="s">
        <v>305</v>
      </c>
    </row>
    <row r="93" spans="1:5" ht="15" x14ac:dyDescent="0.25">
      <c r="A93" s="709" t="s">
        <v>306</v>
      </c>
      <c r="B93" s="710" t="s">
        <v>307</v>
      </c>
    </row>
    <row r="94" spans="1:5" ht="15" x14ac:dyDescent="0.25">
      <c r="A94" s="709" t="s">
        <v>308</v>
      </c>
      <c r="B94" s="710" t="s">
        <v>309</v>
      </c>
    </row>
    <row r="95" spans="1:5" x14ac:dyDescent="0.2">
      <c r="A95" s="716"/>
      <c r="B95" s="715" t="s">
        <v>310</v>
      </c>
    </row>
    <row r="96" spans="1:5" ht="15" x14ac:dyDescent="0.25">
      <c r="A96" s="706">
        <v>5105180000</v>
      </c>
      <c r="B96" s="710" t="s">
        <v>311</v>
      </c>
      <c r="C96" s="717"/>
      <c r="E96" s="718"/>
    </row>
    <row r="97" spans="1:5" ht="15" x14ac:dyDescent="0.25">
      <c r="A97" s="709" t="s">
        <v>312</v>
      </c>
      <c r="B97" s="710" t="s">
        <v>313</v>
      </c>
      <c r="C97" s="717"/>
      <c r="E97" s="718"/>
    </row>
    <row r="98" spans="1:5" ht="15" x14ac:dyDescent="0.25">
      <c r="A98" s="709" t="s">
        <v>314</v>
      </c>
      <c r="B98" s="710" t="s">
        <v>315</v>
      </c>
      <c r="C98" s="717"/>
      <c r="E98" s="718"/>
    </row>
    <row r="99" spans="1:5" ht="15" x14ac:dyDescent="0.25">
      <c r="A99" s="709" t="s">
        <v>316</v>
      </c>
      <c r="B99" s="710" t="s">
        <v>317</v>
      </c>
      <c r="C99" s="717"/>
      <c r="E99" s="718"/>
    </row>
    <row r="100" spans="1:5" ht="15" x14ac:dyDescent="0.25">
      <c r="A100" s="706" t="s">
        <v>318</v>
      </c>
      <c r="B100" s="710" t="s">
        <v>319</v>
      </c>
      <c r="C100" s="717"/>
      <c r="E100" s="718"/>
    </row>
    <row r="101" spans="1:5" ht="15" x14ac:dyDescent="0.25">
      <c r="A101" s="709" t="s">
        <v>320</v>
      </c>
      <c r="B101" s="710" t="s">
        <v>321</v>
      </c>
      <c r="C101" s="717"/>
      <c r="E101" s="718"/>
    </row>
    <row r="102" spans="1:5" ht="15" x14ac:dyDescent="0.25">
      <c r="A102" s="709" t="s">
        <v>322</v>
      </c>
      <c r="B102" s="710" t="s">
        <v>323</v>
      </c>
      <c r="C102" s="717"/>
      <c r="E102" s="718"/>
    </row>
    <row r="103" spans="1:5" ht="15" x14ac:dyDescent="0.25">
      <c r="A103" s="706" t="s">
        <v>324</v>
      </c>
      <c r="B103" s="710" t="s">
        <v>325</v>
      </c>
      <c r="C103" s="717"/>
      <c r="E103" s="718"/>
    </row>
    <row r="104" spans="1:5" ht="15" x14ac:dyDescent="0.25">
      <c r="A104" s="706" t="s">
        <v>326</v>
      </c>
      <c r="B104" s="710" t="s">
        <v>327</v>
      </c>
      <c r="C104" s="717"/>
      <c r="E104" s="718"/>
    </row>
    <row r="105" spans="1:5" ht="15" x14ac:dyDescent="0.25">
      <c r="A105" s="706">
        <v>5120100000</v>
      </c>
      <c r="B105" s="710" t="s">
        <v>328</v>
      </c>
      <c r="C105" s="717"/>
      <c r="E105" s="718"/>
    </row>
    <row r="106" spans="1:5" ht="15" x14ac:dyDescent="0.25">
      <c r="A106" s="709" t="s">
        <v>329</v>
      </c>
      <c r="B106" s="710" t="s">
        <v>330</v>
      </c>
      <c r="C106" s="717"/>
      <c r="E106" s="718"/>
    </row>
    <row r="107" spans="1:5" ht="15" x14ac:dyDescent="0.25">
      <c r="A107" s="709" t="s">
        <v>331</v>
      </c>
      <c r="B107" s="710" t="s">
        <v>332</v>
      </c>
      <c r="C107" s="717"/>
      <c r="E107" s="718"/>
    </row>
    <row r="108" spans="1:5" ht="15" x14ac:dyDescent="0.25">
      <c r="A108" s="709" t="s">
        <v>333</v>
      </c>
      <c r="B108" s="710" t="s">
        <v>334</v>
      </c>
      <c r="C108" s="717"/>
      <c r="E108" s="718"/>
    </row>
    <row r="109" spans="1:5" ht="15" x14ac:dyDescent="0.25">
      <c r="A109" s="709" t="s">
        <v>335</v>
      </c>
      <c r="B109" s="710" t="s">
        <v>336</v>
      </c>
      <c r="C109" s="717"/>
      <c r="E109" s="718"/>
    </row>
    <row r="110" spans="1:5" ht="15" x14ac:dyDescent="0.25">
      <c r="A110" s="709" t="s">
        <v>337</v>
      </c>
      <c r="B110" s="710" t="s">
        <v>338</v>
      </c>
      <c r="C110" s="717"/>
      <c r="E110" s="718"/>
    </row>
    <row r="111" spans="1:5" ht="15" x14ac:dyDescent="0.25">
      <c r="A111" s="709" t="s">
        <v>339</v>
      </c>
      <c r="B111" s="710" t="s">
        <v>340</v>
      </c>
      <c r="C111" s="717"/>
      <c r="E111" s="718"/>
    </row>
    <row r="112" spans="1:5" ht="15" x14ac:dyDescent="0.25">
      <c r="A112" s="709" t="s">
        <v>341</v>
      </c>
      <c r="B112" s="710" t="s">
        <v>342</v>
      </c>
      <c r="C112" s="717"/>
      <c r="E112" s="718"/>
    </row>
    <row r="113" spans="1:11" ht="15" x14ac:dyDescent="0.25">
      <c r="A113" s="709" t="s">
        <v>343</v>
      </c>
      <c r="B113" s="710" t="s">
        <v>344</v>
      </c>
      <c r="C113" s="717"/>
      <c r="E113" s="718"/>
    </row>
    <row r="114" spans="1:11" ht="15" x14ac:dyDescent="0.25">
      <c r="A114" s="709" t="s">
        <v>345</v>
      </c>
      <c r="B114" s="710" t="s">
        <v>346</v>
      </c>
      <c r="C114" s="717"/>
      <c r="E114" s="718"/>
    </row>
    <row r="115" spans="1:11" ht="15" x14ac:dyDescent="0.25">
      <c r="A115" s="709" t="s">
        <v>347</v>
      </c>
      <c r="B115" s="710" t="s">
        <v>348</v>
      </c>
      <c r="C115" s="717"/>
      <c r="E115" s="718"/>
    </row>
    <row r="116" spans="1:11" ht="15" x14ac:dyDescent="0.25">
      <c r="A116" s="706" t="s">
        <v>349</v>
      </c>
      <c r="B116" s="710" t="s">
        <v>350</v>
      </c>
      <c r="C116" s="717"/>
      <c r="E116" s="718"/>
    </row>
    <row r="117" spans="1:11" ht="15" x14ac:dyDescent="0.25">
      <c r="A117" s="709" t="s">
        <v>351</v>
      </c>
      <c r="B117" s="710" t="s">
        <v>352</v>
      </c>
      <c r="C117" s="717"/>
      <c r="E117" s="718"/>
    </row>
    <row r="118" spans="1:11" ht="15" x14ac:dyDescent="0.25">
      <c r="A118" s="709" t="s">
        <v>353</v>
      </c>
      <c r="B118" s="710" t="s">
        <v>354</v>
      </c>
      <c r="C118" s="717"/>
      <c r="E118" s="718"/>
    </row>
    <row r="119" spans="1:11" ht="15" x14ac:dyDescent="0.25">
      <c r="A119" s="709" t="s">
        <v>355</v>
      </c>
      <c r="B119" s="710" t="s">
        <v>356</v>
      </c>
      <c r="C119" s="717"/>
      <c r="E119" s="718"/>
    </row>
    <row r="120" spans="1:11" ht="15" x14ac:dyDescent="0.25">
      <c r="A120" s="709" t="s">
        <v>357</v>
      </c>
      <c r="B120" s="710" t="s">
        <v>358</v>
      </c>
      <c r="C120" s="717"/>
      <c r="E120" s="718"/>
    </row>
    <row r="121" spans="1:11" ht="15" x14ac:dyDescent="0.25">
      <c r="A121" s="706" t="s">
        <v>359</v>
      </c>
      <c r="B121" s="710" t="s">
        <v>360</v>
      </c>
      <c r="C121" s="717"/>
      <c r="E121" s="718"/>
    </row>
    <row r="122" spans="1:11" ht="15" x14ac:dyDescent="0.25">
      <c r="A122" s="709" t="s">
        <v>361</v>
      </c>
      <c r="B122" s="710" t="s">
        <v>362</v>
      </c>
      <c r="C122" s="717"/>
      <c r="E122" s="718"/>
    </row>
    <row r="123" spans="1:11" ht="15" x14ac:dyDescent="0.25">
      <c r="A123" s="709" t="s">
        <v>363</v>
      </c>
      <c r="B123" s="710" t="s">
        <v>364</v>
      </c>
      <c r="C123" s="717"/>
      <c r="E123" s="718"/>
    </row>
    <row r="124" spans="1:11" ht="15" x14ac:dyDescent="0.25">
      <c r="A124" s="709" t="s">
        <v>365</v>
      </c>
      <c r="B124" s="710" t="s">
        <v>366</v>
      </c>
      <c r="C124" s="717"/>
      <c r="E124" s="718"/>
    </row>
    <row r="125" spans="1:11" ht="15" x14ac:dyDescent="0.25">
      <c r="A125" s="709" t="s">
        <v>367</v>
      </c>
      <c r="B125" s="710" t="s">
        <v>368</v>
      </c>
      <c r="C125" s="717"/>
      <c r="E125" s="718"/>
    </row>
    <row r="126" spans="1:11" ht="15" x14ac:dyDescent="0.25">
      <c r="A126" s="709" t="s">
        <v>369</v>
      </c>
      <c r="B126" s="710" t="s">
        <v>370</v>
      </c>
      <c r="C126" s="717"/>
      <c r="E126" s="10" t="s">
        <v>371</v>
      </c>
      <c r="F126" s="10"/>
      <c r="G126" s="10"/>
      <c r="H126" s="10"/>
      <c r="I126" s="10"/>
      <c r="J126" s="10"/>
      <c r="K126" s="10"/>
    </row>
    <row r="127" spans="1:11" ht="15" x14ac:dyDescent="0.25">
      <c r="A127" s="716"/>
      <c r="B127" s="715" t="s">
        <v>372</v>
      </c>
      <c r="C127" s="718"/>
      <c r="D127" s="718"/>
      <c r="E127" s="10" t="s">
        <v>373</v>
      </c>
      <c r="F127" s="10" t="s">
        <v>374</v>
      </c>
      <c r="G127" s="10" t="s">
        <v>375</v>
      </c>
      <c r="H127" s="10"/>
      <c r="I127" s="10"/>
      <c r="J127" s="10"/>
      <c r="K127" s="10"/>
    </row>
    <row r="128" spans="1:11" ht="15" x14ac:dyDescent="0.25">
      <c r="A128" s="716" t="s">
        <v>376</v>
      </c>
      <c r="B128" s="710" t="s">
        <v>377</v>
      </c>
      <c r="E128" s="10" t="s">
        <v>378</v>
      </c>
      <c r="F128" s="10" t="s">
        <v>379</v>
      </c>
      <c r="G128" s="722">
        <v>-2083333</v>
      </c>
      <c r="H128" s="10"/>
      <c r="I128" s="10"/>
      <c r="J128" s="10"/>
      <c r="K128" s="10"/>
    </row>
    <row r="129" spans="1:11" ht="15" x14ac:dyDescent="0.25">
      <c r="A129" s="716" t="s">
        <v>380</v>
      </c>
      <c r="B129" s="710" t="s">
        <v>381</v>
      </c>
      <c r="E129" s="10" t="s">
        <v>382</v>
      </c>
      <c r="F129" s="10"/>
      <c r="G129" s="722">
        <v>-2083333</v>
      </c>
      <c r="H129" s="10"/>
      <c r="I129" s="10"/>
      <c r="J129" s="10"/>
      <c r="K129" s="10"/>
    </row>
    <row r="130" spans="1:11" ht="15" x14ac:dyDescent="0.25">
      <c r="A130" s="723">
        <v>5110358000</v>
      </c>
      <c r="B130" s="710" t="s">
        <v>383</v>
      </c>
      <c r="E130" s="10"/>
      <c r="F130" s="10"/>
      <c r="G130" s="10"/>
      <c r="H130" s="10"/>
      <c r="I130" s="10"/>
      <c r="J130" s="10"/>
      <c r="K130" s="10"/>
    </row>
    <row r="131" spans="1:11" ht="15" x14ac:dyDescent="0.25">
      <c r="A131" s="716"/>
      <c r="B131" s="715" t="s">
        <v>384</v>
      </c>
      <c r="E131" s="10"/>
      <c r="F131" s="10"/>
      <c r="G131" s="10"/>
      <c r="H131" s="10"/>
      <c r="I131" s="10"/>
      <c r="J131" s="10"/>
      <c r="K131" s="10"/>
    </row>
    <row r="132" spans="1:11" ht="15" x14ac:dyDescent="0.25">
      <c r="A132" s="716" t="s">
        <v>385</v>
      </c>
      <c r="B132" s="710" t="s">
        <v>386</v>
      </c>
      <c r="E132" s="10"/>
      <c r="F132" s="10"/>
      <c r="G132" s="10"/>
      <c r="H132" s="10"/>
      <c r="I132" s="10"/>
      <c r="J132" s="10"/>
      <c r="K132" s="10"/>
    </row>
    <row r="133" spans="1:11" ht="15" x14ac:dyDescent="0.25">
      <c r="A133" s="716" t="s">
        <v>387</v>
      </c>
      <c r="B133" s="710" t="s">
        <v>388</v>
      </c>
      <c r="E133" s="10"/>
      <c r="F133" s="10"/>
      <c r="G133" s="10"/>
      <c r="H133" s="10"/>
      <c r="I133" s="10"/>
      <c r="J133" s="10"/>
      <c r="K133" s="10"/>
    </row>
    <row r="134" spans="1:11" ht="15" x14ac:dyDescent="0.25">
      <c r="A134" s="716" t="s">
        <v>389</v>
      </c>
      <c r="B134" s="710" t="s">
        <v>390</v>
      </c>
      <c r="E134" s="10"/>
      <c r="F134" s="10"/>
      <c r="G134" s="10"/>
      <c r="H134" s="10"/>
      <c r="I134" s="10"/>
      <c r="J134" s="10"/>
      <c r="K134" s="10"/>
    </row>
    <row r="135" spans="1:11" ht="15" x14ac:dyDescent="0.25">
      <c r="A135" s="716" t="s">
        <v>391</v>
      </c>
      <c r="B135" s="710" t="s">
        <v>392</v>
      </c>
      <c r="E135" s="10"/>
      <c r="F135" s="10"/>
      <c r="G135" s="10"/>
      <c r="H135" s="10"/>
      <c r="I135" s="10"/>
      <c r="J135" s="10"/>
      <c r="K135" s="10"/>
    </row>
    <row r="136" spans="1:11" ht="15" x14ac:dyDescent="0.25">
      <c r="E136" s="10"/>
      <c r="F136" s="10"/>
      <c r="G136" s="10"/>
      <c r="H136" s="10"/>
      <c r="I136" s="10"/>
      <c r="J136" s="10"/>
      <c r="K136" s="10"/>
    </row>
    <row r="137" spans="1:11" ht="15" x14ac:dyDescent="0.25">
      <c r="A137" s="716"/>
      <c r="B137" s="715" t="s">
        <v>393</v>
      </c>
      <c r="E137" s="10"/>
      <c r="F137" s="10"/>
      <c r="G137" s="10"/>
      <c r="H137" s="10"/>
      <c r="I137" s="10"/>
      <c r="J137" s="10"/>
      <c r="K137" s="10"/>
    </row>
    <row r="138" spans="1:11" ht="15" x14ac:dyDescent="0.25">
      <c r="A138" s="716" t="s">
        <v>394</v>
      </c>
      <c r="B138" s="710" t="s">
        <v>395</v>
      </c>
      <c r="E138" s="10"/>
      <c r="F138" s="10"/>
      <c r="G138" s="10"/>
      <c r="H138" s="10"/>
      <c r="I138" s="10"/>
      <c r="J138" s="10"/>
      <c r="K138" s="10"/>
    </row>
    <row r="139" spans="1:11" ht="15" x14ac:dyDescent="0.25">
      <c r="A139" s="716" t="s">
        <v>396</v>
      </c>
      <c r="B139" s="710" t="s">
        <v>397</v>
      </c>
      <c r="E139" s="10"/>
      <c r="F139" s="10"/>
      <c r="G139" s="10"/>
      <c r="H139" s="10"/>
      <c r="I139" s="10"/>
      <c r="J139" s="10"/>
      <c r="K139" s="10"/>
    </row>
    <row r="140" spans="1:11" ht="15" x14ac:dyDescent="0.25">
      <c r="A140" s="716" t="s">
        <v>398</v>
      </c>
      <c r="B140" s="710" t="s">
        <v>399</v>
      </c>
      <c r="E140" s="10"/>
      <c r="F140" s="10"/>
      <c r="G140" s="10"/>
      <c r="H140" s="10"/>
      <c r="I140" s="10"/>
      <c r="J140" s="10"/>
      <c r="K140" s="10"/>
    </row>
    <row r="141" spans="1:11" ht="15" x14ac:dyDescent="0.25">
      <c r="A141" s="724" t="s">
        <v>400</v>
      </c>
      <c r="B141" s="710" t="s">
        <v>401</v>
      </c>
      <c r="E141" s="10"/>
      <c r="F141" s="10"/>
      <c r="G141" s="10"/>
    </row>
    <row r="142" spans="1:11" ht="15" x14ac:dyDescent="0.25">
      <c r="A142" s="724"/>
      <c r="B142" s="715" t="s">
        <v>402</v>
      </c>
      <c r="E142" s="10"/>
      <c r="F142" s="10"/>
      <c r="G142" s="10"/>
    </row>
    <row r="143" spans="1:11" ht="15" x14ac:dyDescent="0.25">
      <c r="A143" s="716" t="s">
        <v>403</v>
      </c>
      <c r="B143" s="710" t="s">
        <v>404</v>
      </c>
      <c r="E143" s="10"/>
      <c r="F143" s="10"/>
      <c r="G143" s="10"/>
    </row>
    <row r="144" spans="1:11" ht="15" x14ac:dyDescent="0.25">
      <c r="A144" s="716"/>
      <c r="B144" s="715" t="s">
        <v>405</v>
      </c>
      <c r="E144" s="10"/>
      <c r="F144" s="10"/>
      <c r="G144" s="10"/>
    </row>
    <row r="145" spans="1:7" ht="15" x14ac:dyDescent="0.25">
      <c r="A145" s="716"/>
      <c r="B145" s="715" t="s">
        <v>406</v>
      </c>
      <c r="E145" s="10"/>
      <c r="F145" s="10"/>
      <c r="G145" s="10"/>
    </row>
    <row r="146" spans="1:7" ht="15" x14ac:dyDescent="0.25">
      <c r="A146" s="716"/>
      <c r="B146" s="715" t="s">
        <v>407</v>
      </c>
      <c r="E146" s="10"/>
      <c r="F146" s="10"/>
      <c r="G146" s="10"/>
    </row>
    <row r="147" spans="1:7" ht="15" x14ac:dyDescent="0.25">
      <c r="A147" s="716" t="s">
        <v>408</v>
      </c>
      <c r="B147" s="710" t="s">
        <v>409</v>
      </c>
      <c r="E147" s="10"/>
      <c r="F147" s="10"/>
      <c r="G147" s="10"/>
    </row>
    <row r="148" spans="1:7" ht="15" x14ac:dyDescent="0.25">
      <c r="E148" s="10"/>
      <c r="F148" s="10"/>
      <c r="G148" s="10"/>
    </row>
    <row r="149" spans="1:7" ht="15" x14ac:dyDescent="0.25">
      <c r="E149" s="10"/>
      <c r="F149" s="10"/>
      <c r="G149" s="10"/>
    </row>
    <row r="150" spans="1:7" x14ac:dyDescent="0.2">
      <c r="B150" s="705" t="s">
        <v>410</v>
      </c>
    </row>
    <row r="151" spans="1:7" x14ac:dyDescent="0.2">
      <c r="A151" s="716" t="s">
        <v>219</v>
      </c>
      <c r="B151" s="710" t="s">
        <v>220</v>
      </c>
    </row>
    <row r="152" spans="1:7" x14ac:dyDescent="0.2">
      <c r="A152" s="725" t="s">
        <v>221</v>
      </c>
      <c r="B152" s="710" t="s">
        <v>222</v>
      </c>
    </row>
    <row r="153" spans="1:7" x14ac:dyDescent="0.2">
      <c r="A153" s="716" t="s">
        <v>245</v>
      </c>
      <c r="B153" s="710" t="s">
        <v>246</v>
      </c>
    </row>
    <row r="154" spans="1:7" x14ac:dyDescent="0.2">
      <c r="A154" s="725" t="s">
        <v>247</v>
      </c>
      <c r="B154" s="710" t="s">
        <v>248</v>
      </c>
    </row>
    <row r="155" spans="1:7" x14ac:dyDescent="0.2">
      <c r="A155" s="716" t="s">
        <v>300</v>
      </c>
      <c r="B155" s="710" t="s">
        <v>301</v>
      </c>
    </row>
    <row r="156" spans="1:7" x14ac:dyDescent="0.2">
      <c r="A156" s="723">
        <v>5105180100</v>
      </c>
      <c r="B156" s="710" t="s">
        <v>302</v>
      </c>
    </row>
    <row r="157" spans="1:7" x14ac:dyDescent="0.2">
      <c r="A157" s="725" t="s">
        <v>303</v>
      </c>
      <c r="B157" s="710" t="s">
        <v>304</v>
      </c>
    </row>
    <row r="158" spans="1:7" x14ac:dyDescent="0.2">
      <c r="A158" s="723">
        <v>5105180000</v>
      </c>
      <c r="B158" s="710" t="s">
        <v>311</v>
      </c>
    </row>
    <row r="159" spans="1:7" x14ac:dyDescent="0.2">
      <c r="A159" s="716" t="s">
        <v>312</v>
      </c>
      <c r="B159" s="710" t="s">
        <v>313</v>
      </c>
    </row>
    <row r="160" spans="1:7" x14ac:dyDescent="0.2">
      <c r="A160" s="716" t="s">
        <v>314</v>
      </c>
      <c r="B160" s="710" t="s">
        <v>315</v>
      </c>
    </row>
    <row r="161" spans="1:5" x14ac:dyDescent="0.2">
      <c r="A161" s="716" t="s">
        <v>316</v>
      </c>
      <c r="B161" s="710" t="s">
        <v>317</v>
      </c>
    </row>
    <row r="164" spans="1:5" x14ac:dyDescent="0.2">
      <c r="B164" s="705" t="s">
        <v>411</v>
      </c>
    </row>
    <row r="165" spans="1:5" x14ac:dyDescent="0.2">
      <c r="A165" s="705" t="s">
        <v>227</v>
      </c>
      <c r="B165" s="705" t="s">
        <v>228</v>
      </c>
    </row>
    <row r="166" spans="1:5" x14ac:dyDescent="0.2">
      <c r="A166" s="705" t="s">
        <v>306</v>
      </c>
      <c r="B166" s="705" t="s">
        <v>307</v>
      </c>
    </row>
    <row r="167" spans="1:5" x14ac:dyDescent="0.2">
      <c r="A167" s="705" t="s">
        <v>308</v>
      </c>
      <c r="B167" s="705" t="s">
        <v>309</v>
      </c>
    </row>
    <row r="173" spans="1:5" ht="12.75" x14ac:dyDescent="0.2">
      <c r="A173" s="726" t="s">
        <v>139</v>
      </c>
    </row>
    <row r="174" spans="1:5" x14ac:dyDescent="0.2">
      <c r="A174" s="707" t="s">
        <v>412</v>
      </c>
      <c r="E174" s="705" t="s">
        <v>413</v>
      </c>
    </row>
    <row r="175" spans="1:5" x14ac:dyDescent="0.2">
      <c r="A175" s="705" t="s">
        <v>131</v>
      </c>
      <c r="B175" s="705" t="s">
        <v>414</v>
      </c>
    </row>
    <row r="176" spans="1:5" x14ac:dyDescent="0.2">
      <c r="A176" s="705">
        <v>4155950000</v>
      </c>
      <c r="B176" s="705" t="s">
        <v>415</v>
      </c>
    </row>
    <row r="177" spans="1:9" x14ac:dyDescent="0.2">
      <c r="A177" s="705">
        <v>4155950100</v>
      </c>
      <c r="B177" s="705" t="s">
        <v>416</v>
      </c>
    </row>
    <row r="178" spans="1:9" x14ac:dyDescent="0.2">
      <c r="A178" s="705">
        <v>4155951500</v>
      </c>
      <c r="B178" s="705" t="s">
        <v>417</v>
      </c>
    </row>
    <row r="179" spans="1:9" x14ac:dyDescent="0.2">
      <c r="A179" s="705">
        <v>4135950900</v>
      </c>
      <c r="B179" s="705" t="s">
        <v>418</v>
      </c>
    </row>
    <row r="180" spans="1:9" x14ac:dyDescent="0.2">
      <c r="A180" s="705">
        <v>4135950000</v>
      </c>
      <c r="B180" s="705" t="s">
        <v>419</v>
      </c>
      <c r="E180" s="705">
        <v>4135950000</v>
      </c>
    </row>
    <row r="181" spans="1:9" x14ac:dyDescent="0.2">
      <c r="A181" s="705">
        <v>4155950500</v>
      </c>
      <c r="B181" s="705" t="s">
        <v>419</v>
      </c>
    </row>
    <row r="182" spans="1:9" x14ac:dyDescent="0.2">
      <c r="A182" s="705">
        <v>4170250300</v>
      </c>
      <c r="B182" s="705" t="s">
        <v>419</v>
      </c>
    </row>
    <row r="183" spans="1:9" x14ac:dyDescent="0.2">
      <c r="A183" s="705" t="s">
        <v>133</v>
      </c>
      <c r="B183" s="705" t="s">
        <v>420</v>
      </c>
    </row>
    <row r="184" spans="1:9" x14ac:dyDescent="0.2">
      <c r="A184" s="705">
        <v>6135950000</v>
      </c>
      <c r="B184" s="705" t="s">
        <v>421</v>
      </c>
    </row>
    <row r="186" spans="1:9" x14ac:dyDescent="0.2">
      <c r="B186" s="705" t="s">
        <v>422</v>
      </c>
    </row>
    <row r="187" spans="1:9" ht="15" x14ac:dyDescent="0.25">
      <c r="A187" s="705">
        <v>5205180100</v>
      </c>
      <c r="B187" s="705" t="s">
        <v>423</v>
      </c>
      <c r="C187" s="10" t="s">
        <v>424</v>
      </c>
      <c r="D187" s="10"/>
      <c r="E187" s="10"/>
      <c r="F187" s="10"/>
      <c r="G187" s="712"/>
      <c r="H187" s="712"/>
      <c r="I187" s="712"/>
    </row>
    <row r="188" spans="1:9" ht="15" x14ac:dyDescent="0.25">
      <c r="A188" s="705">
        <v>5205361000</v>
      </c>
      <c r="B188" s="705" t="s">
        <v>425</v>
      </c>
      <c r="C188" s="10" t="s">
        <v>426</v>
      </c>
      <c r="D188" s="10" t="s">
        <v>375</v>
      </c>
      <c r="E188" s="10"/>
      <c r="F188" s="10"/>
      <c r="G188" s="712"/>
      <c r="H188" s="712"/>
      <c r="I188" s="712"/>
    </row>
    <row r="189" spans="1:9" ht="15" x14ac:dyDescent="0.25">
      <c r="A189" s="705">
        <v>5205391000</v>
      </c>
      <c r="B189" s="705" t="s">
        <v>425</v>
      </c>
      <c r="C189" s="10" t="s">
        <v>427</v>
      </c>
      <c r="D189" s="10">
        <v>4638.9799999999996</v>
      </c>
      <c r="E189" s="10"/>
      <c r="F189" s="10"/>
      <c r="G189" s="712"/>
      <c r="H189" s="712"/>
      <c r="I189" s="712"/>
    </row>
    <row r="190" spans="1:9" ht="15" x14ac:dyDescent="0.25">
      <c r="A190" s="705">
        <v>5205422000</v>
      </c>
      <c r="B190" s="705" t="s">
        <v>425</v>
      </c>
      <c r="C190" s="10" t="s">
        <v>428</v>
      </c>
      <c r="D190" s="10">
        <v>1230.26</v>
      </c>
      <c r="E190" s="10"/>
      <c r="F190" s="10"/>
      <c r="G190" s="712"/>
      <c r="H190" s="712"/>
      <c r="I190" s="712"/>
    </row>
    <row r="191" spans="1:9" ht="15" x14ac:dyDescent="0.25">
      <c r="A191" s="705">
        <v>5205691000</v>
      </c>
      <c r="B191" s="705" t="s">
        <v>425</v>
      </c>
      <c r="C191" s="10" t="s">
        <v>429</v>
      </c>
      <c r="D191" s="10">
        <v>307.56</v>
      </c>
      <c r="E191" s="10"/>
      <c r="F191" s="10"/>
      <c r="G191" s="712"/>
      <c r="H191" s="712"/>
      <c r="I191" s="712"/>
    </row>
    <row r="192" spans="1:9" ht="15" x14ac:dyDescent="0.25">
      <c r="A192" s="705">
        <v>5205701000</v>
      </c>
      <c r="B192" s="705" t="s">
        <v>425</v>
      </c>
      <c r="C192" s="10" t="s">
        <v>430</v>
      </c>
      <c r="D192" s="10">
        <v>896.8</v>
      </c>
      <c r="E192" s="10"/>
      <c r="F192" s="10"/>
      <c r="G192" s="712"/>
      <c r="H192" s="712"/>
      <c r="I192" s="712"/>
    </row>
    <row r="193" spans="1:9" ht="15" x14ac:dyDescent="0.25">
      <c r="A193" s="705">
        <v>5160200000</v>
      </c>
      <c r="B193" s="705" t="s">
        <v>431</v>
      </c>
      <c r="C193" s="10" t="s">
        <v>432</v>
      </c>
      <c r="D193" s="10">
        <v>604.20000000000005</v>
      </c>
      <c r="E193" s="10"/>
      <c r="F193" s="10"/>
      <c r="G193" s="712"/>
      <c r="H193" s="712"/>
      <c r="I193" s="712"/>
    </row>
    <row r="194" spans="1:9" ht="15" x14ac:dyDescent="0.25">
      <c r="A194" s="705">
        <v>5260100000</v>
      </c>
      <c r="B194" s="705" t="s">
        <v>431</v>
      </c>
      <c r="C194" s="10" t="s">
        <v>433</v>
      </c>
      <c r="D194" s="10">
        <v>27.16</v>
      </c>
      <c r="E194" s="10"/>
      <c r="F194" s="10"/>
      <c r="G194" s="712"/>
      <c r="H194" s="712"/>
      <c r="I194" s="712"/>
    </row>
    <row r="195" spans="1:9" ht="15" x14ac:dyDescent="0.25">
      <c r="A195" s="705">
        <v>5260200000</v>
      </c>
      <c r="B195" s="705" t="s">
        <v>431</v>
      </c>
      <c r="C195" s="10" t="s">
        <v>382</v>
      </c>
      <c r="D195" s="10">
        <v>7704.96</v>
      </c>
      <c r="E195" s="10"/>
      <c r="F195" s="10"/>
      <c r="G195" s="712"/>
      <c r="H195" s="712"/>
      <c r="I195" s="712"/>
    </row>
    <row r="196" spans="1:9" ht="15" x14ac:dyDescent="0.25">
      <c r="A196" s="705">
        <v>5260150000</v>
      </c>
      <c r="B196" s="705" t="s">
        <v>431</v>
      </c>
      <c r="C196" s="10"/>
      <c r="D196" s="10"/>
      <c r="E196" s="10"/>
      <c r="F196" s="10"/>
      <c r="G196" s="712"/>
      <c r="H196" s="712"/>
      <c r="I196" s="712"/>
    </row>
    <row r="197" spans="1:9" ht="15" x14ac:dyDescent="0.25">
      <c r="A197" s="705">
        <v>5260350000</v>
      </c>
      <c r="B197" s="705" t="s">
        <v>431</v>
      </c>
      <c r="C197" s="10"/>
      <c r="D197" s="10"/>
      <c r="E197" s="10"/>
      <c r="F197" s="10"/>
      <c r="G197" s="712"/>
      <c r="H197" s="712"/>
      <c r="I197" s="712"/>
    </row>
    <row r="198" spans="1:9" ht="15" x14ac:dyDescent="0.25">
      <c r="A198" s="705">
        <v>5160150000</v>
      </c>
      <c r="B198" s="705" t="s">
        <v>434</v>
      </c>
      <c r="C198" s="10"/>
      <c r="D198" s="10"/>
      <c r="E198" s="10"/>
      <c r="F198" s="10"/>
      <c r="G198" s="712"/>
      <c r="H198" s="712"/>
      <c r="I198" s="712"/>
    </row>
    <row r="199" spans="1:9" ht="15" x14ac:dyDescent="0.25">
      <c r="A199" s="705">
        <v>5145150100</v>
      </c>
      <c r="B199" s="705" t="s">
        <v>435</v>
      </c>
      <c r="C199" s="10"/>
      <c r="D199" s="10"/>
      <c r="E199" s="10"/>
      <c r="F199" s="10"/>
      <c r="G199" s="712"/>
      <c r="H199" s="712"/>
      <c r="I199" s="712"/>
    </row>
    <row r="200" spans="1:9" ht="15" x14ac:dyDescent="0.25">
      <c r="A200" s="705">
        <v>5235300000</v>
      </c>
      <c r="B200" s="705" t="s">
        <v>435</v>
      </c>
      <c r="C200" s="10"/>
      <c r="D200" s="10"/>
      <c r="E200" s="10"/>
      <c r="F200" s="10"/>
      <c r="G200" s="712"/>
      <c r="H200" s="712"/>
      <c r="I200" s="712"/>
    </row>
    <row r="201" spans="1:9" ht="15" x14ac:dyDescent="0.25">
      <c r="A201" s="705">
        <v>5245100000</v>
      </c>
      <c r="B201" s="705" t="s">
        <v>435</v>
      </c>
      <c r="C201" s="10"/>
      <c r="D201" s="10"/>
      <c r="E201" s="10"/>
      <c r="F201" s="10"/>
      <c r="G201" s="712"/>
      <c r="H201" s="712"/>
      <c r="I201" s="712"/>
    </row>
    <row r="202" spans="1:9" ht="15" x14ac:dyDescent="0.25">
      <c r="A202" s="705">
        <v>5245150000</v>
      </c>
      <c r="B202" s="705" t="s">
        <v>435</v>
      </c>
      <c r="C202" s="10"/>
      <c r="D202" s="10"/>
      <c r="E202" s="10"/>
      <c r="F202" s="10"/>
      <c r="G202" s="712"/>
      <c r="H202" s="712"/>
      <c r="I202" s="712"/>
    </row>
    <row r="203" spans="1:9" ht="15" x14ac:dyDescent="0.25">
      <c r="A203" s="705">
        <v>5245150100</v>
      </c>
      <c r="B203" s="705" t="s">
        <v>435</v>
      </c>
      <c r="C203" s="10"/>
      <c r="D203" s="10"/>
      <c r="E203" s="10"/>
    </row>
    <row r="204" spans="1:9" ht="15" x14ac:dyDescent="0.25">
      <c r="A204" s="705">
        <v>5245200000</v>
      </c>
      <c r="B204" s="705" t="s">
        <v>435</v>
      </c>
      <c r="C204" s="10"/>
      <c r="D204" s="10"/>
      <c r="E204" s="10"/>
    </row>
    <row r="205" spans="1:9" ht="15" x14ac:dyDescent="0.25">
      <c r="A205" s="705">
        <v>5245250000</v>
      </c>
      <c r="B205" s="705" t="s">
        <v>435</v>
      </c>
      <c r="C205" s="10"/>
      <c r="D205" s="10"/>
      <c r="E205" s="10"/>
    </row>
    <row r="206" spans="1:9" ht="15" x14ac:dyDescent="0.25">
      <c r="A206" s="705">
        <v>5250050000</v>
      </c>
      <c r="B206" s="705" t="s">
        <v>435</v>
      </c>
      <c r="C206" s="10"/>
      <c r="D206" s="10"/>
      <c r="E206" s="10"/>
    </row>
    <row r="207" spans="1:9" x14ac:dyDescent="0.2">
      <c r="A207" s="705">
        <v>5250100000</v>
      </c>
      <c r="B207" s="705" t="s">
        <v>435</v>
      </c>
    </row>
    <row r="208" spans="1:9" x14ac:dyDescent="0.2">
      <c r="A208" s="705">
        <v>5250950000</v>
      </c>
      <c r="B208" s="705" t="s">
        <v>435</v>
      </c>
    </row>
    <row r="209" spans="1:2" x14ac:dyDescent="0.2">
      <c r="A209" s="705">
        <v>5295250000</v>
      </c>
      <c r="B209" s="705" t="s">
        <v>435</v>
      </c>
    </row>
    <row r="210" spans="1:2" x14ac:dyDescent="0.2">
      <c r="A210" s="705">
        <v>5295950300</v>
      </c>
      <c r="B210" s="705" t="s">
        <v>435</v>
      </c>
    </row>
    <row r="211" spans="1:2" x14ac:dyDescent="0.2">
      <c r="A211" s="705">
        <v>5235050000</v>
      </c>
      <c r="B211" s="705" t="s">
        <v>436</v>
      </c>
    </row>
    <row r="212" spans="1:2" x14ac:dyDescent="0.2">
      <c r="A212" s="705">
        <v>5235200000</v>
      </c>
      <c r="B212" s="705" t="s">
        <v>436</v>
      </c>
    </row>
    <row r="213" spans="1:2" x14ac:dyDescent="0.2">
      <c r="A213" s="705">
        <v>5235950100</v>
      </c>
      <c r="B213" s="705" t="s">
        <v>436</v>
      </c>
    </row>
    <row r="214" spans="1:2" x14ac:dyDescent="0.2">
      <c r="A214" s="705">
        <v>5235950400</v>
      </c>
      <c r="B214" s="705" t="s">
        <v>436</v>
      </c>
    </row>
    <row r="215" spans="1:2" x14ac:dyDescent="0.2">
      <c r="A215" s="705">
        <v>5235950500</v>
      </c>
      <c r="B215" s="705" t="s">
        <v>436</v>
      </c>
    </row>
    <row r="216" spans="1:2" x14ac:dyDescent="0.2">
      <c r="A216" s="705">
        <v>5235950600</v>
      </c>
      <c r="B216" s="705" t="s">
        <v>436</v>
      </c>
    </row>
    <row r="217" spans="1:2" x14ac:dyDescent="0.2">
      <c r="A217" s="705">
        <v>5235950600</v>
      </c>
      <c r="B217" s="705" t="s">
        <v>436</v>
      </c>
    </row>
    <row r="218" spans="1:2" x14ac:dyDescent="0.2">
      <c r="A218" s="705">
        <v>5235950600</v>
      </c>
      <c r="B218" s="705" t="s">
        <v>436</v>
      </c>
    </row>
    <row r="219" spans="1:2" x14ac:dyDescent="0.2">
      <c r="A219" s="705">
        <v>5295950500</v>
      </c>
      <c r="B219" s="705" t="s">
        <v>436</v>
      </c>
    </row>
    <row r="220" spans="1:2" x14ac:dyDescent="0.2">
      <c r="A220" s="705">
        <v>5295950100</v>
      </c>
      <c r="B220" s="705" t="s">
        <v>437</v>
      </c>
    </row>
    <row r="221" spans="1:2" x14ac:dyDescent="0.2">
      <c r="A221" s="705">
        <v>5299100000</v>
      </c>
      <c r="B221" s="705" t="s">
        <v>438</v>
      </c>
    </row>
    <row r="222" spans="1:2" x14ac:dyDescent="0.2">
      <c r="A222" s="705">
        <v>5160100000</v>
      </c>
      <c r="B222" s="705" t="s">
        <v>439</v>
      </c>
    </row>
    <row r="223" spans="1:2" x14ac:dyDescent="0.2">
      <c r="B223" s="705" t="s">
        <v>440</v>
      </c>
    </row>
    <row r="224" spans="1:2" x14ac:dyDescent="0.2">
      <c r="A224" s="705">
        <v>5205630100</v>
      </c>
      <c r="B224" s="705" t="s">
        <v>441</v>
      </c>
    </row>
    <row r="225" spans="1:2" x14ac:dyDescent="0.2">
      <c r="A225" s="705">
        <v>5205630200</v>
      </c>
      <c r="B225" s="705" t="s">
        <v>441</v>
      </c>
    </row>
    <row r="226" spans="1:2" x14ac:dyDescent="0.2">
      <c r="A226" s="705">
        <v>5205060100</v>
      </c>
      <c r="B226" s="705" t="s">
        <v>442</v>
      </c>
    </row>
    <row r="227" spans="1:2" x14ac:dyDescent="0.2">
      <c r="A227" s="705">
        <v>5205150100</v>
      </c>
      <c r="B227" s="705" t="s">
        <v>442</v>
      </c>
    </row>
    <row r="228" spans="1:2" x14ac:dyDescent="0.2">
      <c r="A228" s="705">
        <v>5205360100</v>
      </c>
      <c r="B228" s="705" t="s">
        <v>443</v>
      </c>
    </row>
    <row r="229" spans="1:2" x14ac:dyDescent="0.2">
      <c r="A229" s="705">
        <v>5205390100</v>
      </c>
      <c r="B229" s="705" t="s">
        <v>443</v>
      </c>
    </row>
    <row r="230" spans="1:2" x14ac:dyDescent="0.2">
      <c r="A230" s="705">
        <v>5205600100</v>
      </c>
      <c r="B230" s="705" t="s">
        <v>443</v>
      </c>
    </row>
    <row r="231" spans="1:2" x14ac:dyDescent="0.2">
      <c r="A231" s="705">
        <v>5205690100</v>
      </c>
      <c r="B231" s="705" t="s">
        <v>443</v>
      </c>
    </row>
    <row r="232" spans="1:2" x14ac:dyDescent="0.2">
      <c r="A232" s="705">
        <v>5205700100</v>
      </c>
      <c r="B232" s="705" t="s">
        <v>443</v>
      </c>
    </row>
    <row r="233" spans="1:2" x14ac:dyDescent="0.2">
      <c r="A233" s="705">
        <v>5205700100</v>
      </c>
      <c r="B233" s="705" t="s">
        <v>443</v>
      </c>
    </row>
    <row r="234" spans="1:2" x14ac:dyDescent="0.2">
      <c r="A234" s="705">
        <v>5205700200</v>
      </c>
      <c r="B234" s="705" t="s">
        <v>443</v>
      </c>
    </row>
    <row r="235" spans="1:2" x14ac:dyDescent="0.2">
      <c r="A235" s="705">
        <v>5205780100</v>
      </c>
      <c r="B235" s="705" t="s">
        <v>443</v>
      </c>
    </row>
    <row r="236" spans="1:2" x14ac:dyDescent="0.2">
      <c r="A236" s="705">
        <v>5205660100</v>
      </c>
      <c r="B236" s="705" t="s">
        <v>444</v>
      </c>
    </row>
    <row r="237" spans="1:2" x14ac:dyDescent="0.2">
      <c r="A237" s="705">
        <v>5210250000</v>
      </c>
      <c r="B237" s="705" t="s">
        <v>445</v>
      </c>
    </row>
    <row r="238" spans="1:2" x14ac:dyDescent="0.2">
      <c r="A238" s="705">
        <v>5210350000</v>
      </c>
      <c r="B238" s="705" t="s">
        <v>445</v>
      </c>
    </row>
    <row r="239" spans="1:2" x14ac:dyDescent="0.2">
      <c r="A239" s="705">
        <v>5210950000</v>
      </c>
      <c r="B239" s="705" t="s">
        <v>445</v>
      </c>
    </row>
    <row r="240" spans="1:2" x14ac:dyDescent="0.2">
      <c r="A240" s="705">
        <v>5115950000</v>
      </c>
      <c r="B240" s="705" t="s">
        <v>446</v>
      </c>
    </row>
    <row r="241" spans="1:2" x14ac:dyDescent="0.2">
      <c r="A241" s="705">
        <v>5215100000</v>
      </c>
      <c r="B241" s="705" t="s">
        <v>446</v>
      </c>
    </row>
    <row r="242" spans="1:2" x14ac:dyDescent="0.2">
      <c r="A242" s="705">
        <v>5215950000</v>
      </c>
      <c r="B242" s="705" t="s">
        <v>446</v>
      </c>
    </row>
    <row r="243" spans="1:2" x14ac:dyDescent="0.2">
      <c r="A243" s="705">
        <v>5240100000</v>
      </c>
      <c r="B243" s="705" t="s">
        <v>446</v>
      </c>
    </row>
    <row r="244" spans="1:2" x14ac:dyDescent="0.2">
      <c r="A244" s="705">
        <v>5240150000</v>
      </c>
      <c r="B244" s="705" t="s">
        <v>446</v>
      </c>
    </row>
    <row r="245" spans="1:2" x14ac:dyDescent="0.2">
      <c r="A245" s="705">
        <v>5245400000</v>
      </c>
      <c r="B245" s="705" t="s">
        <v>447</v>
      </c>
    </row>
    <row r="246" spans="1:2" x14ac:dyDescent="0.2">
      <c r="A246" s="705">
        <v>5295350000</v>
      </c>
      <c r="B246" s="705" t="s">
        <v>447</v>
      </c>
    </row>
    <row r="247" spans="1:2" x14ac:dyDescent="0.2">
      <c r="A247" s="705">
        <v>5295100000</v>
      </c>
      <c r="B247" s="705" t="s">
        <v>448</v>
      </c>
    </row>
    <row r="248" spans="1:2" x14ac:dyDescent="0.2">
      <c r="A248" s="705">
        <v>5295300000</v>
      </c>
      <c r="B248" s="705" t="s">
        <v>448</v>
      </c>
    </row>
    <row r="249" spans="1:2" x14ac:dyDescent="0.2">
      <c r="A249" s="705">
        <v>5235600000</v>
      </c>
      <c r="B249" s="705" t="s">
        <v>449</v>
      </c>
    </row>
    <row r="250" spans="1:2" x14ac:dyDescent="0.2">
      <c r="A250" s="705">
        <v>5235350000</v>
      </c>
      <c r="B250" s="705" t="s">
        <v>450</v>
      </c>
    </row>
    <row r="251" spans="1:2" x14ac:dyDescent="0.2">
      <c r="A251" s="705">
        <v>5235400100</v>
      </c>
      <c r="B251" s="705" t="s">
        <v>450</v>
      </c>
    </row>
    <row r="252" spans="1:2" x14ac:dyDescent="0.2">
      <c r="A252" s="705">
        <v>5235400200</v>
      </c>
      <c r="B252" s="705" t="s">
        <v>450</v>
      </c>
    </row>
    <row r="253" spans="1:2" x14ac:dyDescent="0.2">
      <c r="A253" s="705">
        <v>5235450000</v>
      </c>
      <c r="B253" s="705" t="s">
        <v>450</v>
      </c>
    </row>
    <row r="254" spans="1:2" x14ac:dyDescent="0.2">
      <c r="A254" s="705">
        <v>5230250000</v>
      </c>
      <c r="B254" s="705" t="s">
        <v>451</v>
      </c>
    </row>
    <row r="255" spans="1:2" x14ac:dyDescent="0.2">
      <c r="A255" s="705">
        <v>5230950000</v>
      </c>
      <c r="B255" s="705" t="s">
        <v>451</v>
      </c>
    </row>
    <row r="256" spans="1:2" x14ac:dyDescent="0.2">
      <c r="A256" s="705">
        <v>5295700000</v>
      </c>
      <c r="B256" s="705" t="s">
        <v>451</v>
      </c>
    </row>
    <row r="257" spans="1:2" x14ac:dyDescent="0.2">
      <c r="A257" s="705">
        <v>5225100000</v>
      </c>
      <c r="B257" s="705" t="s">
        <v>452</v>
      </c>
    </row>
    <row r="258" spans="1:2" x14ac:dyDescent="0.2">
      <c r="A258" s="705">
        <v>5205480100</v>
      </c>
      <c r="B258" s="705" t="s">
        <v>453</v>
      </c>
    </row>
    <row r="259" spans="1:2" x14ac:dyDescent="0.2">
      <c r="A259" s="705">
        <v>5205480200</v>
      </c>
      <c r="B259" s="705" t="s">
        <v>453</v>
      </c>
    </row>
    <row r="260" spans="1:2" x14ac:dyDescent="0.2">
      <c r="A260" s="705">
        <v>5205481000</v>
      </c>
      <c r="B260" s="705" t="s">
        <v>453</v>
      </c>
    </row>
    <row r="261" spans="1:2" x14ac:dyDescent="0.2">
      <c r="A261" s="705">
        <v>5205481100</v>
      </c>
      <c r="B261" s="705" t="s">
        <v>453</v>
      </c>
    </row>
    <row r="262" spans="1:2" x14ac:dyDescent="0.2">
      <c r="A262" s="705">
        <v>5205210100</v>
      </c>
      <c r="B262" s="705" t="s">
        <v>454</v>
      </c>
    </row>
    <row r="263" spans="1:2" x14ac:dyDescent="0.2">
      <c r="A263" s="705">
        <v>5205210200</v>
      </c>
      <c r="B263" s="705" t="s">
        <v>454</v>
      </c>
    </row>
    <row r="264" spans="1:2" x14ac:dyDescent="0.2">
      <c r="A264" s="705">
        <v>5255050100</v>
      </c>
      <c r="B264" s="705" t="s">
        <v>454</v>
      </c>
    </row>
    <row r="265" spans="1:2" x14ac:dyDescent="0.2">
      <c r="A265" s="705">
        <v>5255060100</v>
      </c>
      <c r="B265" s="705" t="s">
        <v>454</v>
      </c>
    </row>
    <row r="266" spans="1:2" x14ac:dyDescent="0.2">
      <c r="A266" s="705">
        <v>5255150100</v>
      </c>
      <c r="B266" s="705" t="s">
        <v>454</v>
      </c>
    </row>
    <row r="267" spans="1:2" x14ac:dyDescent="0.2">
      <c r="A267" s="705">
        <v>5255200100</v>
      </c>
      <c r="B267" s="705" t="s">
        <v>454</v>
      </c>
    </row>
    <row r="268" spans="1:2" x14ac:dyDescent="0.2">
      <c r="A268" s="705">
        <v>5255200200</v>
      </c>
      <c r="B268" s="705" t="s">
        <v>454</v>
      </c>
    </row>
    <row r="269" spans="1:2" x14ac:dyDescent="0.2">
      <c r="A269" s="705">
        <v>5255950100</v>
      </c>
      <c r="B269" s="705" t="s">
        <v>454</v>
      </c>
    </row>
    <row r="270" spans="1:2" x14ac:dyDescent="0.2">
      <c r="A270" s="705">
        <v>5240050000</v>
      </c>
      <c r="B270" s="705" t="s">
        <v>455</v>
      </c>
    </row>
    <row r="271" spans="1:2" x14ac:dyDescent="0.2">
      <c r="A271" s="705">
        <v>5240200400</v>
      </c>
      <c r="B271" s="705" t="s">
        <v>455</v>
      </c>
    </row>
    <row r="272" spans="1:2" x14ac:dyDescent="0.2">
      <c r="A272" s="705">
        <v>5220050000</v>
      </c>
      <c r="B272" s="705" t="s">
        <v>456</v>
      </c>
    </row>
    <row r="273" spans="1:2" x14ac:dyDescent="0.2">
      <c r="A273" s="705">
        <v>5220100000</v>
      </c>
      <c r="B273" s="705" t="s">
        <v>456</v>
      </c>
    </row>
    <row r="274" spans="1:2" x14ac:dyDescent="0.2">
      <c r="A274" s="705">
        <v>5220100100</v>
      </c>
      <c r="B274" s="705" t="s">
        <v>456</v>
      </c>
    </row>
    <row r="275" spans="1:2" x14ac:dyDescent="0.2">
      <c r="A275" s="705">
        <v>5220950000</v>
      </c>
      <c r="B275" s="705" t="s">
        <v>456</v>
      </c>
    </row>
    <row r="278" spans="1:2" x14ac:dyDescent="0.2">
      <c r="B278" s="705" t="s">
        <v>457</v>
      </c>
    </row>
    <row r="279" spans="1:2" x14ac:dyDescent="0.2">
      <c r="A279" s="705">
        <v>5105060000</v>
      </c>
      <c r="B279" s="705" t="s">
        <v>458</v>
      </c>
    </row>
    <row r="280" spans="1:2" x14ac:dyDescent="0.2">
      <c r="A280" s="705">
        <v>5105150000</v>
      </c>
      <c r="B280" s="705" t="s">
        <v>458</v>
      </c>
    </row>
    <row r="281" spans="1:2" x14ac:dyDescent="0.2">
      <c r="A281" s="705">
        <v>5105360000</v>
      </c>
      <c r="B281" s="705" t="s">
        <v>459</v>
      </c>
    </row>
    <row r="282" spans="1:2" x14ac:dyDescent="0.2">
      <c r="A282" s="705">
        <v>5105390000</v>
      </c>
      <c r="B282" s="705" t="s">
        <v>459</v>
      </c>
    </row>
    <row r="283" spans="1:2" x14ac:dyDescent="0.2">
      <c r="A283" s="705">
        <v>5105600000</v>
      </c>
      <c r="B283" s="705" t="s">
        <v>459</v>
      </c>
    </row>
    <row r="284" spans="1:2" x14ac:dyDescent="0.2">
      <c r="A284" s="705">
        <v>5105690000</v>
      </c>
      <c r="B284" s="705" t="s">
        <v>459</v>
      </c>
    </row>
    <row r="285" spans="1:2" x14ac:dyDescent="0.2">
      <c r="A285" s="705">
        <v>5105700000</v>
      </c>
      <c r="B285" s="705" t="s">
        <v>459</v>
      </c>
    </row>
    <row r="286" spans="1:2" x14ac:dyDescent="0.2">
      <c r="A286" s="705">
        <v>5105780000</v>
      </c>
      <c r="B286" s="705" t="s">
        <v>459</v>
      </c>
    </row>
    <row r="287" spans="1:2" x14ac:dyDescent="0.2">
      <c r="A287" s="705">
        <v>5105950000</v>
      </c>
      <c r="B287" s="705" t="s">
        <v>459</v>
      </c>
    </row>
    <row r="288" spans="1:2" x14ac:dyDescent="0.2">
      <c r="A288" s="705">
        <v>5105180000</v>
      </c>
      <c r="B288" s="705" t="s">
        <v>460</v>
      </c>
    </row>
    <row r="289" spans="1:2" x14ac:dyDescent="0.2">
      <c r="A289" s="705">
        <v>5105630000</v>
      </c>
      <c r="B289" s="705" t="s">
        <v>461</v>
      </c>
    </row>
    <row r="290" spans="1:2" x14ac:dyDescent="0.2">
      <c r="A290" s="705">
        <v>5105391000</v>
      </c>
      <c r="B290" s="705" t="s">
        <v>462</v>
      </c>
    </row>
    <row r="291" spans="1:2" x14ac:dyDescent="0.2">
      <c r="A291" s="705">
        <v>5105691000</v>
      </c>
      <c r="B291" s="705" t="s">
        <v>462</v>
      </c>
    </row>
    <row r="292" spans="1:2" x14ac:dyDescent="0.2">
      <c r="A292" s="705">
        <v>5105701000</v>
      </c>
      <c r="B292" s="705" t="s">
        <v>462</v>
      </c>
    </row>
    <row r="293" spans="1:2" x14ac:dyDescent="0.2">
      <c r="A293" s="705">
        <v>5135050000</v>
      </c>
      <c r="B293" s="705" t="s">
        <v>436</v>
      </c>
    </row>
    <row r="294" spans="1:2" x14ac:dyDescent="0.2">
      <c r="A294" s="705">
        <v>5135150000</v>
      </c>
      <c r="B294" s="705" t="s">
        <v>436</v>
      </c>
    </row>
    <row r="295" spans="1:2" x14ac:dyDescent="0.2">
      <c r="A295" s="705">
        <v>5135200000</v>
      </c>
      <c r="B295" s="705" t="s">
        <v>436</v>
      </c>
    </row>
    <row r="296" spans="1:2" x14ac:dyDescent="0.2">
      <c r="A296" s="705">
        <v>5135950500</v>
      </c>
      <c r="B296" s="705" t="s">
        <v>436</v>
      </c>
    </row>
    <row r="297" spans="1:2" x14ac:dyDescent="0.2">
      <c r="A297" s="705">
        <v>5120100000</v>
      </c>
      <c r="B297" s="705" t="s">
        <v>463</v>
      </c>
    </row>
    <row r="298" spans="1:2" x14ac:dyDescent="0.2">
      <c r="A298" s="705">
        <v>5105660000</v>
      </c>
      <c r="B298" s="705" t="s">
        <v>464</v>
      </c>
    </row>
    <row r="299" spans="1:2" x14ac:dyDescent="0.2">
      <c r="A299" s="705">
        <v>5155960000</v>
      </c>
      <c r="B299" s="705" t="s">
        <v>464</v>
      </c>
    </row>
    <row r="300" spans="1:2" x14ac:dyDescent="0.2">
      <c r="A300" s="705">
        <v>5195950300</v>
      </c>
      <c r="B300" s="705" t="s">
        <v>465</v>
      </c>
    </row>
    <row r="301" spans="1:2" x14ac:dyDescent="0.2">
      <c r="A301" s="705">
        <v>5110100000</v>
      </c>
      <c r="B301" s="705" t="s">
        <v>466</v>
      </c>
    </row>
    <row r="302" spans="1:2" x14ac:dyDescent="0.2">
      <c r="A302" s="705">
        <v>5110200000</v>
      </c>
      <c r="B302" s="705" t="s">
        <v>466</v>
      </c>
    </row>
    <row r="303" spans="1:2" x14ac:dyDescent="0.2">
      <c r="A303" s="705">
        <v>5110250000</v>
      </c>
      <c r="B303" s="705" t="s">
        <v>466</v>
      </c>
    </row>
    <row r="304" spans="1:2" x14ac:dyDescent="0.2">
      <c r="A304" s="705">
        <v>5110300000</v>
      </c>
      <c r="B304" s="705" t="s">
        <v>466</v>
      </c>
    </row>
    <row r="305" spans="1:2" x14ac:dyDescent="0.2">
      <c r="A305" s="705">
        <v>5110350000</v>
      </c>
      <c r="B305" s="705" t="s">
        <v>466</v>
      </c>
    </row>
    <row r="306" spans="1:2" x14ac:dyDescent="0.2">
      <c r="A306" s="705">
        <v>5110950000</v>
      </c>
      <c r="B306" s="705" t="s">
        <v>466</v>
      </c>
    </row>
    <row r="307" spans="1:2" x14ac:dyDescent="0.2">
      <c r="A307" s="705">
        <v>5130</v>
      </c>
      <c r="B307" s="705" t="s">
        <v>467</v>
      </c>
    </row>
    <row r="308" spans="1:2" x14ac:dyDescent="0.2">
      <c r="A308" s="705">
        <v>5145400000</v>
      </c>
      <c r="B308" s="705" t="s">
        <v>468</v>
      </c>
    </row>
    <row r="309" spans="1:2" x14ac:dyDescent="0.2">
      <c r="A309" s="705">
        <v>5195350000</v>
      </c>
      <c r="B309" s="705" t="s">
        <v>468</v>
      </c>
    </row>
    <row r="310" spans="1:2" x14ac:dyDescent="0.2">
      <c r="A310" s="705">
        <v>5195300000</v>
      </c>
      <c r="B310" s="705" t="s">
        <v>448</v>
      </c>
    </row>
    <row r="311" spans="1:2" x14ac:dyDescent="0.2">
      <c r="A311" s="705">
        <v>5135350000</v>
      </c>
      <c r="B311" s="705" t="s">
        <v>469</v>
      </c>
    </row>
    <row r="312" spans="1:2" x14ac:dyDescent="0.2">
      <c r="A312" s="705">
        <v>5145050000</v>
      </c>
      <c r="B312" s="705" t="s">
        <v>470</v>
      </c>
    </row>
    <row r="313" spans="1:2" x14ac:dyDescent="0.2">
      <c r="A313" s="705">
        <v>5145100000</v>
      </c>
      <c r="B313" s="705" t="s">
        <v>470</v>
      </c>
    </row>
    <row r="314" spans="1:2" x14ac:dyDescent="0.2">
      <c r="A314" s="705">
        <v>5145200000</v>
      </c>
      <c r="B314" s="705" t="s">
        <v>470</v>
      </c>
    </row>
    <row r="315" spans="1:2" x14ac:dyDescent="0.2">
      <c r="A315" s="705">
        <v>5145250000</v>
      </c>
      <c r="B315" s="705" t="s">
        <v>470</v>
      </c>
    </row>
    <row r="316" spans="1:2" x14ac:dyDescent="0.2">
      <c r="A316" s="705">
        <v>5150050000</v>
      </c>
      <c r="B316" s="705" t="s">
        <v>470</v>
      </c>
    </row>
    <row r="317" spans="1:2" x14ac:dyDescent="0.2">
      <c r="A317" s="705">
        <v>5150100000</v>
      </c>
      <c r="B317" s="705" t="s">
        <v>470</v>
      </c>
    </row>
    <row r="318" spans="1:2" x14ac:dyDescent="0.2">
      <c r="A318" s="705">
        <v>5150150000</v>
      </c>
      <c r="B318" s="705" t="s">
        <v>470</v>
      </c>
    </row>
    <row r="319" spans="1:2" x14ac:dyDescent="0.2">
      <c r="A319" s="705">
        <v>5150950000</v>
      </c>
      <c r="B319" s="705" t="s">
        <v>470</v>
      </c>
    </row>
    <row r="320" spans="1:2" x14ac:dyDescent="0.2">
      <c r="A320" s="705">
        <v>5195150000</v>
      </c>
      <c r="B320" s="705" t="s">
        <v>470</v>
      </c>
    </row>
    <row r="321" spans="1:2" x14ac:dyDescent="0.2">
      <c r="A321" s="705">
        <v>5195250000</v>
      </c>
      <c r="B321" s="705" t="s">
        <v>470</v>
      </c>
    </row>
    <row r="322" spans="1:2" x14ac:dyDescent="0.2">
      <c r="A322" s="705">
        <v>5195400000</v>
      </c>
      <c r="B322" s="705" t="s">
        <v>470</v>
      </c>
    </row>
    <row r="323" spans="1:2" x14ac:dyDescent="0.2">
      <c r="A323" s="727">
        <v>5140050000</v>
      </c>
      <c r="B323" s="705" t="s">
        <v>471</v>
      </c>
    </row>
    <row r="324" spans="1:2" x14ac:dyDescent="0.2">
      <c r="A324" s="727">
        <v>5140100000</v>
      </c>
      <c r="B324" s="705" t="s">
        <v>472</v>
      </c>
    </row>
    <row r="325" spans="1:2" x14ac:dyDescent="0.2">
      <c r="A325" s="705">
        <v>5105210000</v>
      </c>
      <c r="B325" s="705" t="s">
        <v>473</v>
      </c>
    </row>
    <row r="326" spans="1:2" x14ac:dyDescent="0.2">
      <c r="A326" s="705">
        <v>5155050000</v>
      </c>
      <c r="B326" s="705" t="s">
        <v>473</v>
      </c>
    </row>
    <row r="327" spans="1:2" x14ac:dyDescent="0.2">
      <c r="A327" s="705">
        <v>5155060000</v>
      </c>
      <c r="B327" s="705" t="s">
        <v>473</v>
      </c>
    </row>
    <row r="328" spans="1:2" x14ac:dyDescent="0.2">
      <c r="A328" s="705">
        <v>5155150000</v>
      </c>
      <c r="B328" s="705" t="s">
        <v>473</v>
      </c>
    </row>
    <row r="329" spans="1:2" x14ac:dyDescent="0.2">
      <c r="A329" s="705">
        <v>5155200000</v>
      </c>
      <c r="B329" s="705" t="s">
        <v>473</v>
      </c>
    </row>
    <row r="330" spans="1:2" x14ac:dyDescent="0.2">
      <c r="A330" s="705">
        <v>5155950000</v>
      </c>
      <c r="B330" s="705" t="s">
        <v>473</v>
      </c>
    </row>
    <row r="332" spans="1:2" x14ac:dyDescent="0.2">
      <c r="B332" s="705" t="s">
        <v>474</v>
      </c>
    </row>
    <row r="333" spans="1:2" x14ac:dyDescent="0.2">
      <c r="A333" s="705">
        <v>5135950300</v>
      </c>
      <c r="B333" s="705" t="s">
        <v>475</v>
      </c>
    </row>
    <row r="334" spans="1:2" x14ac:dyDescent="0.2">
      <c r="A334" s="705">
        <v>5198530000</v>
      </c>
      <c r="B334" s="705" t="s">
        <v>475</v>
      </c>
    </row>
    <row r="335" spans="1:2" x14ac:dyDescent="0.2">
      <c r="A335" s="705">
        <v>5398050000</v>
      </c>
      <c r="B335" s="705" t="s">
        <v>475</v>
      </c>
    </row>
    <row r="336" spans="1:2" x14ac:dyDescent="0.2">
      <c r="A336" s="705">
        <v>5398210000</v>
      </c>
      <c r="B336" s="705" t="s">
        <v>476</v>
      </c>
    </row>
    <row r="337" spans="1:2" x14ac:dyDescent="0.2">
      <c r="A337" s="705">
        <v>5110358000</v>
      </c>
      <c r="B337" s="705" t="s">
        <v>477</v>
      </c>
    </row>
    <row r="338" spans="1:2" x14ac:dyDescent="0.2">
      <c r="A338" s="705">
        <v>5210358000</v>
      </c>
      <c r="B338" s="705" t="s">
        <v>477</v>
      </c>
    </row>
    <row r="340" spans="1:2" x14ac:dyDescent="0.2">
      <c r="B340" s="705" t="s">
        <v>478</v>
      </c>
    </row>
    <row r="341" spans="1:2" x14ac:dyDescent="0.2">
      <c r="A341" s="705">
        <v>4210200100</v>
      </c>
      <c r="B341" s="705" t="s">
        <v>479</v>
      </c>
    </row>
    <row r="342" spans="1:2" x14ac:dyDescent="0.2">
      <c r="A342" s="705">
        <v>4210200200</v>
      </c>
      <c r="B342" s="705" t="s">
        <v>479</v>
      </c>
    </row>
    <row r="343" spans="1:2" x14ac:dyDescent="0.2">
      <c r="A343" s="705">
        <v>4210200400</v>
      </c>
      <c r="B343" s="705" t="s">
        <v>480</v>
      </c>
    </row>
    <row r="344" spans="1:2" x14ac:dyDescent="0.2">
      <c r="A344" s="705">
        <v>4210200500</v>
      </c>
      <c r="B344" s="705" t="s">
        <v>480</v>
      </c>
    </row>
    <row r="345" spans="1:2" x14ac:dyDescent="0.2">
      <c r="A345" s="705">
        <v>4210200501</v>
      </c>
      <c r="B345" s="705" t="s">
        <v>480</v>
      </c>
    </row>
    <row r="346" spans="1:2" x14ac:dyDescent="0.2">
      <c r="A346" s="705">
        <v>4210201000</v>
      </c>
      <c r="B346" s="705" t="s">
        <v>480</v>
      </c>
    </row>
    <row r="347" spans="1:2" x14ac:dyDescent="0.2">
      <c r="A347" s="705">
        <v>4210201001</v>
      </c>
      <c r="B347" s="705" t="s">
        <v>480</v>
      </c>
    </row>
    <row r="348" spans="1:2" x14ac:dyDescent="0.2">
      <c r="A348" s="705">
        <v>4210201100</v>
      </c>
      <c r="B348" s="705" t="s">
        <v>480</v>
      </c>
    </row>
    <row r="349" spans="1:2" x14ac:dyDescent="0.2">
      <c r="A349" s="705">
        <v>4210051000</v>
      </c>
      <c r="B349" s="705" t="s">
        <v>481</v>
      </c>
    </row>
    <row r="350" spans="1:2" x14ac:dyDescent="0.2">
      <c r="A350" s="705">
        <v>4210201000</v>
      </c>
      <c r="B350" s="705" t="s">
        <v>481</v>
      </c>
    </row>
    <row r="351" spans="1:2" x14ac:dyDescent="0.2">
      <c r="A351" s="705">
        <v>4210400000</v>
      </c>
      <c r="B351" s="705" t="s">
        <v>481</v>
      </c>
    </row>
    <row r="352" spans="1:2" x14ac:dyDescent="0.2">
      <c r="A352" s="705">
        <v>4245010000</v>
      </c>
      <c r="B352" s="705" t="s">
        <v>481</v>
      </c>
    </row>
    <row r="353" spans="1:2" x14ac:dyDescent="0.2">
      <c r="A353" s="705">
        <v>4250500100</v>
      </c>
      <c r="B353" s="705" t="s">
        <v>481</v>
      </c>
    </row>
    <row r="354" spans="1:2" x14ac:dyDescent="0.2">
      <c r="A354" s="705">
        <v>4250500200</v>
      </c>
      <c r="B354" s="705" t="s">
        <v>481</v>
      </c>
    </row>
    <row r="355" spans="1:2" x14ac:dyDescent="0.2">
      <c r="A355" s="705">
        <v>4250500300</v>
      </c>
      <c r="B355" s="705" t="s">
        <v>481</v>
      </c>
    </row>
    <row r="356" spans="1:2" x14ac:dyDescent="0.2">
      <c r="A356" s="705">
        <v>4250506600</v>
      </c>
      <c r="B356" s="705" t="s">
        <v>481</v>
      </c>
    </row>
    <row r="357" spans="1:2" x14ac:dyDescent="0.2">
      <c r="A357" s="705">
        <v>4255200000</v>
      </c>
      <c r="B357" s="705" t="s">
        <v>481</v>
      </c>
    </row>
    <row r="358" spans="1:2" x14ac:dyDescent="0.2">
      <c r="A358" s="705">
        <v>4295050000</v>
      </c>
      <c r="B358" s="705" t="s">
        <v>481</v>
      </c>
    </row>
    <row r="359" spans="1:2" x14ac:dyDescent="0.2">
      <c r="A359" s="705">
        <v>4295810000</v>
      </c>
      <c r="B359" s="705" t="s">
        <v>481</v>
      </c>
    </row>
    <row r="361" spans="1:2" x14ac:dyDescent="0.2">
      <c r="B361" s="705" t="s">
        <v>482</v>
      </c>
    </row>
    <row r="362" spans="1:2" x14ac:dyDescent="0.2">
      <c r="A362" s="705">
        <v>5305350000</v>
      </c>
      <c r="B362" s="705" t="s">
        <v>483</v>
      </c>
    </row>
    <row r="363" spans="1:2" x14ac:dyDescent="0.2">
      <c r="A363" s="705">
        <v>5310150000</v>
      </c>
      <c r="B363" s="705" t="s">
        <v>483</v>
      </c>
    </row>
    <row r="364" spans="1:2" x14ac:dyDescent="0.2">
      <c r="A364" s="705">
        <v>5310300000</v>
      </c>
      <c r="B364" s="705" t="s">
        <v>483</v>
      </c>
    </row>
    <row r="365" spans="1:2" x14ac:dyDescent="0.2">
      <c r="A365" s="705">
        <v>5310350000</v>
      </c>
      <c r="B365" s="705" t="s">
        <v>483</v>
      </c>
    </row>
    <row r="366" spans="1:2" x14ac:dyDescent="0.2">
      <c r="A366" s="705">
        <v>5313050000</v>
      </c>
      <c r="B366" s="705" t="s">
        <v>483</v>
      </c>
    </row>
    <row r="367" spans="1:2" x14ac:dyDescent="0.2">
      <c r="A367" s="705">
        <v>5315150200</v>
      </c>
      <c r="B367" s="705" t="s">
        <v>483</v>
      </c>
    </row>
    <row r="368" spans="1:2" x14ac:dyDescent="0.2">
      <c r="A368" s="705">
        <v>5315160000</v>
      </c>
      <c r="B368" s="705" t="s">
        <v>483</v>
      </c>
    </row>
    <row r="369" spans="1:3" x14ac:dyDescent="0.2">
      <c r="A369" s="705">
        <v>5315200000</v>
      </c>
      <c r="B369" s="705" t="s">
        <v>483</v>
      </c>
    </row>
    <row r="370" spans="1:3" x14ac:dyDescent="0.2">
      <c r="A370" s="705">
        <v>5315200100</v>
      </c>
      <c r="B370" s="705" t="s">
        <v>483</v>
      </c>
    </row>
    <row r="371" spans="1:3" x14ac:dyDescent="0.2">
      <c r="A371" s="705">
        <v>5315950000</v>
      </c>
      <c r="B371" s="705" t="s">
        <v>483</v>
      </c>
    </row>
    <row r="372" spans="1:3" x14ac:dyDescent="0.2">
      <c r="A372" s="705">
        <v>5395200000</v>
      </c>
      <c r="B372" s="705" t="s">
        <v>483</v>
      </c>
    </row>
    <row r="373" spans="1:3" x14ac:dyDescent="0.2">
      <c r="A373" s="705">
        <v>5395300000</v>
      </c>
      <c r="B373" s="705" t="s">
        <v>483</v>
      </c>
    </row>
    <row r="374" spans="1:3" x14ac:dyDescent="0.2">
      <c r="A374" s="705">
        <v>5395950000</v>
      </c>
      <c r="B374" s="705" t="s">
        <v>483</v>
      </c>
    </row>
    <row r="375" spans="1:3" x14ac:dyDescent="0.2">
      <c r="A375" s="705">
        <v>5305250500</v>
      </c>
      <c r="B375" s="705" t="s">
        <v>484</v>
      </c>
    </row>
    <row r="376" spans="1:3" x14ac:dyDescent="0.2">
      <c r="A376" s="705">
        <v>5305050000</v>
      </c>
      <c r="B376" s="705" t="s">
        <v>485</v>
      </c>
      <c r="C376" s="705">
        <v>5305050000</v>
      </c>
    </row>
    <row r="377" spans="1:3" x14ac:dyDescent="0.2">
      <c r="A377" s="705">
        <v>5305150000</v>
      </c>
      <c r="B377" s="705" t="s">
        <v>485</v>
      </c>
      <c r="C377" s="705">
        <v>5305200100</v>
      </c>
    </row>
    <row r="378" spans="1:3" x14ac:dyDescent="0.2">
      <c r="A378" s="705">
        <v>5305200100</v>
      </c>
      <c r="B378" s="705" t="s">
        <v>485</v>
      </c>
      <c r="C378" s="705">
        <v>5305202200</v>
      </c>
    </row>
    <row r="379" spans="1:3" x14ac:dyDescent="0.2">
      <c r="A379" s="705">
        <v>5305200200</v>
      </c>
      <c r="B379" s="705" t="s">
        <v>485</v>
      </c>
      <c r="C379" s="705">
        <v>5305150000</v>
      </c>
    </row>
    <row r="380" spans="1:3" x14ac:dyDescent="0.2">
      <c r="A380" s="705">
        <v>5305200300</v>
      </c>
      <c r="B380" s="705" t="s">
        <v>485</v>
      </c>
      <c r="C380" s="705">
        <v>5305200101</v>
      </c>
    </row>
    <row r="381" spans="1:3" x14ac:dyDescent="0.2">
      <c r="A381" s="705">
        <v>5305200400</v>
      </c>
      <c r="B381" s="705" t="s">
        <v>485</v>
      </c>
    </row>
    <row r="382" spans="1:3" x14ac:dyDescent="0.2">
      <c r="A382" s="705">
        <v>5305950000</v>
      </c>
      <c r="B382" s="705" t="s">
        <v>485</v>
      </c>
    </row>
    <row r="383" spans="1:3" x14ac:dyDescent="0.2">
      <c r="A383" s="705">
        <v>5315150000</v>
      </c>
      <c r="B383" s="705" t="s">
        <v>485</v>
      </c>
    </row>
    <row r="385" spans="1:2" x14ac:dyDescent="0.2">
      <c r="A385" s="705">
        <v>5405050100</v>
      </c>
      <c r="B385" s="705" t="s">
        <v>486</v>
      </c>
    </row>
    <row r="389" spans="1:2" x14ac:dyDescent="0.2">
      <c r="B389" s="705" t="s">
        <v>410</v>
      </c>
    </row>
    <row r="390" spans="1:2" x14ac:dyDescent="0.2">
      <c r="A390" s="705">
        <v>5205180100</v>
      </c>
      <c r="B390" s="705" t="s">
        <v>423</v>
      </c>
    </row>
    <row r="391" spans="1:2" x14ac:dyDescent="0.2">
      <c r="A391" s="705">
        <v>5205361000</v>
      </c>
      <c r="B391" s="705" t="s">
        <v>425</v>
      </c>
    </row>
    <row r="392" spans="1:2" x14ac:dyDescent="0.2">
      <c r="A392" s="705">
        <v>5205391000</v>
      </c>
      <c r="B392" s="705" t="s">
        <v>425</v>
      </c>
    </row>
    <row r="393" spans="1:2" x14ac:dyDescent="0.2">
      <c r="A393" s="705">
        <v>5205422000</v>
      </c>
      <c r="B393" s="705" t="s">
        <v>425</v>
      </c>
    </row>
    <row r="394" spans="1:2" x14ac:dyDescent="0.2">
      <c r="A394" s="705">
        <v>5205691000</v>
      </c>
      <c r="B394" s="705" t="s">
        <v>425</v>
      </c>
    </row>
    <row r="395" spans="1:2" x14ac:dyDescent="0.2">
      <c r="A395" s="705">
        <v>5205701000</v>
      </c>
      <c r="B395" s="705" t="s">
        <v>425</v>
      </c>
    </row>
    <row r="396" spans="1:2" x14ac:dyDescent="0.2">
      <c r="A396" s="705">
        <v>5205060100</v>
      </c>
      <c r="B396" s="705" t="s">
        <v>442</v>
      </c>
    </row>
    <row r="397" spans="1:2" x14ac:dyDescent="0.2">
      <c r="A397" s="705">
        <v>5205150100</v>
      </c>
      <c r="B397" s="705" t="s">
        <v>442</v>
      </c>
    </row>
    <row r="398" spans="1:2" x14ac:dyDescent="0.2">
      <c r="A398" s="705">
        <v>5205360100</v>
      </c>
      <c r="B398" s="705" t="s">
        <v>443</v>
      </c>
    </row>
    <row r="399" spans="1:2" x14ac:dyDescent="0.2">
      <c r="A399" s="705">
        <v>5205390100</v>
      </c>
      <c r="B399" s="705" t="s">
        <v>443</v>
      </c>
    </row>
    <row r="400" spans="1:2" x14ac:dyDescent="0.2">
      <c r="A400" s="705">
        <v>5205600100</v>
      </c>
      <c r="B400" s="705" t="s">
        <v>443</v>
      </c>
    </row>
    <row r="401" spans="1:2" x14ac:dyDescent="0.2">
      <c r="A401" s="705">
        <v>5205690100</v>
      </c>
      <c r="B401" s="705" t="s">
        <v>443</v>
      </c>
    </row>
    <row r="402" spans="1:2" x14ac:dyDescent="0.2">
      <c r="A402" s="705">
        <v>5205700100</v>
      </c>
      <c r="B402" s="705" t="s">
        <v>443</v>
      </c>
    </row>
    <row r="403" spans="1:2" x14ac:dyDescent="0.2">
      <c r="A403" s="705">
        <v>5205700100</v>
      </c>
      <c r="B403" s="705" t="s">
        <v>443</v>
      </c>
    </row>
    <row r="404" spans="1:2" x14ac:dyDescent="0.2">
      <c r="A404" s="705">
        <v>5205700200</v>
      </c>
      <c r="B404" s="705" t="s">
        <v>443</v>
      </c>
    </row>
    <row r="405" spans="1:2" x14ac:dyDescent="0.2">
      <c r="A405" s="705">
        <v>5205780100</v>
      </c>
      <c r="B405" s="705" t="s">
        <v>443</v>
      </c>
    </row>
    <row r="406" spans="1:2" x14ac:dyDescent="0.2">
      <c r="A406" s="705">
        <v>5105060000</v>
      </c>
      <c r="B406" s="705" t="s">
        <v>458</v>
      </c>
    </row>
    <row r="407" spans="1:2" x14ac:dyDescent="0.2">
      <c r="A407" s="705">
        <v>5105150000</v>
      </c>
      <c r="B407" s="705" t="s">
        <v>458</v>
      </c>
    </row>
    <row r="408" spans="1:2" x14ac:dyDescent="0.2">
      <c r="A408" s="705">
        <v>5105360000</v>
      </c>
      <c r="B408" s="705" t="s">
        <v>459</v>
      </c>
    </row>
    <row r="409" spans="1:2" x14ac:dyDescent="0.2">
      <c r="A409" s="705">
        <v>5105390000</v>
      </c>
      <c r="B409" s="705" t="s">
        <v>459</v>
      </c>
    </row>
    <row r="410" spans="1:2" x14ac:dyDescent="0.2">
      <c r="A410" s="705">
        <v>5105600000</v>
      </c>
      <c r="B410" s="705" t="s">
        <v>459</v>
      </c>
    </row>
    <row r="411" spans="1:2" x14ac:dyDescent="0.2">
      <c r="A411" s="705">
        <v>5105690000</v>
      </c>
      <c r="B411" s="705" t="s">
        <v>459</v>
      </c>
    </row>
    <row r="412" spans="1:2" x14ac:dyDescent="0.2">
      <c r="A412" s="705">
        <v>5105700000</v>
      </c>
      <c r="B412" s="705" t="s">
        <v>459</v>
      </c>
    </row>
    <row r="413" spans="1:2" x14ac:dyDescent="0.2">
      <c r="A413" s="705">
        <v>5105780000</v>
      </c>
      <c r="B413" s="705" t="s">
        <v>459</v>
      </c>
    </row>
    <row r="414" spans="1:2" x14ac:dyDescent="0.2">
      <c r="A414" s="705">
        <v>5105950000</v>
      </c>
      <c r="B414" s="705" t="s">
        <v>459</v>
      </c>
    </row>
    <row r="415" spans="1:2" x14ac:dyDescent="0.2">
      <c r="A415" s="705">
        <v>5105180000</v>
      </c>
      <c r="B415" s="705" t="s">
        <v>460</v>
      </c>
    </row>
    <row r="416" spans="1:2" x14ac:dyDescent="0.2">
      <c r="A416" s="705">
        <v>5105391000</v>
      </c>
      <c r="B416" s="705" t="s">
        <v>462</v>
      </c>
    </row>
    <row r="417" spans="1:3" x14ac:dyDescent="0.2">
      <c r="A417" s="705">
        <v>5105691000</v>
      </c>
      <c r="B417" s="705" t="s">
        <v>462</v>
      </c>
    </row>
    <row r="418" spans="1:3" x14ac:dyDescent="0.2">
      <c r="A418" s="705">
        <v>5105701000</v>
      </c>
      <c r="B418" s="705" t="s">
        <v>462</v>
      </c>
    </row>
    <row r="421" spans="1:3" x14ac:dyDescent="0.2">
      <c r="A421" s="705">
        <v>5160100000</v>
      </c>
      <c r="B421" s="705" t="s">
        <v>487</v>
      </c>
      <c r="C421" s="705" t="s">
        <v>488</v>
      </c>
    </row>
    <row r="427" spans="1:3" x14ac:dyDescent="0.2">
      <c r="A427" s="707" t="s">
        <v>489</v>
      </c>
    </row>
    <row r="428" spans="1:3" x14ac:dyDescent="0.2">
      <c r="A428" s="705">
        <v>1105050100</v>
      </c>
      <c r="B428" s="705" t="s">
        <v>490</v>
      </c>
      <c r="C428" s="708">
        <v>153078</v>
      </c>
    </row>
    <row r="429" spans="1:3" x14ac:dyDescent="0.2">
      <c r="A429" s="705">
        <v>1105100200</v>
      </c>
      <c r="B429" s="705" t="s">
        <v>491</v>
      </c>
      <c r="C429" s="708">
        <v>7650000</v>
      </c>
    </row>
    <row r="430" spans="1:3" x14ac:dyDescent="0.2">
      <c r="A430" s="705">
        <v>1110050101</v>
      </c>
      <c r="B430" s="705" t="s">
        <v>492</v>
      </c>
      <c r="C430" s="708">
        <v>87094833.519999996</v>
      </c>
    </row>
    <row r="431" spans="1:3" x14ac:dyDescent="0.2">
      <c r="A431" s="705">
        <v>1110050106</v>
      </c>
      <c r="B431" s="705" t="s">
        <v>493</v>
      </c>
      <c r="C431" s="708">
        <v>4020934.46</v>
      </c>
    </row>
    <row r="432" spans="1:3" x14ac:dyDescent="0.2">
      <c r="A432" s="705">
        <v>1110050108</v>
      </c>
      <c r="B432" s="705" t="s">
        <v>494</v>
      </c>
      <c r="C432" s="708">
        <v>2182803.0099999998</v>
      </c>
    </row>
    <row r="433" spans="1:3" x14ac:dyDescent="0.2">
      <c r="A433" s="705">
        <v>1110050110</v>
      </c>
      <c r="B433" s="705" t="s">
        <v>495</v>
      </c>
      <c r="C433" s="708">
        <v>562187.67000000004</v>
      </c>
    </row>
    <row r="434" spans="1:3" x14ac:dyDescent="0.2">
      <c r="A434" s="705">
        <v>1110050111</v>
      </c>
      <c r="B434" s="705" t="s">
        <v>496</v>
      </c>
      <c r="C434" s="708">
        <v>4855691.87</v>
      </c>
    </row>
    <row r="435" spans="1:3" x14ac:dyDescent="0.2">
      <c r="A435" s="705">
        <v>1110100101</v>
      </c>
      <c r="B435" s="705" t="s">
        <v>497</v>
      </c>
      <c r="C435" s="708">
        <v>6300643.9299999997</v>
      </c>
    </row>
    <row r="436" spans="1:3" x14ac:dyDescent="0.2">
      <c r="A436" s="705">
        <v>1125100200</v>
      </c>
      <c r="B436" s="705" t="s">
        <v>498</v>
      </c>
      <c r="C436" s="708">
        <v>1355004.36</v>
      </c>
    </row>
    <row r="437" spans="1:3" x14ac:dyDescent="0.2">
      <c r="A437" s="705">
        <v>1130050100</v>
      </c>
      <c r="B437" s="705" t="s">
        <v>499</v>
      </c>
      <c r="C437" s="708">
        <v>377428.44</v>
      </c>
    </row>
    <row r="438" spans="1:3" x14ac:dyDescent="0.2">
      <c r="A438" s="707"/>
      <c r="C438" s="708">
        <f>SUM(C428:C437)</f>
        <v>114552605.26000001</v>
      </c>
    </row>
    <row r="439" spans="1:3" x14ac:dyDescent="0.2">
      <c r="A439" s="707"/>
    </row>
    <row r="440" spans="1:3" x14ac:dyDescent="0.2">
      <c r="A440" s="705">
        <v>1101</v>
      </c>
      <c r="B440" s="705" t="s">
        <v>500</v>
      </c>
    </row>
    <row r="441" spans="1:3" x14ac:dyDescent="0.2">
      <c r="A441" s="705">
        <v>1102</v>
      </c>
      <c r="B441" s="705" t="s">
        <v>501</v>
      </c>
    </row>
    <row r="442" spans="1:3" x14ac:dyDescent="0.2">
      <c r="A442" s="705">
        <v>1103</v>
      </c>
      <c r="B442" s="705" t="s">
        <v>502</v>
      </c>
    </row>
    <row r="443" spans="1:3" x14ac:dyDescent="0.2">
      <c r="A443" s="705">
        <v>1104</v>
      </c>
      <c r="B443" s="705" t="s">
        <v>503</v>
      </c>
    </row>
    <row r="444" spans="1:3" x14ac:dyDescent="0.2">
      <c r="A444" s="705" t="s">
        <v>504</v>
      </c>
      <c r="B444" s="705" t="s">
        <v>505</v>
      </c>
    </row>
    <row r="445" spans="1:3" x14ac:dyDescent="0.2">
      <c r="A445" s="705">
        <v>1106</v>
      </c>
      <c r="B445" s="705" t="s">
        <v>506</v>
      </c>
    </row>
    <row r="446" spans="1:3" x14ac:dyDescent="0.2">
      <c r="B446" s="705" t="s">
        <v>507</v>
      </c>
    </row>
    <row r="448" spans="1:3" x14ac:dyDescent="0.2">
      <c r="B448" s="705" t="s">
        <v>508</v>
      </c>
    </row>
    <row r="450" spans="1:2" x14ac:dyDescent="0.2">
      <c r="B450" s="705" t="s">
        <v>118</v>
      </c>
    </row>
    <row r="451" spans="1:2" x14ac:dyDescent="0.2">
      <c r="A451" s="705">
        <v>1201</v>
      </c>
      <c r="B451" s="705" t="s">
        <v>509</v>
      </c>
    </row>
    <row r="452" spans="1:2" x14ac:dyDescent="0.2">
      <c r="A452" s="705">
        <v>1202</v>
      </c>
      <c r="B452" s="705" t="s">
        <v>510</v>
      </c>
    </row>
    <row r="453" spans="1:2" x14ac:dyDescent="0.2">
      <c r="A453" s="705">
        <v>1203</v>
      </c>
      <c r="B453" s="705" t="s">
        <v>511</v>
      </c>
    </row>
    <row r="454" spans="1:2" x14ac:dyDescent="0.2">
      <c r="A454" s="705">
        <v>1204</v>
      </c>
      <c r="B454" s="705" t="s">
        <v>512</v>
      </c>
    </row>
    <row r="455" spans="1:2" x14ac:dyDescent="0.2">
      <c r="A455" s="705">
        <v>1205</v>
      </c>
      <c r="B455" s="705" t="s">
        <v>513</v>
      </c>
    </row>
    <row r="456" spans="1:2" x14ac:dyDescent="0.2">
      <c r="A456" s="705">
        <v>1206</v>
      </c>
      <c r="B456" s="705" t="s">
        <v>514</v>
      </c>
    </row>
    <row r="458" spans="1:2" x14ac:dyDescent="0.2">
      <c r="B458" s="705" t="s">
        <v>515</v>
      </c>
    </row>
    <row r="460" spans="1:2" x14ac:dyDescent="0.2">
      <c r="B460" s="705" t="s">
        <v>516</v>
      </c>
    </row>
    <row r="461" spans="1:2" x14ac:dyDescent="0.2">
      <c r="A461" s="705">
        <v>1208</v>
      </c>
      <c r="B461" s="705" t="s">
        <v>517</v>
      </c>
    </row>
    <row r="463" spans="1:2" x14ac:dyDescent="0.2">
      <c r="B463" s="705" t="s">
        <v>119</v>
      </c>
    </row>
    <row r="464" spans="1:2" x14ac:dyDescent="0.2">
      <c r="A464" s="705" t="s">
        <v>518</v>
      </c>
      <c r="B464" s="705" t="s">
        <v>519</v>
      </c>
    </row>
    <row r="465" spans="1:2" x14ac:dyDescent="0.2">
      <c r="A465" s="705">
        <v>1210</v>
      </c>
      <c r="B465" s="705" t="s">
        <v>520</v>
      </c>
    </row>
    <row r="466" spans="1:2" x14ac:dyDescent="0.2">
      <c r="A466" s="705">
        <v>1211</v>
      </c>
      <c r="B466" s="705" t="s">
        <v>521</v>
      </c>
    </row>
    <row r="467" spans="1:2" x14ac:dyDescent="0.2">
      <c r="A467" s="705">
        <v>1212</v>
      </c>
      <c r="B467" s="705" t="s">
        <v>522</v>
      </c>
    </row>
    <row r="468" spans="1:2" x14ac:dyDescent="0.2">
      <c r="B468" s="705" t="s">
        <v>523</v>
      </c>
    </row>
    <row r="470" spans="1:2" x14ac:dyDescent="0.2">
      <c r="B470" s="705" t="s">
        <v>120</v>
      </c>
    </row>
    <row r="471" spans="1:2" x14ac:dyDescent="0.2">
      <c r="A471" s="705">
        <v>1214</v>
      </c>
      <c r="B471" s="705" t="s">
        <v>524</v>
      </c>
    </row>
    <row r="472" spans="1:2" x14ac:dyDescent="0.2">
      <c r="A472" s="705">
        <v>1242</v>
      </c>
      <c r="B472" s="705" t="s">
        <v>525</v>
      </c>
    </row>
    <row r="473" spans="1:2" x14ac:dyDescent="0.2">
      <c r="A473" s="705">
        <v>1243</v>
      </c>
      <c r="B473" s="705" t="s">
        <v>526</v>
      </c>
    </row>
    <row r="474" spans="1:2" x14ac:dyDescent="0.2">
      <c r="A474" s="705">
        <v>1244</v>
      </c>
      <c r="B474" s="705" t="s">
        <v>527</v>
      </c>
    </row>
    <row r="475" spans="1:2" x14ac:dyDescent="0.2">
      <c r="A475" s="705">
        <v>1245</v>
      </c>
      <c r="B475" s="705" t="s">
        <v>528</v>
      </c>
    </row>
    <row r="476" spans="1:2" x14ac:dyDescent="0.2">
      <c r="A476" s="705">
        <v>1246</v>
      </c>
      <c r="B476" s="705" t="s">
        <v>529</v>
      </c>
    </row>
    <row r="477" spans="1:2" x14ac:dyDescent="0.2">
      <c r="A477" s="705">
        <v>1215</v>
      </c>
      <c r="B477" s="705" t="s">
        <v>530</v>
      </c>
    </row>
    <row r="478" spans="1:2" x14ac:dyDescent="0.2">
      <c r="A478" s="705">
        <v>1216</v>
      </c>
      <c r="B478" s="705" t="s">
        <v>531</v>
      </c>
    </row>
    <row r="479" spans="1:2" x14ac:dyDescent="0.2">
      <c r="A479" s="705">
        <v>1217</v>
      </c>
      <c r="B479" s="705" t="s">
        <v>532</v>
      </c>
    </row>
    <row r="480" spans="1:2" x14ac:dyDescent="0.2">
      <c r="A480" s="705">
        <v>1218</v>
      </c>
      <c r="B480" s="705" t="s">
        <v>533</v>
      </c>
    </row>
    <row r="481" spans="1:2" x14ac:dyDescent="0.2">
      <c r="A481" s="705">
        <v>1219</v>
      </c>
      <c r="B481" s="705" t="s">
        <v>534</v>
      </c>
    </row>
    <row r="482" spans="1:2" x14ac:dyDescent="0.2">
      <c r="A482" s="705">
        <v>1220</v>
      </c>
      <c r="B482" s="705" t="s">
        <v>535</v>
      </c>
    </row>
    <row r="483" spans="1:2" x14ac:dyDescent="0.2">
      <c r="A483" s="705">
        <v>1221</v>
      </c>
      <c r="B483" s="705" t="s">
        <v>536</v>
      </c>
    </row>
    <row r="484" spans="1:2" x14ac:dyDescent="0.2">
      <c r="A484" s="705">
        <v>1222</v>
      </c>
      <c r="B484" s="705" t="s">
        <v>537</v>
      </c>
    </row>
    <row r="485" spans="1:2" x14ac:dyDescent="0.2">
      <c r="A485" s="705">
        <v>1223</v>
      </c>
      <c r="B485" s="705" t="s">
        <v>538</v>
      </c>
    </row>
    <row r="486" spans="1:2" x14ac:dyDescent="0.2">
      <c r="A486" s="705">
        <v>1224</v>
      </c>
      <c r="B486" s="705" t="s">
        <v>539</v>
      </c>
    </row>
    <row r="487" spans="1:2" x14ac:dyDescent="0.2">
      <c r="A487" s="705">
        <v>1225</v>
      </c>
      <c r="B487" s="705" t="s">
        <v>540</v>
      </c>
    </row>
    <row r="488" spans="1:2" x14ac:dyDescent="0.2">
      <c r="A488" s="705">
        <v>1226</v>
      </c>
      <c r="B488" s="705" t="s">
        <v>541</v>
      </c>
    </row>
    <row r="489" spans="1:2" x14ac:dyDescent="0.2">
      <c r="A489" s="705">
        <v>1227</v>
      </c>
      <c r="B489" s="705" t="s">
        <v>542</v>
      </c>
    </row>
    <row r="490" spans="1:2" x14ac:dyDescent="0.2">
      <c r="A490" s="705">
        <v>1228</v>
      </c>
      <c r="B490" s="705" t="s">
        <v>543</v>
      </c>
    </row>
    <row r="491" spans="1:2" x14ac:dyDescent="0.2">
      <c r="A491" s="705">
        <v>1229</v>
      </c>
      <c r="B491" s="705" t="s">
        <v>544</v>
      </c>
    </row>
    <row r="492" spans="1:2" x14ac:dyDescent="0.2">
      <c r="A492" s="705">
        <v>1230</v>
      </c>
      <c r="B492" s="705" t="s">
        <v>545</v>
      </c>
    </row>
    <row r="493" spans="1:2" x14ac:dyDescent="0.2">
      <c r="A493" s="705">
        <v>1231</v>
      </c>
      <c r="B493" s="705" t="s">
        <v>546</v>
      </c>
    </row>
    <row r="494" spans="1:2" x14ac:dyDescent="0.2">
      <c r="A494" s="705">
        <v>1232</v>
      </c>
      <c r="B494" s="705" t="s">
        <v>547</v>
      </c>
    </row>
    <row r="495" spans="1:2" x14ac:dyDescent="0.2">
      <c r="A495" s="705">
        <v>1233</v>
      </c>
      <c r="B495" s="705" t="s">
        <v>548</v>
      </c>
    </row>
    <row r="496" spans="1:2" x14ac:dyDescent="0.2">
      <c r="A496" s="705">
        <v>1234</v>
      </c>
      <c r="B496" s="705" t="s">
        <v>549</v>
      </c>
    </row>
    <row r="497" spans="1:2" x14ac:dyDescent="0.2">
      <c r="A497" s="705">
        <v>1235</v>
      </c>
      <c r="B497" s="705" t="s">
        <v>550</v>
      </c>
    </row>
    <row r="498" spans="1:2" x14ac:dyDescent="0.2">
      <c r="A498" s="705">
        <v>1236</v>
      </c>
      <c r="B498" s="705" t="s">
        <v>551</v>
      </c>
    </row>
    <row r="499" spans="1:2" x14ac:dyDescent="0.2">
      <c r="A499" s="705">
        <v>1237</v>
      </c>
      <c r="B499" s="705" t="s">
        <v>552</v>
      </c>
    </row>
    <row r="500" spans="1:2" x14ac:dyDescent="0.2">
      <c r="A500" s="705">
        <v>1238</v>
      </c>
      <c r="B500" s="705" t="s">
        <v>553</v>
      </c>
    </row>
    <row r="501" spans="1:2" x14ac:dyDescent="0.2">
      <c r="A501" s="705">
        <v>1239</v>
      </c>
      <c r="B501" s="705" t="s">
        <v>554</v>
      </c>
    </row>
    <row r="502" spans="1:2" x14ac:dyDescent="0.2">
      <c r="A502" s="705">
        <v>1240</v>
      </c>
      <c r="B502" s="705" t="s">
        <v>555</v>
      </c>
    </row>
    <row r="503" spans="1:2" x14ac:dyDescent="0.2">
      <c r="A503" s="705">
        <v>1241</v>
      </c>
      <c r="B503" s="705" t="s">
        <v>556</v>
      </c>
    </row>
    <row r="504" spans="1:2" x14ac:dyDescent="0.2">
      <c r="B504" s="705" t="s">
        <v>557</v>
      </c>
    </row>
    <row r="506" spans="1:2" x14ac:dyDescent="0.2">
      <c r="B506" s="705" t="s">
        <v>558</v>
      </c>
    </row>
    <row r="508" spans="1:2" x14ac:dyDescent="0.2">
      <c r="B508" s="705" t="s">
        <v>559</v>
      </c>
    </row>
    <row r="510" spans="1:2" x14ac:dyDescent="0.2">
      <c r="B510" s="705" t="s">
        <v>560</v>
      </c>
    </row>
    <row r="512" spans="1:2" x14ac:dyDescent="0.2">
      <c r="B512" s="705" t="s">
        <v>561</v>
      </c>
    </row>
    <row r="513" spans="1:2" x14ac:dyDescent="0.2">
      <c r="A513" s="705">
        <v>2101</v>
      </c>
      <c r="B513" s="705" t="s">
        <v>562</v>
      </c>
    </row>
    <row r="514" spans="1:2" x14ac:dyDescent="0.2">
      <c r="A514" s="705">
        <v>2102</v>
      </c>
      <c r="B514" s="705" t="s">
        <v>563</v>
      </c>
    </row>
    <row r="515" spans="1:2" x14ac:dyDescent="0.2">
      <c r="A515" s="705">
        <v>2103</v>
      </c>
      <c r="B515" s="705" t="s">
        <v>564</v>
      </c>
    </row>
    <row r="516" spans="1:2" x14ac:dyDescent="0.2">
      <c r="A516" s="705">
        <v>1207</v>
      </c>
      <c r="B516" s="705" t="s">
        <v>565</v>
      </c>
    </row>
    <row r="517" spans="1:2" x14ac:dyDescent="0.2">
      <c r="B517" s="705" t="s">
        <v>566</v>
      </c>
    </row>
    <row r="519" spans="1:2" x14ac:dyDescent="0.2">
      <c r="B519" s="705" t="s">
        <v>121</v>
      </c>
    </row>
    <row r="520" spans="1:2" x14ac:dyDescent="0.2">
      <c r="A520" s="705">
        <v>3101</v>
      </c>
      <c r="B520" s="705" t="s">
        <v>567</v>
      </c>
    </row>
    <row r="521" spans="1:2" x14ac:dyDescent="0.2">
      <c r="A521" s="705" t="s">
        <v>568</v>
      </c>
      <c r="B521" s="705" t="s">
        <v>569</v>
      </c>
    </row>
    <row r="522" spans="1:2" x14ac:dyDescent="0.2">
      <c r="A522" s="705">
        <v>3103</v>
      </c>
      <c r="B522" s="705" t="s">
        <v>570</v>
      </c>
    </row>
    <row r="523" spans="1:2" x14ac:dyDescent="0.2">
      <c r="A523" s="705">
        <v>3104</v>
      </c>
      <c r="B523" s="705" t="s">
        <v>571</v>
      </c>
    </row>
    <row r="524" spans="1:2" x14ac:dyDescent="0.2">
      <c r="B524" s="705" t="s">
        <v>572</v>
      </c>
    </row>
    <row r="526" spans="1:2" x14ac:dyDescent="0.2">
      <c r="B526" s="705" t="s">
        <v>573</v>
      </c>
    </row>
    <row r="534" spans="1:12" x14ac:dyDescent="0.2">
      <c r="B534" s="705" t="s">
        <v>574</v>
      </c>
    </row>
    <row r="535" spans="1:12" x14ac:dyDescent="0.2">
      <c r="B535" s="705" t="s">
        <v>575</v>
      </c>
    </row>
    <row r="536" spans="1:12" x14ac:dyDescent="0.2">
      <c r="A536" s="705">
        <v>5101</v>
      </c>
      <c r="B536" s="705" t="s">
        <v>576</v>
      </c>
    </row>
    <row r="537" spans="1:12" x14ac:dyDescent="0.2">
      <c r="A537" s="705">
        <v>5102</v>
      </c>
      <c r="B537" s="705" t="s">
        <v>577</v>
      </c>
    </row>
    <row r="538" spans="1:12" x14ac:dyDescent="0.2">
      <c r="A538" s="705">
        <v>5103</v>
      </c>
      <c r="B538" s="705" t="s">
        <v>578</v>
      </c>
    </row>
    <row r="539" spans="1:12" x14ac:dyDescent="0.2">
      <c r="A539" s="705">
        <v>5104</v>
      </c>
      <c r="B539" s="705" t="s">
        <v>579</v>
      </c>
    </row>
    <row r="540" spans="1:12" ht="15" x14ac:dyDescent="0.25">
      <c r="A540" s="705">
        <v>5105</v>
      </c>
      <c r="B540" s="705" t="s">
        <v>580</v>
      </c>
      <c r="E540" s="10" t="s">
        <v>581</v>
      </c>
      <c r="F540" s="10" t="s">
        <v>582</v>
      </c>
    </row>
    <row r="541" spans="1:12" x14ac:dyDescent="0.2">
      <c r="B541" s="705" t="s">
        <v>583</v>
      </c>
    </row>
    <row r="542" spans="1:12" ht="15" x14ac:dyDescent="0.25">
      <c r="E542" s="10" t="s">
        <v>584</v>
      </c>
      <c r="F542" s="10"/>
      <c r="G542" s="10"/>
      <c r="H542" s="10"/>
      <c r="I542" s="10"/>
      <c r="J542" s="10"/>
      <c r="K542" s="10"/>
      <c r="L542" s="10"/>
    </row>
    <row r="543" spans="1:12" ht="15" x14ac:dyDescent="0.25">
      <c r="B543" s="705" t="s">
        <v>573</v>
      </c>
      <c r="E543" s="10" t="s">
        <v>585</v>
      </c>
      <c r="F543" s="10" t="s">
        <v>586</v>
      </c>
      <c r="G543" s="10" t="s">
        <v>375</v>
      </c>
      <c r="H543" s="10"/>
      <c r="I543" s="10"/>
      <c r="J543" s="10"/>
      <c r="K543" s="10"/>
      <c r="L543" s="10"/>
    </row>
    <row r="544" spans="1:12" ht="15" x14ac:dyDescent="0.25">
      <c r="A544" s="705">
        <v>6190</v>
      </c>
      <c r="B544" s="705" t="s">
        <v>587</v>
      </c>
      <c r="E544" s="10" t="s">
        <v>588</v>
      </c>
      <c r="F544" s="10" t="s">
        <v>589</v>
      </c>
      <c r="G544" s="722">
        <v>15856000</v>
      </c>
      <c r="H544" s="10"/>
      <c r="I544" s="10"/>
      <c r="J544" s="10"/>
      <c r="K544" s="10"/>
      <c r="L544" s="10"/>
    </row>
    <row r="545" spans="1:12" ht="15" x14ac:dyDescent="0.25">
      <c r="A545" s="705">
        <v>7101</v>
      </c>
      <c r="B545" s="705" t="s">
        <v>590</v>
      </c>
      <c r="E545" s="10" t="s">
        <v>591</v>
      </c>
      <c r="F545" s="10" t="s">
        <v>592</v>
      </c>
      <c r="G545" s="722">
        <v>89381000</v>
      </c>
      <c r="H545" s="10"/>
      <c r="I545" s="10"/>
      <c r="J545" s="10"/>
      <c r="K545" s="10"/>
      <c r="L545" s="10"/>
    </row>
    <row r="546" spans="1:12" ht="15" x14ac:dyDescent="0.25">
      <c r="A546" s="705">
        <v>7102</v>
      </c>
      <c r="B546" s="705" t="s">
        <v>592</v>
      </c>
      <c r="E546" s="10" t="s">
        <v>593</v>
      </c>
      <c r="F546" s="10" t="s">
        <v>594</v>
      </c>
      <c r="G546" s="722">
        <v>42000000</v>
      </c>
      <c r="H546" s="10"/>
      <c r="I546" s="10"/>
      <c r="J546" s="10"/>
      <c r="K546" s="10"/>
      <c r="L546" s="10"/>
    </row>
    <row r="547" spans="1:12" ht="15" x14ac:dyDescent="0.25">
      <c r="A547" s="705">
        <v>7103</v>
      </c>
      <c r="B547" s="705" t="s">
        <v>595</v>
      </c>
      <c r="E547" s="10" t="s">
        <v>382</v>
      </c>
      <c r="F547" s="10"/>
      <c r="G547" s="722">
        <v>147237000</v>
      </c>
      <c r="H547" s="10"/>
      <c r="I547" s="10"/>
      <c r="J547" s="10"/>
      <c r="K547" s="10"/>
      <c r="L547" s="10"/>
    </row>
    <row r="548" spans="1:12" ht="15" x14ac:dyDescent="0.25">
      <c r="A548" s="705">
        <v>7104</v>
      </c>
      <c r="B548" s="705" t="s">
        <v>596</v>
      </c>
      <c r="E548" s="10"/>
      <c r="F548" s="10"/>
      <c r="G548" s="10"/>
      <c r="H548" s="10"/>
      <c r="I548" s="10"/>
      <c r="J548" s="10"/>
      <c r="K548" s="10"/>
      <c r="L548" s="10"/>
    </row>
    <row r="549" spans="1:12" ht="15" x14ac:dyDescent="0.25">
      <c r="A549" s="705">
        <v>7105</v>
      </c>
      <c r="B549" s="705" t="s">
        <v>597</v>
      </c>
      <c r="E549" s="10"/>
      <c r="F549" s="10"/>
      <c r="G549" s="10"/>
      <c r="H549" s="10"/>
      <c r="I549" s="10"/>
      <c r="J549" s="10"/>
      <c r="K549" s="10"/>
      <c r="L549" s="10"/>
    </row>
    <row r="550" spans="1:12" ht="15" x14ac:dyDescent="0.25">
      <c r="A550" s="705" t="s">
        <v>598</v>
      </c>
      <c r="B550" s="705" t="s">
        <v>599</v>
      </c>
      <c r="E550" s="10"/>
      <c r="F550" s="10"/>
      <c r="G550" s="10"/>
      <c r="H550" s="10"/>
      <c r="I550" s="10"/>
      <c r="J550" s="10"/>
      <c r="K550" s="10"/>
      <c r="L550" s="10"/>
    </row>
    <row r="551" spans="1:12" ht="15" x14ac:dyDescent="0.25">
      <c r="A551" s="705">
        <v>4101</v>
      </c>
      <c r="B551" s="705" t="s">
        <v>600</v>
      </c>
      <c r="E551" s="10"/>
      <c r="F551" s="10"/>
      <c r="G551" s="10"/>
      <c r="H551" s="10"/>
      <c r="I551" s="10"/>
      <c r="J551" s="10"/>
      <c r="K551" s="10"/>
    </row>
    <row r="552" spans="1:12" ht="15" x14ac:dyDescent="0.25">
      <c r="A552" s="705">
        <v>4102</v>
      </c>
      <c r="B552" s="705" t="s">
        <v>589</v>
      </c>
      <c r="E552" s="10"/>
      <c r="F552" s="10"/>
      <c r="G552" s="10"/>
      <c r="H552" s="10"/>
      <c r="I552" s="10"/>
      <c r="J552" s="10"/>
      <c r="K552" s="10"/>
    </row>
    <row r="553" spans="1:12" ht="15" x14ac:dyDescent="0.25">
      <c r="E553" s="10"/>
      <c r="F553" s="10"/>
      <c r="G553" s="10"/>
      <c r="H553" s="10"/>
      <c r="I553" s="10"/>
      <c r="J553" s="10"/>
      <c r="K553" s="10"/>
    </row>
    <row r="554" spans="1:12" ht="15" x14ac:dyDescent="0.25">
      <c r="E554" s="10"/>
      <c r="F554" s="10"/>
      <c r="G554" s="10"/>
      <c r="H554" s="10"/>
      <c r="I554" s="10"/>
      <c r="J554" s="10"/>
      <c r="K554" s="10"/>
    </row>
    <row r="555" spans="1:12" ht="15" x14ac:dyDescent="0.25">
      <c r="B555" s="705" t="s">
        <v>601</v>
      </c>
      <c r="E555" s="10"/>
      <c r="F555" s="10"/>
      <c r="G555" s="10"/>
      <c r="H555" s="10"/>
      <c r="I555" s="10"/>
      <c r="J555" s="10"/>
      <c r="K555" s="10"/>
    </row>
    <row r="556" spans="1:12" ht="15" x14ac:dyDescent="0.25">
      <c r="A556" s="707" t="s">
        <v>602</v>
      </c>
      <c r="E556" s="10"/>
      <c r="F556" s="10"/>
      <c r="G556" s="10"/>
    </row>
    <row r="557" spans="1:12" ht="15" x14ac:dyDescent="0.25">
      <c r="A557" s="728">
        <v>1110050100</v>
      </c>
      <c r="B557" s="729" t="s">
        <v>603</v>
      </c>
      <c r="E557" s="10"/>
      <c r="F557" s="10"/>
      <c r="G557" s="10"/>
    </row>
    <row r="558" spans="1:12" ht="15" x14ac:dyDescent="0.25">
      <c r="A558" s="728">
        <v>1110050200</v>
      </c>
      <c r="B558" s="705" t="s">
        <v>604</v>
      </c>
      <c r="E558" s="10"/>
      <c r="F558" s="10"/>
      <c r="G558" s="10"/>
    </row>
    <row r="559" spans="1:12" ht="15" x14ac:dyDescent="0.25">
      <c r="E559" s="10"/>
      <c r="F559" s="10"/>
      <c r="G559" s="10"/>
    </row>
    <row r="563" spans="1:2" x14ac:dyDescent="0.2">
      <c r="A563" s="705">
        <v>4170250000</v>
      </c>
      <c r="B563" s="705" t="s">
        <v>605</v>
      </c>
    </row>
    <row r="565" spans="1:2" x14ac:dyDescent="0.2">
      <c r="A565" s="705">
        <v>4218050000</v>
      </c>
      <c r="B565" s="705" t="s">
        <v>606</v>
      </c>
    </row>
    <row r="568" spans="1:2" x14ac:dyDescent="0.2">
      <c r="A568" s="705">
        <v>5210350000</v>
      </c>
      <c r="B568" s="705" t="s">
        <v>607</v>
      </c>
    </row>
    <row r="569" spans="1:2" x14ac:dyDescent="0.2">
      <c r="A569" s="705">
        <v>5140950000</v>
      </c>
    </row>
    <row r="571" spans="1:2" x14ac:dyDescent="0.2">
      <c r="A571" s="728">
        <v>5305950000</v>
      </c>
      <c r="B571" s="705" t="s">
        <v>608</v>
      </c>
    </row>
    <row r="572" spans="1:2" x14ac:dyDescent="0.2">
      <c r="A572" s="728">
        <v>5313050000</v>
      </c>
      <c r="B572" s="705" t="s">
        <v>606</v>
      </c>
    </row>
    <row r="573" spans="1:2" x14ac:dyDescent="0.2">
      <c r="A573" s="705">
        <v>5310950000</v>
      </c>
      <c r="B573" s="705" t="s">
        <v>609</v>
      </c>
    </row>
    <row r="577" spans="1:3" x14ac:dyDescent="0.2">
      <c r="A577" s="705">
        <v>1101</v>
      </c>
      <c r="B577" s="705" t="s">
        <v>610</v>
      </c>
    </row>
    <row r="578" spans="1:3" x14ac:dyDescent="0.2">
      <c r="A578" s="705">
        <v>1102</v>
      </c>
      <c r="B578" s="705" t="s">
        <v>611</v>
      </c>
    </row>
    <row r="579" spans="1:3" x14ac:dyDescent="0.2">
      <c r="A579" s="705">
        <v>1103</v>
      </c>
      <c r="B579" s="705" t="s">
        <v>612</v>
      </c>
    </row>
    <row r="580" spans="1:3" x14ac:dyDescent="0.2">
      <c r="A580" s="705">
        <v>1104</v>
      </c>
      <c r="B580" s="705" t="s">
        <v>613</v>
      </c>
    </row>
    <row r="581" spans="1:3" x14ac:dyDescent="0.2">
      <c r="A581" s="705">
        <v>1106</v>
      </c>
      <c r="B581" s="705" t="s">
        <v>614</v>
      </c>
    </row>
    <row r="582" spans="1:3" x14ac:dyDescent="0.2">
      <c r="A582" s="705">
        <v>9999</v>
      </c>
      <c r="B582" s="705" t="s">
        <v>615</v>
      </c>
      <c r="C582" s="705" t="s">
        <v>616</v>
      </c>
    </row>
    <row r="584" spans="1:3" x14ac:dyDescent="0.2">
      <c r="A584" s="705">
        <v>1218</v>
      </c>
      <c r="B584" s="705" t="s">
        <v>617</v>
      </c>
    </row>
    <row r="585" spans="1:3" x14ac:dyDescent="0.2">
      <c r="A585" s="705">
        <v>1223</v>
      </c>
      <c r="B585" s="705" t="s">
        <v>618</v>
      </c>
    </row>
    <row r="586" spans="1:3" x14ac:dyDescent="0.2">
      <c r="A586" s="705">
        <v>1231</v>
      </c>
      <c r="B586" s="705" t="s">
        <v>619</v>
      </c>
    </row>
    <row r="587" spans="1:3" x14ac:dyDescent="0.2">
      <c r="A587" s="705">
        <v>1235</v>
      </c>
      <c r="B587" s="705" t="s">
        <v>620</v>
      </c>
    </row>
    <row r="588" spans="1:3" x14ac:dyDescent="0.2">
      <c r="A588" s="705">
        <v>1201</v>
      </c>
      <c r="B588" s="705" t="s">
        <v>621</v>
      </c>
    </row>
    <row r="591" spans="1:3" x14ac:dyDescent="0.2">
      <c r="A591" s="705">
        <v>5103</v>
      </c>
      <c r="B591" s="705" t="s">
        <v>578</v>
      </c>
      <c r="C591" s="705" t="s">
        <v>622</v>
      </c>
    </row>
    <row r="592" spans="1:3" x14ac:dyDescent="0.2">
      <c r="A592" s="705">
        <v>5104</v>
      </c>
      <c r="B592" s="705" t="s">
        <v>579</v>
      </c>
      <c r="C592" s="705" t="s">
        <v>616</v>
      </c>
    </row>
    <row r="593" spans="1:3" x14ac:dyDescent="0.2">
      <c r="A593" s="705">
        <v>5105</v>
      </c>
      <c r="B593" s="705" t="s">
        <v>623</v>
      </c>
      <c r="C593" s="705" t="s">
        <v>616</v>
      </c>
    </row>
    <row r="594" spans="1:3" x14ac:dyDescent="0.2">
      <c r="A594" s="705">
        <v>5106</v>
      </c>
      <c r="B594" s="705" t="s">
        <v>624</v>
      </c>
      <c r="C594" s="705" t="s">
        <v>622</v>
      </c>
    </row>
    <row r="595" spans="1:3" x14ac:dyDescent="0.2">
      <c r="A595" s="705">
        <v>7101</v>
      </c>
      <c r="B595" s="705" t="s">
        <v>625</v>
      </c>
    </row>
  </sheetData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977BD-CEB3-4E0B-91DF-A8399BDAE070}">
  <sheetPr>
    <tabColor rgb="FF92D050"/>
  </sheetPr>
  <dimension ref="A1:X82"/>
  <sheetViews>
    <sheetView topLeftCell="A3" zoomScale="87" zoomScaleNormal="87" workbookViewId="0">
      <selection activeCell="U12" sqref="U12"/>
    </sheetView>
  </sheetViews>
  <sheetFormatPr baseColWidth="10" defaultRowHeight="15" x14ac:dyDescent="0.25"/>
  <cols>
    <col min="1" max="1" width="11.85546875" style="181" customWidth="1"/>
    <col min="2" max="2" width="13.7109375" style="181" customWidth="1"/>
    <col min="3" max="3" width="40.28515625" style="10" customWidth="1"/>
    <col min="4" max="4" width="13.42578125" style="10" customWidth="1"/>
    <col min="5" max="5" width="0.42578125" style="10" customWidth="1"/>
    <col min="6" max="6" width="11.42578125" style="10" customWidth="1"/>
    <col min="7" max="7" width="7.85546875" style="10" hidden="1" customWidth="1"/>
    <col min="8" max="8" width="10.5703125" style="10" customWidth="1"/>
    <col min="9" max="9" width="10.7109375" style="10" customWidth="1"/>
    <col min="10" max="10" width="6.85546875" style="10" customWidth="1"/>
    <col min="11" max="11" width="7" style="10" customWidth="1"/>
    <col min="12" max="12" width="11.7109375" style="10" customWidth="1"/>
    <col min="13" max="13" width="0.140625" style="10" customWidth="1"/>
    <col min="14" max="14" width="13.85546875" style="10" customWidth="1"/>
    <col min="15" max="15" width="9.42578125" style="10" customWidth="1"/>
    <col min="16" max="16" width="13.7109375" style="10" customWidth="1"/>
    <col min="17" max="17" width="0.140625" style="10" customWidth="1"/>
    <col min="18" max="18" width="8.42578125" style="10" customWidth="1"/>
    <col min="19" max="19" width="7" style="10" hidden="1" customWidth="1"/>
    <col min="20" max="20" width="14" style="138" customWidth="1"/>
    <col min="21" max="21" width="11.42578125" style="138" customWidth="1"/>
    <col min="22" max="22" width="11.7109375" style="178" customWidth="1"/>
    <col min="23" max="23" width="11.42578125" style="138"/>
    <col min="24" max="24" width="11.42578125" style="12"/>
    <col min="25" max="16384" width="11.42578125" style="10"/>
  </cols>
  <sheetData>
    <row r="1" spans="1:24" s="4" customFormat="1" ht="45" hidden="1" customHeight="1" x14ac:dyDescent="0.25">
      <c r="A1" s="180"/>
      <c r="B1" s="180"/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138" t="s">
        <v>5</v>
      </c>
      <c r="U1" s="138" t="s">
        <v>6</v>
      </c>
      <c r="V1" s="178" t="s">
        <v>7</v>
      </c>
      <c r="W1" s="138" t="s">
        <v>7</v>
      </c>
      <c r="X1" s="5"/>
    </row>
    <row r="2" spans="1:24" ht="30" hidden="1" customHeight="1" x14ac:dyDescent="0.25">
      <c r="A2" s="180"/>
      <c r="D2" s="11">
        <f>B2</f>
        <v>0</v>
      </c>
      <c r="F2" s="10" t="e">
        <f>CONCATENATE(LEFT(B2,4)-1,RIGHT(B2,2))</f>
        <v>#VALUE!</v>
      </c>
      <c r="H2" s="10">
        <f>B2</f>
        <v>0</v>
      </c>
      <c r="L2" s="11" t="s">
        <v>10</v>
      </c>
      <c r="N2" s="10" t="e">
        <f>+F2</f>
        <v>#VALUE!</v>
      </c>
      <c r="P2" s="11">
        <f>D2</f>
        <v>0</v>
      </c>
      <c r="T2" s="138" t="s">
        <v>10</v>
      </c>
      <c r="U2" s="138" t="s">
        <v>83</v>
      </c>
      <c r="V2" s="178">
        <v>201301</v>
      </c>
      <c r="W2" s="138">
        <v>201301</v>
      </c>
    </row>
    <row r="3" spans="1:24" ht="18.75" thickBot="1" x14ac:dyDescent="0.3">
      <c r="A3" s="181">
        <f>+'COLOMB$ '!A3</f>
        <v>202101</v>
      </c>
      <c r="B3" s="181">
        <f>+'COLOMB$ '!B3</f>
        <v>202201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pans="1:24" ht="15.75" thickBot="1" x14ac:dyDescent="0.3">
      <c r="A4" s="181">
        <f>+'COLOMB$ '!A4</f>
        <v>202105</v>
      </c>
      <c r="B4" s="181">
        <f>+'COLOMB$ '!B4</f>
        <v>202205</v>
      </c>
      <c r="C4" s="21"/>
      <c r="D4" s="182">
        <f>+'COLOMB$ 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T4" s="138" t="s">
        <v>12</v>
      </c>
    </row>
    <row r="5" spans="1:24" ht="15.75" customHeight="1" thickBot="1" x14ac:dyDescent="0.3">
      <c r="C5" s="36" t="s">
        <v>15</v>
      </c>
      <c r="D5" s="51" t="str">
        <f>+'COLOMB$ '!D5:E5</f>
        <v>Ppto 2022</v>
      </c>
      <c r="E5" s="51"/>
      <c r="F5" s="51" t="str">
        <f>+'COLOMB$ '!F5:G5</f>
        <v>Real 2021</v>
      </c>
      <c r="G5" s="51"/>
      <c r="H5" s="51" t="str">
        <f>+'COLOMB$ '!H5:I5</f>
        <v>real 2022</v>
      </c>
      <c r="I5" s="51"/>
      <c r="J5" s="39" t="s">
        <v>19</v>
      </c>
      <c r="K5" s="40" t="s">
        <v>20</v>
      </c>
      <c r="L5" s="51" t="str">
        <f>+D5</f>
        <v>Ppto 2022</v>
      </c>
      <c r="M5" s="51"/>
      <c r="N5" s="184" t="str">
        <f>+F5</f>
        <v>Real 2021</v>
      </c>
      <c r="O5" s="185"/>
      <c r="P5" s="186" t="str">
        <f>+H5</f>
        <v>real 2022</v>
      </c>
      <c r="Q5" s="186"/>
      <c r="R5" s="39" t="s">
        <v>19</v>
      </c>
      <c r="S5" s="41" t="s">
        <v>20</v>
      </c>
      <c r="T5" s="138" t="s">
        <v>84</v>
      </c>
      <c r="U5" s="138" t="s">
        <v>85</v>
      </c>
      <c r="V5" s="178" t="s">
        <v>86</v>
      </c>
      <c r="W5" s="138" t="s">
        <v>87</v>
      </c>
    </row>
    <row r="6" spans="1:24" ht="15.75" thickBot="1" x14ac:dyDescent="0.3">
      <c r="B6" s="187" t="s">
        <v>88</v>
      </c>
      <c r="C6" s="50" t="s">
        <v>25</v>
      </c>
      <c r="D6" s="51" t="s">
        <v>26</v>
      </c>
      <c r="E6" s="52" t="s">
        <v>27</v>
      </c>
      <c r="F6" s="51" t="s">
        <v>26</v>
      </c>
      <c r="G6" s="52" t="s">
        <v>27</v>
      </c>
      <c r="H6" s="51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51" t="s">
        <v>26</v>
      </c>
      <c r="O6" s="52" t="s">
        <v>27</v>
      </c>
      <c r="P6" s="186" t="s">
        <v>26</v>
      </c>
      <c r="Q6" s="54" t="s">
        <v>27</v>
      </c>
      <c r="R6" s="55" t="s">
        <v>28</v>
      </c>
      <c r="S6" s="56" t="s">
        <v>28</v>
      </c>
      <c r="T6" s="138" t="s">
        <v>26</v>
      </c>
      <c r="U6" s="138" t="s">
        <v>26</v>
      </c>
      <c r="V6" s="178" t="s">
        <v>26</v>
      </c>
      <c r="W6" s="138" t="s">
        <v>26</v>
      </c>
    </row>
    <row r="7" spans="1:24" ht="15.75" customHeight="1" x14ac:dyDescent="0.25">
      <c r="B7" s="181" t="s">
        <v>89</v>
      </c>
      <c r="C7" s="65" t="str">
        <f>+'COLOMB$ '!C7</f>
        <v>Fact. Musical Experience  (Ambiental)</v>
      </c>
      <c r="D7" s="66">
        <v>0</v>
      </c>
      <c r="E7" s="67">
        <f t="shared" ref="E7:E12" si="0">+D7/$D$17</f>
        <v>0</v>
      </c>
      <c r="F7" s="66"/>
      <c r="G7" s="67" t="e">
        <f t="shared" ref="G7:G13" si="1">+F7/$F$17</f>
        <v>#DIV/0!</v>
      </c>
      <c r="H7" s="66"/>
      <c r="I7" s="68" t="e">
        <f>+H7/$H$17</f>
        <v>#DIV/0!</v>
      </c>
      <c r="J7" s="69" t="str">
        <f>IF(D7=0,"",(H7-D7)/ABS(D7)+1)</f>
        <v/>
      </c>
      <c r="K7" s="69" t="str">
        <f>IF(F7=0,"",(H7-F7)/ABS(F7))</f>
        <v/>
      </c>
      <c r="L7" s="66"/>
      <c r="M7" s="67">
        <f t="shared" ref="M7:M12" si="2">+L7/$L$17</f>
        <v>0</v>
      </c>
      <c r="N7" s="66"/>
      <c r="O7" s="68">
        <f t="shared" ref="O7:O12" si="3">+N7/$N$17</f>
        <v>0</v>
      </c>
      <c r="P7" s="66">
        <v>0</v>
      </c>
      <c r="Q7" s="68" t="e">
        <f t="shared" ref="Q7:Q12" si="4">+P7/$P$17</f>
        <v>#DIV/0!</v>
      </c>
      <c r="R7" s="69" t="str">
        <f>IF(L7=0,"",(P7-L7)/ABS(L7)+1)</f>
        <v/>
      </c>
      <c r="S7" s="70" t="str">
        <f>IF(N7=0,"",(P7-N7)/ABS(N7))</f>
        <v/>
      </c>
    </row>
    <row r="8" spans="1:24" ht="15" customHeight="1" x14ac:dyDescent="0.25">
      <c r="B8" s="181" t="s">
        <v>90</v>
      </c>
      <c r="C8" s="65" t="str">
        <f>+'COLOMB$ '!C8</f>
        <v>Instalaciones</v>
      </c>
      <c r="D8" s="66">
        <v>0</v>
      </c>
      <c r="E8" s="67">
        <f t="shared" si="0"/>
        <v>0</v>
      </c>
      <c r="F8" s="66"/>
      <c r="G8" s="67" t="e">
        <f t="shared" si="1"/>
        <v>#DIV/0!</v>
      </c>
      <c r="H8" s="66"/>
      <c r="I8" s="68" t="e">
        <f>+H8/$H$17</f>
        <v>#DIV/0!</v>
      </c>
      <c r="J8" s="69" t="str">
        <f t="shared" ref="J8:J34" si="5">IF(D8=0,"",(H8-D8)/ABS(D8)+1)</f>
        <v/>
      </c>
      <c r="K8" s="69" t="str">
        <f t="shared" ref="K8:K34" si="6">IF(F8=0,"",(H8-F8)/ABS(F8))</f>
        <v/>
      </c>
      <c r="L8" s="66"/>
      <c r="M8" s="67">
        <f t="shared" si="2"/>
        <v>0</v>
      </c>
      <c r="N8" s="66"/>
      <c r="O8" s="68">
        <f t="shared" si="3"/>
        <v>0</v>
      </c>
      <c r="P8" s="66">
        <v>0</v>
      </c>
      <c r="Q8" s="68" t="e">
        <f t="shared" si="4"/>
        <v>#DIV/0!</v>
      </c>
      <c r="R8" s="69" t="str">
        <f t="shared" ref="R8:R34" si="7">IF(L8=0,"",(P8-L8)/ABS(L8)+1)</f>
        <v/>
      </c>
      <c r="S8" s="70" t="str">
        <f t="shared" ref="S8:S34" si="8">IF(N8=0,"",(P8-N8)/ABS(N8))</f>
        <v/>
      </c>
    </row>
    <row r="9" spans="1:24" x14ac:dyDescent="0.25">
      <c r="B9" s="181" t="s">
        <v>38</v>
      </c>
      <c r="C9" s="65" t="str">
        <f>+'COLOMB$ '!C9</f>
        <v>Fact.Voice Experience (Publihold)</v>
      </c>
      <c r="D9" s="66">
        <v>0</v>
      </c>
      <c r="E9" s="67">
        <f t="shared" si="0"/>
        <v>0</v>
      </c>
      <c r="F9" s="66"/>
      <c r="G9" s="67" t="e">
        <f t="shared" si="1"/>
        <v>#DIV/0!</v>
      </c>
      <c r="H9" s="66"/>
      <c r="I9" s="68" t="e">
        <f t="shared" ref="I9:I12" si="9">+H9/$H$17</f>
        <v>#DIV/0!</v>
      </c>
      <c r="J9" s="69" t="str">
        <f t="shared" si="5"/>
        <v/>
      </c>
      <c r="K9" s="69" t="str">
        <f t="shared" si="6"/>
        <v/>
      </c>
      <c r="L9" s="66"/>
      <c r="M9" s="67">
        <f t="shared" si="2"/>
        <v>0</v>
      </c>
      <c r="N9" s="66">
        <f>+F9+U9</f>
        <v>0</v>
      </c>
      <c r="O9" s="68">
        <f t="shared" si="3"/>
        <v>0</v>
      </c>
      <c r="P9" s="66">
        <v>0</v>
      </c>
      <c r="Q9" s="68" t="e">
        <f t="shared" si="4"/>
        <v>#DIV/0!</v>
      </c>
      <c r="R9" s="69" t="str">
        <f t="shared" si="7"/>
        <v/>
      </c>
      <c r="S9" s="70" t="str">
        <f t="shared" si="8"/>
        <v/>
      </c>
      <c r="U9" s="138">
        <v>0</v>
      </c>
    </row>
    <row r="10" spans="1:24" x14ac:dyDescent="0.25">
      <c r="B10" s="181" t="s">
        <v>91</v>
      </c>
      <c r="C10" s="65" t="str">
        <f>+'COLOMB$ '!C10</f>
        <v>Fact. Service &amp; Equipment Experience</v>
      </c>
      <c r="D10" s="66">
        <v>1819</v>
      </c>
      <c r="E10" s="67">
        <f t="shared" si="0"/>
        <v>1</v>
      </c>
      <c r="F10" s="66"/>
      <c r="G10" s="67" t="e">
        <f t="shared" si="1"/>
        <v>#DIV/0!</v>
      </c>
      <c r="H10" s="66">
        <v>0</v>
      </c>
      <c r="I10" s="68" t="e">
        <f t="shared" si="9"/>
        <v>#DIV/0!</v>
      </c>
      <c r="J10" s="69">
        <f t="shared" si="5"/>
        <v>0</v>
      </c>
      <c r="K10" s="69" t="str">
        <f t="shared" si="6"/>
        <v/>
      </c>
      <c r="L10" s="66">
        <v>6551</v>
      </c>
      <c r="M10" s="67">
        <f t="shared" si="2"/>
        <v>1</v>
      </c>
      <c r="N10" s="66">
        <v>517.64700000000005</v>
      </c>
      <c r="O10" s="68">
        <f t="shared" si="3"/>
        <v>1</v>
      </c>
      <c r="P10" s="66">
        <v>0</v>
      </c>
      <c r="Q10" s="68" t="e">
        <f t="shared" si="4"/>
        <v>#DIV/0!</v>
      </c>
      <c r="R10" s="69">
        <f t="shared" si="7"/>
        <v>0</v>
      </c>
      <c r="S10" s="70">
        <f t="shared" si="8"/>
        <v>-1</v>
      </c>
      <c r="T10" s="138">
        <v>0</v>
      </c>
      <c r="U10" s="138">
        <v>0</v>
      </c>
      <c r="V10" s="178">
        <v>0</v>
      </c>
      <c r="W10" s="138">
        <v>265918.90000000002</v>
      </c>
    </row>
    <row r="11" spans="1:24" ht="15" customHeight="1" x14ac:dyDescent="0.25">
      <c r="B11" s="181">
        <v>4170250500</v>
      </c>
      <c r="C11" s="65" t="str">
        <f>+'COLOMB$ '!C11</f>
        <v>POP Satelital</v>
      </c>
      <c r="D11" s="66">
        <v>0</v>
      </c>
      <c r="E11" s="67">
        <f t="shared" si="0"/>
        <v>0</v>
      </c>
      <c r="F11" s="66"/>
      <c r="G11" s="67" t="e">
        <f t="shared" si="1"/>
        <v>#DIV/0!</v>
      </c>
      <c r="H11" s="66"/>
      <c r="I11" s="68" t="e">
        <f t="shared" si="9"/>
        <v>#DIV/0!</v>
      </c>
      <c r="J11" s="69" t="str">
        <f>IF(D11=0,"",(H11-D11)/ABS(D11)+1)</f>
        <v/>
      </c>
      <c r="K11" s="69" t="str">
        <f>IF(F11=0,"",(H11-F11)/ABS(F11))</f>
        <v/>
      </c>
      <c r="L11" s="66"/>
      <c r="M11" s="67">
        <f t="shared" si="2"/>
        <v>0</v>
      </c>
      <c r="N11" s="66">
        <f t="shared" ref="N11" si="10">+F11+U11</f>
        <v>0</v>
      </c>
      <c r="O11" s="68">
        <f t="shared" si="3"/>
        <v>0</v>
      </c>
      <c r="P11" s="66">
        <v>0</v>
      </c>
      <c r="Q11" s="68" t="e">
        <f t="shared" si="4"/>
        <v>#DIV/0!</v>
      </c>
      <c r="R11" s="69" t="str">
        <f>IF(L11=0,"",(P11-L11)/ABS(L11)+1)</f>
        <v/>
      </c>
      <c r="S11" s="70" t="str">
        <f>IF(N11=0,"",(P11-N11)/ABS(N11))</f>
        <v/>
      </c>
      <c r="U11" s="138">
        <v>0</v>
      </c>
    </row>
    <row r="12" spans="1:24" ht="15" customHeight="1" x14ac:dyDescent="0.25">
      <c r="B12" s="181" t="s">
        <v>46</v>
      </c>
      <c r="C12" s="65" t="str">
        <f>+'COLOMB$ '!C12</f>
        <v xml:space="preserve"> Fact.Voice Experience (Audicóm)</v>
      </c>
      <c r="D12" s="66">
        <v>0</v>
      </c>
      <c r="E12" s="67">
        <f t="shared" si="0"/>
        <v>0</v>
      </c>
      <c r="F12" s="66"/>
      <c r="G12" s="67" t="e">
        <f t="shared" si="1"/>
        <v>#DIV/0!</v>
      </c>
      <c r="H12" s="66"/>
      <c r="I12" s="68" t="e">
        <f t="shared" si="9"/>
        <v>#DIV/0!</v>
      </c>
      <c r="J12" s="69" t="str">
        <f>IF(D12=0,"",(H12-D12)/ABS(D12)+1)</f>
        <v/>
      </c>
      <c r="K12" s="69" t="str">
        <f>IF(F12=0,"",(H12-F12)/ABS(F12))</f>
        <v/>
      </c>
      <c r="L12" s="66"/>
      <c r="M12" s="67">
        <f t="shared" si="2"/>
        <v>0</v>
      </c>
      <c r="N12" s="66"/>
      <c r="O12" s="68">
        <f t="shared" si="3"/>
        <v>0</v>
      </c>
      <c r="P12" s="66">
        <v>0</v>
      </c>
      <c r="Q12" s="68" t="e">
        <f t="shared" si="4"/>
        <v>#DIV/0!</v>
      </c>
      <c r="R12" s="69" t="str">
        <f>IF(L12=0,"",(P12-L12)/ABS(L12)+1)</f>
        <v/>
      </c>
      <c r="S12" s="70" t="str">
        <f>IF(N12=0,"",(P12-N12)/ABS(N12))</f>
        <v/>
      </c>
    </row>
    <row r="13" spans="1:24" ht="15" customHeight="1" x14ac:dyDescent="0.25">
      <c r="B13" s="181">
        <v>4155951000</v>
      </c>
      <c r="C13" s="65" t="str">
        <f>+'COLOMB$ '!C13</f>
        <v>Fact. Servicio Satelital</v>
      </c>
      <c r="D13" s="66">
        <v>0</v>
      </c>
      <c r="E13" s="67"/>
      <c r="F13" s="66"/>
      <c r="G13" s="67" t="e">
        <f t="shared" si="1"/>
        <v>#DIV/0!</v>
      </c>
      <c r="H13" s="66"/>
      <c r="I13" s="68" t="e">
        <f>+H13/$H$17</f>
        <v>#DIV/0!</v>
      </c>
      <c r="J13" s="69" t="str">
        <f>IF(D13=0,"",(H13-D13)/ABS(D13)+1)</f>
        <v/>
      </c>
      <c r="K13" s="69" t="str">
        <f>IF(F13=0,"",(H13-F13)/ABS(F13))</f>
        <v/>
      </c>
      <c r="L13" s="66"/>
      <c r="M13" s="67">
        <f>+L13/$L$17</f>
        <v>0</v>
      </c>
      <c r="N13" s="66"/>
      <c r="O13" s="68">
        <f>+N13/$N$17</f>
        <v>0</v>
      </c>
      <c r="P13" s="66">
        <v>0</v>
      </c>
      <c r="Q13" s="68" t="e">
        <f>+P13/$P$17</f>
        <v>#DIV/0!</v>
      </c>
      <c r="R13" s="69" t="str">
        <f>IF(L13=0,"",(P13-L13)/ABS(L13)+1)</f>
        <v/>
      </c>
      <c r="S13" s="70" t="str">
        <f>IF(N13=0,"",(P13-N13)/ABS(N13))</f>
        <v/>
      </c>
    </row>
    <row r="14" spans="1:24" x14ac:dyDescent="0.25">
      <c r="B14" s="181">
        <v>4155951500</v>
      </c>
      <c r="C14" s="65" t="str">
        <f>+'COLOMB$ '!C14</f>
        <v>Fact. Visual Experience</v>
      </c>
      <c r="D14" s="66">
        <v>0</v>
      </c>
      <c r="E14" s="67"/>
      <c r="F14" s="66">
        <v>0</v>
      </c>
      <c r="G14" s="67"/>
      <c r="H14" s="66"/>
      <c r="I14" s="68" t="e">
        <f>+H14/$H$17</f>
        <v>#DIV/0!</v>
      </c>
      <c r="J14" s="69" t="str">
        <f>IF(D14=0,"",(H14-D14)/ABS(D14)+1)</f>
        <v/>
      </c>
      <c r="K14" s="69" t="str">
        <f>IF(F14=0,"",(H14-F14)/ABS(F14))</f>
        <v/>
      </c>
      <c r="L14" s="66"/>
      <c r="M14" s="67">
        <f>+L14/$L$17</f>
        <v>0</v>
      </c>
      <c r="N14" s="66"/>
      <c r="O14" s="68">
        <f>+N14/$N$17</f>
        <v>0</v>
      </c>
      <c r="P14" s="66">
        <v>0</v>
      </c>
      <c r="Q14" s="68" t="e">
        <f>+P14/$P$17</f>
        <v>#DIV/0!</v>
      </c>
      <c r="R14" s="69" t="str">
        <f>IF(L14=0,"",(P14-L14)/ABS(L14)+1)</f>
        <v/>
      </c>
      <c r="S14" s="70" t="str">
        <f>IF(N14=0,"",(P14-N14)/ABS(N14))</f>
        <v/>
      </c>
    </row>
    <row r="15" spans="1:24" x14ac:dyDescent="0.25">
      <c r="B15" s="181" t="s">
        <v>53</v>
      </c>
      <c r="C15" s="65" t="str">
        <f>+'COLOMB$ '!C15</f>
        <v>Fac.   Olfa Experience</v>
      </c>
      <c r="D15" s="66">
        <v>0</v>
      </c>
      <c r="E15" s="67"/>
      <c r="F15" s="66"/>
      <c r="G15" s="67"/>
      <c r="H15" s="66"/>
      <c r="I15" s="68"/>
      <c r="J15" s="69"/>
      <c r="K15" s="69"/>
      <c r="L15" s="66">
        <v>0</v>
      </c>
      <c r="M15" s="67"/>
      <c r="N15" s="66"/>
      <c r="O15" s="68"/>
      <c r="P15" s="66"/>
      <c r="Q15" s="68"/>
      <c r="R15" s="69"/>
      <c r="S15" s="70"/>
    </row>
    <row r="16" spans="1:24" ht="15.75" thickBot="1" x14ac:dyDescent="0.3">
      <c r="B16" s="181" t="s">
        <v>55</v>
      </c>
      <c r="C16" s="65" t="str">
        <f>+'COLOMB$ '!C16</f>
        <v>Facturacion Locutor virtual</v>
      </c>
      <c r="D16" s="66"/>
      <c r="E16" s="67"/>
      <c r="F16" s="66"/>
      <c r="G16" s="67"/>
      <c r="H16" s="66"/>
      <c r="I16" s="68"/>
      <c r="J16" s="69"/>
      <c r="K16" s="69"/>
      <c r="L16" s="66"/>
      <c r="M16" s="67"/>
      <c r="N16" s="66"/>
      <c r="O16" s="68"/>
      <c r="P16" s="66"/>
      <c r="Q16" s="68"/>
      <c r="R16" s="69"/>
      <c r="S16" s="70"/>
    </row>
    <row r="17" spans="3:24" x14ac:dyDescent="0.25">
      <c r="C17" s="104" t="s">
        <v>57</v>
      </c>
      <c r="D17" s="105">
        <f>SUM(D7:D16)</f>
        <v>1819</v>
      </c>
      <c r="E17" s="106">
        <f t="shared" ref="E17:E34" si="11">+D17/$D$17</f>
        <v>1</v>
      </c>
      <c r="F17" s="105">
        <v>0</v>
      </c>
      <c r="G17" s="106" t="e">
        <f>+F18/$F$18</f>
        <v>#DIV/0!</v>
      </c>
      <c r="H17" s="105">
        <f>SUM(H7:H14)</f>
        <v>0</v>
      </c>
      <c r="I17" s="107" t="e">
        <f t="shared" ref="I17:I34" si="12">+H17/$H$17</f>
        <v>#DIV/0!</v>
      </c>
      <c r="J17" s="108">
        <f t="shared" si="5"/>
        <v>0</v>
      </c>
      <c r="K17" s="108" t="str">
        <f t="shared" si="6"/>
        <v/>
      </c>
      <c r="L17" s="105">
        <f>SUM(L7:L16)</f>
        <v>6551</v>
      </c>
      <c r="M17" s="106">
        <f t="shared" ref="M17:M34" si="13">+L17/$L$17</f>
        <v>1</v>
      </c>
      <c r="N17" s="105">
        <f>SUM(N7:N14)</f>
        <v>517.64700000000005</v>
      </c>
      <c r="O17" s="107">
        <f t="shared" ref="O17:O34" si="14">+N17/$N$17</f>
        <v>1</v>
      </c>
      <c r="P17" s="105">
        <f>SUM(P7:P14)</f>
        <v>0</v>
      </c>
      <c r="Q17" s="107" t="e">
        <f t="shared" ref="Q17:Q34" si="15">+P17/$P$17</f>
        <v>#DIV/0!</v>
      </c>
      <c r="R17" s="108">
        <f t="shared" si="7"/>
        <v>0</v>
      </c>
      <c r="S17" s="109">
        <f t="shared" si="8"/>
        <v>-1</v>
      </c>
      <c r="T17" s="138">
        <v>0</v>
      </c>
      <c r="U17" s="188">
        <v>0</v>
      </c>
      <c r="V17" s="189">
        <v>0</v>
      </c>
    </row>
    <row r="18" spans="3:24" x14ac:dyDescent="0.25">
      <c r="C18" s="112" t="s">
        <v>59</v>
      </c>
      <c r="D18" s="66">
        <v>2882</v>
      </c>
      <c r="E18" s="113">
        <f t="shared" si="11"/>
        <v>1.5843870258383728</v>
      </c>
      <c r="F18" s="83">
        <v>0</v>
      </c>
      <c r="G18" s="113" t="e">
        <f t="shared" ref="G18:G34" si="16">+F18/$F$17</f>
        <v>#DIV/0!</v>
      </c>
      <c r="H18" s="83">
        <v>0</v>
      </c>
      <c r="I18" s="115" t="e">
        <f t="shared" si="12"/>
        <v>#DIV/0!</v>
      </c>
      <c r="J18" s="116">
        <f t="shared" si="5"/>
        <v>0</v>
      </c>
      <c r="K18" s="116" t="str">
        <f t="shared" si="6"/>
        <v/>
      </c>
      <c r="L18" s="66">
        <v>10376</v>
      </c>
      <c r="M18" s="113">
        <f t="shared" si="13"/>
        <v>1.5838803236147152</v>
      </c>
      <c r="N18" s="114">
        <v>0</v>
      </c>
      <c r="O18" s="115"/>
      <c r="P18" s="117">
        <v>0</v>
      </c>
      <c r="Q18" s="115" t="e">
        <f t="shared" si="15"/>
        <v>#DIV/0!</v>
      </c>
      <c r="R18" s="116">
        <f t="shared" si="7"/>
        <v>0</v>
      </c>
      <c r="S18" s="118" t="e">
        <f t="shared" si="8"/>
        <v>#DIV/0!</v>
      </c>
      <c r="T18" s="138">
        <v>0</v>
      </c>
      <c r="U18" s="188"/>
      <c r="V18" s="189">
        <v>0</v>
      </c>
      <c r="X18" s="10"/>
    </row>
    <row r="19" spans="3:24" ht="15.75" thickBot="1" x14ac:dyDescent="0.3">
      <c r="C19" s="119" t="s">
        <v>61</v>
      </c>
      <c r="D19" s="120">
        <f>+D17-D18</f>
        <v>-1063</v>
      </c>
      <c r="E19" s="121">
        <f t="shared" si="11"/>
        <v>-0.58438702583837276</v>
      </c>
      <c r="F19" s="120">
        <f>+F17-F18</f>
        <v>0</v>
      </c>
      <c r="G19" s="121" t="e">
        <f t="shared" si="16"/>
        <v>#DIV/0!</v>
      </c>
      <c r="H19" s="120">
        <f>+H17-H18</f>
        <v>0</v>
      </c>
      <c r="I19" s="122" t="e">
        <f t="shared" si="12"/>
        <v>#DIV/0!</v>
      </c>
      <c r="J19" s="123">
        <f t="shared" si="5"/>
        <v>2</v>
      </c>
      <c r="K19" s="123" t="str">
        <f t="shared" si="6"/>
        <v/>
      </c>
      <c r="L19" s="120">
        <f>+L17-L18</f>
        <v>-3825</v>
      </c>
      <c r="M19" s="121">
        <f t="shared" si="13"/>
        <v>-0.58388032361471531</v>
      </c>
      <c r="N19" s="120">
        <f>+N17-N18</f>
        <v>517.64700000000005</v>
      </c>
      <c r="O19" s="122">
        <f t="shared" si="14"/>
        <v>1</v>
      </c>
      <c r="P19" s="120">
        <f>+P17-P18</f>
        <v>0</v>
      </c>
      <c r="Q19" s="122" t="e">
        <f t="shared" si="15"/>
        <v>#DIV/0!</v>
      </c>
      <c r="R19" s="124">
        <f t="shared" si="7"/>
        <v>2</v>
      </c>
      <c r="S19" s="125">
        <f t="shared" si="8"/>
        <v>-1</v>
      </c>
      <c r="T19" s="138">
        <v>0</v>
      </c>
      <c r="U19" s="188">
        <v>0</v>
      </c>
      <c r="V19" s="189">
        <v>0</v>
      </c>
      <c r="X19" s="10"/>
    </row>
    <row r="20" spans="3:24" x14ac:dyDescent="0.25">
      <c r="C20" s="81" t="s">
        <v>63</v>
      </c>
      <c r="D20" s="83">
        <v>8</v>
      </c>
      <c r="E20" s="126">
        <f t="shared" si="11"/>
        <v>4.3980208905992305E-3</v>
      </c>
      <c r="F20" s="83">
        <v>2850.2901499999998</v>
      </c>
      <c r="G20" s="126" t="e">
        <f t="shared" si="16"/>
        <v>#DIV/0!</v>
      </c>
      <c r="H20" s="83">
        <v>2386.0742</v>
      </c>
      <c r="I20" s="127" t="e">
        <f t="shared" si="12"/>
        <v>#DIV/0!</v>
      </c>
      <c r="J20" s="128">
        <f t="shared" si="5"/>
        <v>298.259275</v>
      </c>
      <c r="K20" s="128">
        <f t="shared" si="6"/>
        <v>-0.16286620855073292</v>
      </c>
      <c r="L20" s="190">
        <v>30</v>
      </c>
      <c r="M20" s="126">
        <f t="shared" si="13"/>
        <v>4.5794535185467869E-3</v>
      </c>
      <c r="N20" s="83">
        <v>13077.030289999999</v>
      </c>
      <c r="O20" s="127">
        <f t="shared" si="14"/>
        <v>25.262447749141785</v>
      </c>
      <c r="P20" s="190">
        <v>17287.556840000001</v>
      </c>
      <c r="Q20" s="127" t="e">
        <f t="shared" si="15"/>
        <v>#DIV/0!</v>
      </c>
      <c r="R20" s="128">
        <f t="shared" si="7"/>
        <v>576.25189466666666</v>
      </c>
      <c r="S20" s="129">
        <f t="shared" si="8"/>
        <v>0.32197880226826353</v>
      </c>
      <c r="T20" s="188">
        <v>11120</v>
      </c>
      <c r="U20" s="188">
        <v>5462</v>
      </c>
      <c r="V20" s="189">
        <v>5794.2361800000008</v>
      </c>
      <c r="X20" s="10"/>
    </row>
    <row r="21" spans="3:24" x14ac:dyDescent="0.25">
      <c r="C21" s="81" t="s">
        <v>65</v>
      </c>
      <c r="D21" s="83">
        <v>0</v>
      </c>
      <c r="E21" s="126"/>
      <c r="F21" s="83">
        <v>0</v>
      </c>
      <c r="G21" s="126" t="e">
        <f t="shared" si="16"/>
        <v>#DIV/0!</v>
      </c>
      <c r="H21" s="83">
        <v>0</v>
      </c>
      <c r="I21" s="127" t="e">
        <f t="shared" si="12"/>
        <v>#DIV/0!</v>
      </c>
      <c r="J21" s="128" t="str">
        <f t="shared" si="5"/>
        <v/>
      </c>
      <c r="K21" s="128" t="str">
        <f t="shared" si="6"/>
        <v/>
      </c>
      <c r="L21" s="190">
        <v>0</v>
      </c>
      <c r="M21" s="126">
        <f t="shared" si="13"/>
        <v>0</v>
      </c>
      <c r="N21" s="83">
        <v>0</v>
      </c>
      <c r="O21" s="127">
        <f t="shared" si="14"/>
        <v>0</v>
      </c>
      <c r="P21" s="190">
        <v>1427.9319699999999</v>
      </c>
      <c r="Q21" s="127" t="e">
        <f t="shared" si="15"/>
        <v>#DIV/0!</v>
      </c>
      <c r="R21" s="128" t="str">
        <f t="shared" si="7"/>
        <v/>
      </c>
      <c r="S21" s="129" t="str">
        <f t="shared" si="8"/>
        <v/>
      </c>
      <c r="T21" s="188">
        <v>19680</v>
      </c>
      <c r="U21" s="188">
        <v>131873</v>
      </c>
      <c r="V21" s="189">
        <v>21203.781999999999</v>
      </c>
      <c r="X21" s="10"/>
    </row>
    <row r="22" spans="3:24" x14ac:dyDescent="0.25">
      <c r="C22" s="112" t="s">
        <v>67</v>
      </c>
      <c r="D22" s="117">
        <f>SUM(D20:D21)</f>
        <v>8</v>
      </c>
      <c r="E22" s="113">
        <f t="shared" si="11"/>
        <v>4.3980208905992305E-3</v>
      </c>
      <c r="F22" s="117">
        <f>SUM(F20:F21)</f>
        <v>2850.2901499999998</v>
      </c>
      <c r="G22" s="113" t="e">
        <f t="shared" si="16"/>
        <v>#DIV/0!</v>
      </c>
      <c r="H22" s="117">
        <f>SUM(H20:H21)</f>
        <v>2386.0742</v>
      </c>
      <c r="I22" s="115" t="e">
        <f t="shared" si="12"/>
        <v>#DIV/0!</v>
      </c>
      <c r="J22" s="116">
        <f t="shared" si="5"/>
        <v>298.259275</v>
      </c>
      <c r="K22" s="116">
        <f t="shared" si="6"/>
        <v>-0.16286620855073292</v>
      </c>
      <c r="L22" s="117">
        <f>SUM(L20:L21)</f>
        <v>30</v>
      </c>
      <c r="M22" s="113">
        <f t="shared" si="13"/>
        <v>4.5794535185467869E-3</v>
      </c>
      <c r="N22" s="117">
        <f>SUM(N20:N21)</f>
        <v>13077.030289999999</v>
      </c>
      <c r="O22" s="115">
        <f t="shared" si="14"/>
        <v>25.262447749141785</v>
      </c>
      <c r="P22" s="117">
        <f>SUM(P20:P21)</f>
        <v>18715.488810000003</v>
      </c>
      <c r="Q22" s="115" t="e">
        <f t="shared" si="15"/>
        <v>#DIV/0!</v>
      </c>
      <c r="R22" s="116">
        <f t="shared" si="7"/>
        <v>623.84962700000005</v>
      </c>
      <c r="S22" s="118">
        <f t="shared" si="8"/>
        <v>0.43117270473187874</v>
      </c>
      <c r="T22" s="188">
        <v>30800</v>
      </c>
      <c r="U22" s="188">
        <v>137335</v>
      </c>
      <c r="V22" s="189">
        <v>26998.018179999999</v>
      </c>
      <c r="X22" s="10"/>
    </row>
    <row r="23" spans="3:24" x14ac:dyDescent="0.25">
      <c r="C23" s="81" t="s">
        <v>69</v>
      </c>
      <c r="D23" s="83">
        <v>0</v>
      </c>
      <c r="E23" s="126"/>
      <c r="F23" s="83">
        <v>1115.0654299999999</v>
      </c>
      <c r="G23" s="126"/>
      <c r="H23" s="83">
        <v>586.92444999999998</v>
      </c>
      <c r="I23" s="127" t="e">
        <f t="shared" si="12"/>
        <v>#DIV/0!</v>
      </c>
      <c r="J23" s="128" t="str">
        <f t="shared" si="5"/>
        <v/>
      </c>
      <c r="K23" s="128">
        <f t="shared" si="6"/>
        <v>-0.4736412463257873</v>
      </c>
      <c r="L23" s="190">
        <v>0</v>
      </c>
      <c r="M23" s="126">
        <f t="shared" si="13"/>
        <v>0</v>
      </c>
      <c r="N23" s="83">
        <v>5575.3272500000003</v>
      </c>
      <c r="O23" s="127">
        <f t="shared" si="14"/>
        <v>10.770519775059064</v>
      </c>
      <c r="P23" s="190">
        <v>4294.83979</v>
      </c>
      <c r="Q23" s="127" t="e">
        <f t="shared" si="15"/>
        <v>#DIV/0!</v>
      </c>
      <c r="R23" s="128" t="str">
        <f t="shared" si="7"/>
        <v/>
      </c>
      <c r="S23" s="129">
        <f t="shared" si="8"/>
        <v>-0.22967036777975683</v>
      </c>
      <c r="T23" s="188">
        <v>49250</v>
      </c>
      <c r="U23" s="188">
        <v>52311</v>
      </c>
      <c r="V23" s="189">
        <v>49816.831050000001</v>
      </c>
      <c r="X23" s="10"/>
    </row>
    <row r="24" spans="3:24" x14ac:dyDescent="0.25">
      <c r="C24" s="81" t="s">
        <v>71</v>
      </c>
      <c r="D24" s="83"/>
      <c r="E24" s="126"/>
      <c r="F24" s="83">
        <v>0</v>
      </c>
      <c r="G24" s="126"/>
      <c r="H24" s="83">
        <v>0</v>
      </c>
      <c r="I24" s="127" t="e">
        <f t="shared" si="12"/>
        <v>#DIV/0!</v>
      </c>
      <c r="J24" s="128" t="str">
        <f t="shared" si="5"/>
        <v/>
      </c>
      <c r="K24" s="128" t="str">
        <f t="shared" si="6"/>
        <v/>
      </c>
      <c r="L24" s="83">
        <v>0</v>
      </c>
      <c r="M24" s="126">
        <f t="shared" si="13"/>
        <v>0</v>
      </c>
      <c r="N24" s="83">
        <v>0</v>
      </c>
      <c r="O24" s="127">
        <f>+N29/$N$17</f>
        <v>0</v>
      </c>
      <c r="P24" s="190">
        <v>2069.0650000000001</v>
      </c>
      <c r="Q24" s="127" t="e">
        <f t="shared" si="15"/>
        <v>#DIV/0!</v>
      </c>
      <c r="R24" s="128" t="str">
        <f t="shared" si="7"/>
        <v/>
      </c>
      <c r="S24" s="129" t="str">
        <f>IF(N29=0,"",(P24-N29)/ABS(N29))</f>
        <v/>
      </c>
      <c r="T24" s="188">
        <v>0</v>
      </c>
      <c r="U24" s="188">
        <v>12664</v>
      </c>
      <c r="V24" s="189">
        <v>14221</v>
      </c>
      <c r="X24" s="10"/>
    </row>
    <row r="25" spans="3:24" x14ac:dyDescent="0.25">
      <c r="C25" s="112" t="s">
        <v>72</v>
      </c>
      <c r="D25" s="117">
        <f>SUM(D23:D24)</f>
        <v>0</v>
      </c>
      <c r="E25" s="113">
        <f t="shared" si="11"/>
        <v>0</v>
      </c>
      <c r="F25" s="117">
        <f>SUM(F23:F24)</f>
        <v>1115.0654299999999</v>
      </c>
      <c r="G25" s="113" t="e">
        <f t="shared" si="16"/>
        <v>#DIV/0!</v>
      </c>
      <c r="H25" s="117">
        <f>SUM(H23:H24)</f>
        <v>586.92444999999998</v>
      </c>
      <c r="I25" s="115" t="e">
        <f t="shared" si="12"/>
        <v>#DIV/0!</v>
      </c>
      <c r="J25" s="116" t="str">
        <f t="shared" si="5"/>
        <v/>
      </c>
      <c r="K25" s="116">
        <f t="shared" si="6"/>
        <v>-0.4736412463257873</v>
      </c>
      <c r="L25" s="117">
        <f>SUM(L23:L24)</f>
        <v>0</v>
      </c>
      <c r="M25" s="113">
        <f t="shared" si="13"/>
        <v>0</v>
      </c>
      <c r="N25" s="117">
        <f>+N23+N24</f>
        <v>5575.3272500000003</v>
      </c>
      <c r="O25" s="115">
        <f t="shared" si="14"/>
        <v>10.770519775059064</v>
      </c>
      <c r="P25" s="117">
        <f>SUM(P23:P24)</f>
        <v>6363.9047900000005</v>
      </c>
      <c r="Q25" s="115" t="e">
        <f t="shared" si="15"/>
        <v>#DIV/0!</v>
      </c>
      <c r="R25" s="116" t="str">
        <f t="shared" si="7"/>
        <v/>
      </c>
      <c r="S25" s="118">
        <f t="shared" si="8"/>
        <v>0.1414405835998237</v>
      </c>
      <c r="T25" s="188">
        <v>49250</v>
      </c>
      <c r="U25" s="188">
        <v>64975</v>
      </c>
      <c r="V25" s="189">
        <v>64037.831050000001</v>
      </c>
      <c r="X25" s="10"/>
    </row>
    <row r="26" spans="3:24" ht="15.75" thickBot="1" x14ac:dyDescent="0.3">
      <c r="C26" s="112" t="s">
        <v>74</v>
      </c>
      <c r="D26" s="117">
        <f>D22+D25</f>
        <v>8</v>
      </c>
      <c r="E26" s="113">
        <f t="shared" si="11"/>
        <v>4.3980208905992305E-3</v>
      </c>
      <c r="F26" s="117">
        <f>+F25+F22</f>
        <v>3965.3555799999995</v>
      </c>
      <c r="G26" s="113" t="e">
        <f t="shared" si="16"/>
        <v>#DIV/0!</v>
      </c>
      <c r="H26" s="117">
        <f>H22+H25</f>
        <v>2972.99865</v>
      </c>
      <c r="I26" s="115" t="e">
        <f t="shared" si="12"/>
        <v>#DIV/0!</v>
      </c>
      <c r="J26" s="116">
        <f t="shared" si="5"/>
        <v>371.62483125</v>
      </c>
      <c r="K26" s="116">
        <f t="shared" si="6"/>
        <v>-0.25025673233571644</v>
      </c>
      <c r="L26" s="117">
        <f>L22+L25</f>
        <v>30</v>
      </c>
      <c r="M26" s="113">
        <f t="shared" si="13"/>
        <v>4.5794535185467869E-3</v>
      </c>
      <c r="N26" s="117">
        <f>N22+N25</f>
        <v>18652.357539999997</v>
      </c>
      <c r="O26" s="115">
        <f t="shared" si="14"/>
        <v>36.032967524200849</v>
      </c>
      <c r="P26" s="117">
        <f>P22+P25</f>
        <v>25079.393600000003</v>
      </c>
      <c r="Q26" s="115" t="e">
        <f t="shared" si="15"/>
        <v>#DIV/0!</v>
      </c>
      <c r="R26" s="116">
        <f t="shared" si="7"/>
        <v>835.97978666666677</v>
      </c>
      <c r="S26" s="118">
        <f t="shared" si="8"/>
        <v>0.34456963663800788</v>
      </c>
      <c r="T26" s="188">
        <v>80050</v>
      </c>
      <c r="U26" s="188">
        <v>202310</v>
      </c>
      <c r="V26" s="189">
        <v>91035.849229999993</v>
      </c>
      <c r="X26" s="10"/>
    </row>
    <row r="27" spans="3:24" ht="15.75" thickBot="1" x14ac:dyDescent="0.3">
      <c r="C27" s="73" t="s">
        <v>75</v>
      </c>
      <c r="D27" s="141">
        <f>D19-D26</f>
        <v>-1071</v>
      </c>
      <c r="E27" s="142">
        <f t="shared" si="11"/>
        <v>-0.58878504672897192</v>
      </c>
      <c r="F27" s="141">
        <f>+F19-F26</f>
        <v>-3965.3555799999995</v>
      </c>
      <c r="G27" s="142" t="e">
        <f t="shared" si="16"/>
        <v>#DIV/0!</v>
      </c>
      <c r="H27" s="141">
        <f>H19-H26</f>
        <v>-2972.99865</v>
      </c>
      <c r="I27" s="143" t="e">
        <f t="shared" si="12"/>
        <v>#DIV/0!</v>
      </c>
      <c r="J27" s="144">
        <f t="shared" si="5"/>
        <v>-0.77590910364145649</v>
      </c>
      <c r="K27" s="144">
        <f t="shared" si="6"/>
        <v>0.25025673233571644</v>
      </c>
      <c r="L27" s="141">
        <f>L19-L26</f>
        <v>-3855</v>
      </c>
      <c r="M27" s="142">
        <f t="shared" si="13"/>
        <v>-0.58845977713326214</v>
      </c>
      <c r="N27" s="141">
        <f>N19-N26</f>
        <v>-18134.710539999996</v>
      </c>
      <c r="O27" s="143">
        <f t="shared" si="14"/>
        <v>-35.032967524200842</v>
      </c>
      <c r="P27" s="141">
        <f>P19-P26</f>
        <v>-25079.393600000003</v>
      </c>
      <c r="Q27" s="145" t="e">
        <f t="shared" si="15"/>
        <v>#DIV/0!</v>
      </c>
      <c r="R27" s="146">
        <f t="shared" si="7"/>
        <v>-4.5056792736705589</v>
      </c>
      <c r="S27" s="147">
        <f t="shared" si="8"/>
        <v>-0.3829497606086415</v>
      </c>
      <c r="T27" s="188">
        <v>-80050</v>
      </c>
      <c r="U27" s="188">
        <v>-202310</v>
      </c>
      <c r="V27" s="189">
        <v>-91035.849229999993</v>
      </c>
      <c r="X27" s="10"/>
    </row>
    <row r="28" spans="3:24" x14ac:dyDescent="0.25">
      <c r="C28" s="81" t="s">
        <v>76</v>
      </c>
      <c r="D28" s="83"/>
      <c r="E28" s="126">
        <f t="shared" si="11"/>
        <v>0</v>
      </c>
      <c r="F28" s="83">
        <v>0</v>
      </c>
      <c r="G28" s="126" t="e">
        <f t="shared" si="16"/>
        <v>#DIV/0!</v>
      </c>
      <c r="H28" s="83">
        <v>0</v>
      </c>
      <c r="I28" s="127" t="e">
        <f t="shared" si="12"/>
        <v>#DIV/0!</v>
      </c>
      <c r="J28" s="128" t="str">
        <f t="shared" si="5"/>
        <v/>
      </c>
      <c r="K28" s="128" t="e">
        <f t="shared" si="6"/>
        <v>#DIV/0!</v>
      </c>
      <c r="L28" s="83"/>
      <c r="M28" s="126">
        <f t="shared" si="13"/>
        <v>0</v>
      </c>
      <c r="N28" s="83">
        <v>0</v>
      </c>
      <c r="O28" s="127">
        <f t="shared" si="14"/>
        <v>0</v>
      </c>
      <c r="P28" s="83">
        <v>0</v>
      </c>
      <c r="Q28" s="127" t="e">
        <f t="shared" si="15"/>
        <v>#DIV/0!</v>
      </c>
      <c r="R28" s="148" t="str">
        <f t="shared" si="7"/>
        <v/>
      </c>
      <c r="S28" s="129" t="e">
        <f t="shared" si="8"/>
        <v>#DIV/0!</v>
      </c>
      <c r="T28" s="188"/>
      <c r="U28" s="188"/>
      <c r="V28" s="189"/>
      <c r="X28" s="10"/>
    </row>
    <row r="29" spans="3:24" ht="15.75" thickBot="1" x14ac:dyDescent="0.3">
      <c r="C29" s="81" t="s">
        <v>77</v>
      </c>
      <c r="D29" s="83"/>
      <c r="E29" s="126"/>
      <c r="F29" s="83">
        <v>0</v>
      </c>
      <c r="G29" s="126"/>
      <c r="H29" s="83">
        <v>2326.4349999999999</v>
      </c>
      <c r="I29" s="127" t="e">
        <f t="shared" si="12"/>
        <v>#DIV/0!</v>
      </c>
      <c r="J29" s="128" t="str">
        <f t="shared" si="5"/>
        <v/>
      </c>
      <c r="K29" s="128" t="str">
        <f t="shared" si="6"/>
        <v/>
      </c>
      <c r="L29" s="190">
        <v>0</v>
      </c>
      <c r="M29" s="126">
        <f t="shared" si="13"/>
        <v>0</v>
      </c>
      <c r="N29" s="83">
        <v>0</v>
      </c>
      <c r="O29" s="127">
        <f t="shared" si="14"/>
        <v>0</v>
      </c>
      <c r="P29" s="83">
        <v>8025.01</v>
      </c>
      <c r="Q29" s="127" t="e">
        <f t="shared" si="15"/>
        <v>#DIV/0!</v>
      </c>
      <c r="R29" s="148" t="str">
        <f t="shared" si="7"/>
        <v/>
      </c>
      <c r="S29" s="129" t="e">
        <f>IF(#REF!=0,"",(P29-#REF!)/ABS(#REF!))</f>
        <v>#REF!</v>
      </c>
      <c r="T29" s="188">
        <v>0</v>
      </c>
      <c r="U29" s="188">
        <v>30591</v>
      </c>
      <c r="V29" s="189">
        <v>14881.224990000001</v>
      </c>
      <c r="X29" s="10"/>
    </row>
    <row r="30" spans="3:24" ht="15.75" thickBot="1" x14ac:dyDescent="0.3">
      <c r="C30" s="73" t="s">
        <v>78</v>
      </c>
      <c r="D30" s="141">
        <f>+D27-D29</f>
        <v>-1071</v>
      </c>
      <c r="E30" s="142">
        <f t="shared" si="11"/>
        <v>-0.58878504672897192</v>
      </c>
      <c r="F30" s="141">
        <f>+F27+F28-F29</f>
        <v>-3965.3555799999995</v>
      </c>
      <c r="G30" s="142" t="e">
        <f t="shared" si="16"/>
        <v>#DIV/0!</v>
      </c>
      <c r="H30" s="141">
        <f>+H27-H29</f>
        <v>-5299.4336499999999</v>
      </c>
      <c r="I30" s="143" t="e">
        <f t="shared" si="12"/>
        <v>#DIV/0!</v>
      </c>
      <c r="J30" s="144">
        <f t="shared" si="5"/>
        <v>-2.9481173202614377</v>
      </c>
      <c r="K30" s="144">
        <f t="shared" si="6"/>
        <v>-0.33643340252477449</v>
      </c>
      <c r="L30" s="141">
        <f>L27+L28-L29</f>
        <v>-3855</v>
      </c>
      <c r="M30" s="142">
        <f t="shared" si="13"/>
        <v>-0.58845977713326214</v>
      </c>
      <c r="N30" s="141">
        <f>+N27-N29</f>
        <v>-18134.710539999996</v>
      </c>
      <c r="O30" s="143">
        <f t="shared" si="14"/>
        <v>-35.032967524200842</v>
      </c>
      <c r="P30" s="141">
        <f>P27+P28-P29</f>
        <v>-33104.403600000005</v>
      </c>
      <c r="Q30" s="143" t="e">
        <f t="shared" si="15"/>
        <v>#DIV/0!</v>
      </c>
      <c r="R30" s="144">
        <f t="shared" si="7"/>
        <v>-6.5873939299610909</v>
      </c>
      <c r="S30" s="147">
        <f t="shared" si="8"/>
        <v>-0.82547185007343449</v>
      </c>
      <c r="T30" s="188">
        <v>-80050</v>
      </c>
      <c r="U30" s="188">
        <v>-232901</v>
      </c>
      <c r="V30" s="189">
        <v>-105917.07421999999</v>
      </c>
      <c r="X30" s="10"/>
    </row>
    <row r="31" spans="3:24" ht="15.75" thickBot="1" x14ac:dyDescent="0.3">
      <c r="C31" s="81" t="s">
        <v>62</v>
      </c>
      <c r="D31" s="83">
        <v>-388</v>
      </c>
      <c r="E31" s="126">
        <f t="shared" si="11"/>
        <v>-0.21330401319406267</v>
      </c>
      <c r="F31" s="83"/>
      <c r="G31" s="126" t="e">
        <f>+G30*33%</f>
        <v>#DIV/0!</v>
      </c>
      <c r="H31" s="83"/>
      <c r="I31" s="127" t="e">
        <f t="shared" si="12"/>
        <v>#DIV/0!</v>
      </c>
      <c r="J31" s="128">
        <f t="shared" si="5"/>
        <v>2</v>
      </c>
      <c r="K31" s="128" t="str">
        <f t="shared" si="6"/>
        <v/>
      </c>
      <c r="L31" s="83">
        <v>-1398</v>
      </c>
      <c r="M31" s="126">
        <f t="shared" si="13"/>
        <v>-0.21340253396428027</v>
      </c>
      <c r="N31" s="83">
        <v>0</v>
      </c>
      <c r="O31" s="127">
        <f t="shared" si="14"/>
        <v>0</v>
      </c>
      <c r="P31" s="83">
        <f>+V31+H31</f>
        <v>0</v>
      </c>
      <c r="Q31" s="127" t="e">
        <f t="shared" si="15"/>
        <v>#DIV/0!</v>
      </c>
      <c r="R31" s="148">
        <f t="shared" si="7"/>
        <v>2</v>
      </c>
      <c r="S31" s="129" t="str">
        <f t="shared" si="8"/>
        <v/>
      </c>
      <c r="T31" s="188">
        <v>0</v>
      </c>
      <c r="U31" s="188">
        <v>-0.6000000000003638</v>
      </c>
      <c r="V31" s="189">
        <v>0</v>
      </c>
      <c r="X31" s="10"/>
    </row>
    <row r="32" spans="3:24" ht="15.75" thickBot="1" x14ac:dyDescent="0.3">
      <c r="C32" s="73" t="s">
        <v>79</v>
      </c>
      <c r="D32" s="141">
        <f>+D30</f>
        <v>-1071</v>
      </c>
      <c r="E32" s="142">
        <f t="shared" si="11"/>
        <v>-0.58878504672897192</v>
      </c>
      <c r="F32" s="141">
        <f>+F30-F31</f>
        <v>-3965.3555799999995</v>
      </c>
      <c r="G32" s="142" t="e">
        <f t="shared" si="16"/>
        <v>#DIV/0!</v>
      </c>
      <c r="H32" s="141">
        <f>H30-H31</f>
        <v>-5299.4336499999999</v>
      </c>
      <c r="I32" s="143" t="e">
        <f t="shared" si="12"/>
        <v>#DIV/0!</v>
      </c>
      <c r="J32" s="144">
        <f t="shared" si="5"/>
        <v>-2.9481173202614377</v>
      </c>
      <c r="K32" s="144">
        <f t="shared" si="6"/>
        <v>-0.33643340252477449</v>
      </c>
      <c r="L32" s="141">
        <f>L30-L31</f>
        <v>-2457</v>
      </c>
      <c r="M32" s="142">
        <f t="shared" si="13"/>
        <v>-0.37505724316898181</v>
      </c>
      <c r="N32" s="141">
        <f>N30-N31</f>
        <v>-18134.710539999996</v>
      </c>
      <c r="O32" s="143">
        <f t="shared" si="14"/>
        <v>-35.032967524200842</v>
      </c>
      <c r="P32" s="141">
        <f>+P30-P31</f>
        <v>-33104.403600000005</v>
      </c>
      <c r="Q32" s="143" t="e">
        <f t="shared" si="15"/>
        <v>#DIV/0!</v>
      </c>
      <c r="R32" s="144">
        <f t="shared" si="7"/>
        <v>-11.473505738705741</v>
      </c>
      <c r="S32" s="147">
        <f t="shared" si="8"/>
        <v>-0.82547185007343449</v>
      </c>
      <c r="T32" s="188">
        <v>-80050</v>
      </c>
      <c r="U32" s="188">
        <v>-232900.4</v>
      </c>
      <c r="V32" s="189">
        <v>-105917.07421999999</v>
      </c>
      <c r="X32" s="10"/>
    </row>
    <row r="33" spans="1:24" ht="15.75" thickBot="1" x14ac:dyDescent="0.3">
      <c r="B33" s="187" t="s">
        <v>80</v>
      </c>
      <c r="C33" s="73" t="s">
        <v>81</v>
      </c>
      <c r="D33" s="141">
        <v>-1071</v>
      </c>
      <c r="E33" s="142"/>
      <c r="F33" s="141">
        <v>-464.21599999999944</v>
      </c>
      <c r="G33" s="142" t="e">
        <f t="shared" si="16"/>
        <v>#DIV/0!</v>
      </c>
      <c r="H33" s="141">
        <v>0</v>
      </c>
      <c r="I33" s="143" t="e">
        <f t="shared" si="12"/>
        <v>#DIV/0!</v>
      </c>
      <c r="J33" s="144">
        <f t="shared" si="5"/>
        <v>2</v>
      </c>
      <c r="K33" s="144">
        <f t="shared" si="6"/>
        <v>1</v>
      </c>
      <c r="L33" s="141">
        <v>-3855</v>
      </c>
      <c r="M33" s="142">
        <f t="shared" si="13"/>
        <v>-0.58845977713326214</v>
      </c>
      <c r="N33" s="141">
        <v>-774.78699999999662</v>
      </c>
      <c r="O33" s="143">
        <f t="shared" si="14"/>
        <v>-1.4967477837213323</v>
      </c>
      <c r="P33" s="141">
        <v>-8854.1825700000045</v>
      </c>
      <c r="Q33" s="143" t="e">
        <f t="shared" si="15"/>
        <v>#DIV/0!</v>
      </c>
      <c r="R33" s="144">
        <f t="shared" si="7"/>
        <v>-0.29680481712062368</v>
      </c>
      <c r="S33" s="147">
        <f t="shared" si="8"/>
        <v>-10.427892530463266</v>
      </c>
      <c r="T33" s="188">
        <v>-6000</v>
      </c>
      <c r="U33" s="188">
        <v>-126860</v>
      </c>
      <c r="V33" s="189">
        <v>-16137.288</v>
      </c>
      <c r="X33" s="10"/>
    </row>
    <row r="34" spans="1:24" ht="15.75" thickBot="1" x14ac:dyDescent="0.3">
      <c r="C34" s="153" t="s">
        <v>45</v>
      </c>
      <c r="D34" s="154">
        <v>0</v>
      </c>
      <c r="E34" s="155">
        <f t="shared" si="11"/>
        <v>0</v>
      </c>
      <c r="F34" s="154">
        <v>0</v>
      </c>
      <c r="G34" s="155" t="e">
        <f t="shared" si="16"/>
        <v>#DIV/0!</v>
      </c>
      <c r="H34" s="154">
        <v>0</v>
      </c>
      <c r="I34" s="156" t="e">
        <f t="shared" si="12"/>
        <v>#DIV/0!</v>
      </c>
      <c r="J34" s="157" t="str">
        <f t="shared" si="5"/>
        <v/>
      </c>
      <c r="K34" s="157" t="str">
        <f t="shared" si="6"/>
        <v/>
      </c>
      <c r="L34" s="154">
        <v>0</v>
      </c>
      <c r="M34" s="155">
        <f t="shared" si="13"/>
        <v>0</v>
      </c>
      <c r="N34" s="154">
        <v>0</v>
      </c>
      <c r="O34" s="154">
        <f t="shared" si="14"/>
        <v>0</v>
      </c>
      <c r="P34" s="154">
        <v>0</v>
      </c>
      <c r="Q34" s="159" t="e">
        <f t="shared" si="15"/>
        <v>#DIV/0!</v>
      </c>
      <c r="R34" s="160" t="str">
        <f t="shared" si="7"/>
        <v/>
      </c>
      <c r="S34" s="161" t="str">
        <f t="shared" si="8"/>
        <v/>
      </c>
      <c r="V34" s="178">
        <v>1261</v>
      </c>
    </row>
    <row r="35" spans="1:24" s="191" customFormat="1" x14ac:dyDescent="0.25">
      <c r="C35" s="181"/>
      <c r="D35" s="181"/>
      <c r="E35" s="181"/>
      <c r="F35" s="10"/>
      <c r="G35" s="181"/>
      <c r="H35" s="181" t="s">
        <v>70</v>
      </c>
      <c r="I35" s="181"/>
      <c r="J35" s="181"/>
      <c r="K35" s="181"/>
      <c r="L35" s="10"/>
      <c r="M35" s="10"/>
      <c r="N35" s="10"/>
      <c r="O35" s="10"/>
      <c r="P35" s="149" t="s">
        <v>70</v>
      </c>
      <c r="Q35" s="10"/>
      <c r="R35" s="10"/>
      <c r="T35" s="138"/>
      <c r="U35" s="138"/>
      <c r="V35" s="178"/>
      <c r="W35" s="138"/>
    </row>
    <row r="36" spans="1:24" s="138" customFormat="1" x14ac:dyDescent="0.25">
      <c r="C36" s="181" t="s">
        <v>73</v>
      </c>
      <c r="D36" s="181"/>
      <c r="E36" s="181"/>
      <c r="F36" s="10"/>
      <c r="G36" s="181"/>
      <c r="H36" s="181"/>
      <c r="I36" s="181"/>
      <c r="J36" s="181"/>
      <c r="K36" s="181"/>
      <c r="L36" s="149"/>
      <c r="M36" s="10"/>
      <c r="N36" s="10"/>
      <c r="O36" s="10"/>
      <c r="P36" s="149"/>
      <c r="Q36" s="10"/>
      <c r="R36" s="10"/>
      <c r="V36" s="178"/>
      <c r="W36" s="138">
        <v>-10438</v>
      </c>
    </row>
    <row r="37" spans="1:24" s="138" customFormat="1" x14ac:dyDescent="0.25">
      <c r="C37" s="181"/>
      <c r="D37" s="181"/>
      <c r="E37" s="181"/>
      <c r="F37" s="10"/>
      <c r="G37" s="181"/>
      <c r="H37" s="181"/>
      <c r="I37" s="181"/>
      <c r="J37" s="181"/>
      <c r="K37" s="181"/>
      <c r="L37" s="10"/>
      <c r="M37" s="10"/>
      <c r="N37" s="10"/>
      <c r="O37" s="10"/>
      <c r="P37" s="149"/>
      <c r="Q37" s="10"/>
      <c r="R37" s="10"/>
      <c r="T37" s="139"/>
      <c r="U37" s="139"/>
      <c r="V37" s="192"/>
    </row>
    <row r="38" spans="1:24" s="138" customFormat="1" x14ac:dyDescent="0.25">
      <c r="F38" s="15"/>
      <c r="L38" s="12"/>
      <c r="M38" s="15"/>
      <c r="N38" s="15"/>
      <c r="O38" s="15"/>
      <c r="P38" s="15">
        <v>-85448.737999999998</v>
      </c>
      <c r="Q38" s="15"/>
      <c r="R38" s="15"/>
      <c r="T38" s="139"/>
      <c r="U38" s="139"/>
      <c r="V38" s="192"/>
    </row>
    <row r="39" spans="1:24" s="138" customFormat="1" x14ac:dyDescent="0.25">
      <c r="F39" s="15"/>
      <c r="L39" s="12"/>
      <c r="M39" s="15"/>
      <c r="N39" s="15"/>
      <c r="O39" s="15"/>
      <c r="P39" s="87">
        <v>12100</v>
      </c>
      <c r="Q39" s="15"/>
      <c r="R39" s="15"/>
      <c r="V39" s="178">
        <v>12100</v>
      </c>
      <c r="W39" s="138">
        <v>448745.69620000001</v>
      </c>
    </row>
    <row r="40" spans="1:24" s="138" customFormat="1" x14ac:dyDescent="0.25">
      <c r="D40" s="138">
        <v>195955</v>
      </c>
      <c r="F40" s="15"/>
      <c r="H40" s="138">
        <v>128062.6955</v>
      </c>
      <c r="L40" s="191"/>
      <c r="N40" s="15"/>
      <c r="P40" s="193">
        <v>1178869.0420000001</v>
      </c>
      <c r="V40" s="178">
        <v>1178869.0420000001</v>
      </c>
      <c r="W40" s="138">
        <v>1178869.0420000001</v>
      </c>
    </row>
    <row r="41" spans="1:24" s="138" customFormat="1" x14ac:dyDescent="0.25">
      <c r="D41" s="138">
        <v>380521</v>
      </c>
      <c r="F41" s="15"/>
      <c r="H41" s="138">
        <v>372907.95599999995</v>
      </c>
      <c r="L41" s="138">
        <v>0</v>
      </c>
      <c r="N41" s="15"/>
      <c r="P41" s="138">
        <v>0</v>
      </c>
      <c r="T41" s="138">
        <v>0</v>
      </c>
      <c r="V41" s="178">
        <v>0</v>
      </c>
      <c r="W41" s="138">
        <v>0</v>
      </c>
      <c r="X41" s="191"/>
    </row>
    <row r="42" spans="1:24" s="15" customFormat="1" x14ac:dyDescent="0.25">
      <c r="A42" s="138"/>
      <c r="B42" s="138"/>
      <c r="C42" s="138"/>
      <c r="D42" s="138"/>
      <c r="E42" s="138"/>
      <c r="G42" s="138"/>
      <c r="H42" s="138"/>
      <c r="I42" s="138"/>
      <c r="J42" s="138"/>
      <c r="K42" s="138"/>
      <c r="L42" s="138"/>
      <c r="M42" s="138"/>
      <c r="O42" s="138"/>
      <c r="P42" s="138"/>
      <c r="Q42" s="138"/>
      <c r="R42" s="138"/>
      <c r="S42" s="138"/>
      <c r="T42" s="138"/>
      <c r="U42" s="138"/>
      <c r="V42" s="178"/>
      <c r="W42" s="138"/>
      <c r="X42" s="12"/>
    </row>
    <row r="43" spans="1:24" s="138" customFormat="1" x14ac:dyDescent="0.25">
      <c r="F43" s="15"/>
      <c r="N43" s="15"/>
      <c r="V43" s="178"/>
      <c r="X43" s="191"/>
    </row>
    <row r="44" spans="1:24" s="138" customFormat="1" x14ac:dyDescent="0.25">
      <c r="F44" s="15"/>
      <c r="N44" s="15"/>
      <c r="V44" s="178"/>
      <c r="X44" s="191"/>
    </row>
    <row r="45" spans="1:24" s="138" customFormat="1" x14ac:dyDescent="0.25">
      <c r="F45" s="15"/>
      <c r="N45" s="15"/>
      <c r="V45" s="178"/>
      <c r="X45" s="191"/>
    </row>
    <row r="46" spans="1:24" s="138" customFormat="1" x14ac:dyDescent="0.25">
      <c r="F46" s="15"/>
      <c r="N46" s="15"/>
      <c r="V46" s="178"/>
      <c r="X46" s="191"/>
    </row>
    <row r="47" spans="1:24" s="138" customFormat="1" x14ac:dyDescent="0.25">
      <c r="F47" s="15"/>
      <c r="N47" s="15"/>
      <c r="V47" s="178"/>
      <c r="X47" s="191"/>
    </row>
    <row r="48" spans="1:24" s="138" customFormat="1" x14ac:dyDescent="0.25">
      <c r="F48" s="15"/>
      <c r="N48" s="15"/>
      <c r="V48" s="178"/>
      <c r="X48" s="191"/>
    </row>
    <row r="49" spans="6:24" s="138" customFormat="1" x14ac:dyDescent="0.25">
      <c r="F49" s="15"/>
      <c r="N49" s="15"/>
      <c r="V49" s="178"/>
      <c r="X49" s="191"/>
    </row>
    <row r="50" spans="6:24" s="138" customFormat="1" x14ac:dyDescent="0.25">
      <c r="F50" s="15"/>
      <c r="N50" s="15"/>
      <c r="V50" s="178"/>
      <c r="X50" s="191"/>
    </row>
    <row r="51" spans="6:24" s="138" customFormat="1" x14ac:dyDescent="0.25">
      <c r="F51" s="15"/>
      <c r="N51" s="15"/>
      <c r="V51" s="178"/>
      <c r="X51" s="191"/>
    </row>
    <row r="52" spans="6:24" s="138" customFormat="1" x14ac:dyDescent="0.25">
      <c r="F52" s="15"/>
      <c r="N52" s="15"/>
      <c r="V52" s="178"/>
      <c r="X52" s="191"/>
    </row>
    <row r="53" spans="6:24" s="138" customFormat="1" x14ac:dyDescent="0.25">
      <c r="F53" s="15"/>
      <c r="N53" s="15"/>
      <c r="V53" s="178"/>
      <c r="X53" s="191"/>
    </row>
    <row r="54" spans="6:24" s="138" customFormat="1" x14ac:dyDescent="0.25">
      <c r="F54" s="15"/>
      <c r="N54" s="15"/>
      <c r="V54" s="178"/>
      <c r="X54" s="191"/>
    </row>
    <row r="55" spans="6:24" s="138" customFormat="1" x14ac:dyDescent="0.25">
      <c r="F55" s="15"/>
      <c r="N55" s="15"/>
      <c r="V55" s="178"/>
      <c r="X55" s="191"/>
    </row>
    <row r="56" spans="6:24" s="138" customFormat="1" x14ac:dyDescent="0.25">
      <c r="F56" s="15"/>
      <c r="N56" s="15"/>
      <c r="V56" s="178"/>
      <c r="X56" s="191"/>
    </row>
    <row r="57" spans="6:24" s="138" customFormat="1" x14ac:dyDescent="0.25">
      <c r="F57" s="15"/>
      <c r="N57" s="15"/>
      <c r="V57" s="178"/>
      <c r="X57" s="191"/>
    </row>
    <row r="58" spans="6:24" s="138" customFormat="1" x14ac:dyDescent="0.25">
      <c r="F58" s="15"/>
      <c r="N58" s="15"/>
      <c r="V58" s="178"/>
      <c r="X58" s="191"/>
    </row>
    <row r="59" spans="6:24" s="138" customFormat="1" x14ac:dyDescent="0.25">
      <c r="F59" s="15"/>
      <c r="N59" s="15"/>
      <c r="V59" s="178"/>
      <c r="X59" s="191"/>
    </row>
    <row r="60" spans="6:24" s="138" customFormat="1" x14ac:dyDescent="0.25">
      <c r="F60" s="15"/>
      <c r="N60" s="15"/>
      <c r="V60" s="178"/>
      <c r="X60" s="191"/>
    </row>
    <row r="61" spans="6:24" s="138" customFormat="1" x14ac:dyDescent="0.25">
      <c r="F61" s="15"/>
      <c r="N61" s="15"/>
      <c r="V61" s="178"/>
      <c r="X61" s="191"/>
    </row>
    <row r="62" spans="6:24" s="138" customFormat="1" x14ac:dyDescent="0.25">
      <c r="F62" s="15"/>
      <c r="N62" s="15"/>
      <c r="V62" s="178"/>
      <c r="X62" s="191"/>
    </row>
    <row r="63" spans="6:24" s="138" customFormat="1" x14ac:dyDescent="0.25">
      <c r="F63" s="15"/>
      <c r="N63" s="15"/>
      <c r="V63" s="178"/>
      <c r="X63" s="191"/>
    </row>
    <row r="64" spans="6:24" s="138" customFormat="1" x14ac:dyDescent="0.25">
      <c r="F64" s="15"/>
      <c r="N64" s="15"/>
      <c r="V64" s="178"/>
      <c r="X64" s="191"/>
    </row>
    <row r="65" spans="6:24" s="138" customFormat="1" x14ac:dyDescent="0.25">
      <c r="F65" s="15"/>
      <c r="N65" s="15"/>
      <c r="V65" s="178"/>
      <c r="X65" s="191"/>
    </row>
    <row r="66" spans="6:24" s="138" customFormat="1" x14ac:dyDescent="0.25">
      <c r="F66" s="15"/>
      <c r="N66" s="15"/>
      <c r="V66" s="178"/>
      <c r="X66" s="191"/>
    </row>
    <row r="67" spans="6:24" s="138" customFormat="1" x14ac:dyDescent="0.25">
      <c r="F67" s="15"/>
      <c r="N67" s="15"/>
      <c r="V67" s="178"/>
      <c r="X67" s="191"/>
    </row>
    <row r="68" spans="6:24" s="138" customFormat="1" x14ac:dyDescent="0.25">
      <c r="F68" s="15"/>
      <c r="N68" s="15"/>
      <c r="V68" s="178"/>
      <c r="X68" s="191"/>
    </row>
    <row r="69" spans="6:24" s="138" customFormat="1" x14ac:dyDescent="0.25">
      <c r="F69" s="15"/>
      <c r="N69" s="15"/>
      <c r="V69" s="178"/>
      <c r="X69" s="191"/>
    </row>
    <row r="70" spans="6:24" s="138" customFormat="1" x14ac:dyDescent="0.25">
      <c r="F70" s="15"/>
      <c r="N70" s="15"/>
      <c r="V70" s="178"/>
      <c r="X70" s="191"/>
    </row>
    <row r="71" spans="6:24" s="138" customFormat="1" x14ac:dyDescent="0.25">
      <c r="F71" s="15"/>
      <c r="N71" s="15"/>
      <c r="V71" s="178"/>
      <c r="X71" s="191"/>
    </row>
    <row r="72" spans="6:24" s="138" customFormat="1" x14ac:dyDescent="0.25">
      <c r="F72" s="15"/>
      <c r="N72" s="15"/>
      <c r="V72" s="178"/>
      <c r="X72" s="191"/>
    </row>
    <row r="73" spans="6:24" s="138" customFormat="1" x14ac:dyDescent="0.25">
      <c r="F73" s="15"/>
      <c r="N73" s="15"/>
      <c r="V73" s="178"/>
      <c r="X73" s="191"/>
    </row>
    <row r="74" spans="6:24" s="138" customFormat="1" x14ac:dyDescent="0.25">
      <c r="F74" s="15"/>
      <c r="N74" s="15"/>
      <c r="V74" s="178"/>
      <c r="X74" s="191"/>
    </row>
    <row r="75" spans="6:24" s="138" customFormat="1" x14ac:dyDescent="0.25">
      <c r="F75" s="15"/>
      <c r="N75" s="15"/>
      <c r="V75" s="178"/>
      <c r="X75" s="191"/>
    </row>
    <row r="76" spans="6:24" s="138" customFormat="1" x14ac:dyDescent="0.25">
      <c r="F76" s="15"/>
      <c r="N76" s="15"/>
      <c r="V76" s="178"/>
      <c r="X76" s="191"/>
    </row>
    <row r="77" spans="6:24" s="138" customFormat="1" x14ac:dyDescent="0.25">
      <c r="F77" s="15"/>
      <c r="N77" s="15"/>
      <c r="V77" s="178"/>
      <c r="X77" s="191"/>
    </row>
    <row r="78" spans="6:24" s="138" customFormat="1" x14ac:dyDescent="0.25">
      <c r="F78" s="15"/>
      <c r="N78" s="15"/>
      <c r="V78" s="178"/>
      <c r="X78" s="191"/>
    </row>
    <row r="79" spans="6:24" s="138" customFormat="1" x14ac:dyDescent="0.25">
      <c r="F79" s="15"/>
      <c r="N79" s="15"/>
      <c r="V79" s="178"/>
      <c r="X79" s="191"/>
    </row>
    <row r="80" spans="6:24" s="138" customFormat="1" x14ac:dyDescent="0.25">
      <c r="F80" s="15"/>
      <c r="N80" s="15"/>
      <c r="V80" s="178"/>
      <c r="X80" s="191"/>
    </row>
    <row r="81" spans="6:24" s="138" customFormat="1" x14ac:dyDescent="0.25">
      <c r="F81" s="15"/>
      <c r="N81" s="15"/>
      <c r="V81" s="178"/>
      <c r="X81" s="191"/>
    </row>
    <row r="82" spans="6:24" s="138" customFormat="1" x14ac:dyDescent="0.25">
      <c r="F82" s="15"/>
      <c r="N82" s="15"/>
      <c r="V82" s="178"/>
      <c r="X82" s="191"/>
    </row>
  </sheetData>
  <mergeCells count="4">
    <mergeCell ref="C3:S3"/>
    <mergeCell ref="D4:K4"/>
    <mergeCell ref="L4:S4"/>
    <mergeCell ref="N5:O5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5027A-0F8A-4D8B-BDDA-7A0B39903C41}">
  <dimension ref="A1:AJ46"/>
  <sheetViews>
    <sheetView topLeftCell="A4" zoomScale="86" zoomScaleNormal="86" workbookViewId="0">
      <pane xSplit="3" ySplit="3" topLeftCell="D7" activePane="bottomRight" state="frozen"/>
      <selection activeCell="C4" sqref="C4"/>
      <selection pane="topRight" activeCell="D4" sqref="D4"/>
      <selection pane="bottomLeft" activeCell="C7" sqref="C7"/>
      <selection pane="bottomRight" activeCell="E22" sqref="E22"/>
    </sheetView>
  </sheetViews>
  <sheetFormatPr baseColWidth="10" defaultRowHeight="15" x14ac:dyDescent="0.25"/>
  <cols>
    <col min="1" max="1" width="11.42578125" style="10" hidden="1" customWidth="1"/>
    <col min="2" max="2" width="0.85546875" style="10" customWidth="1"/>
    <col min="3" max="3" width="35.7109375" style="10" customWidth="1"/>
    <col min="4" max="4" width="11.140625" style="10" customWidth="1"/>
    <col min="5" max="5" width="7.140625" style="10" customWidth="1"/>
    <col min="6" max="6" width="11" style="15" customWidth="1"/>
    <col min="7" max="7" width="6.42578125" style="10" customWidth="1"/>
    <col min="8" max="8" width="10.85546875" style="10" customWidth="1"/>
    <col min="9" max="9" width="5.42578125" style="10" customWidth="1"/>
    <col min="10" max="10" width="7.5703125" style="10" customWidth="1"/>
    <col min="11" max="11" width="9.5703125" style="10" customWidth="1"/>
    <col min="12" max="12" width="10.5703125" style="10" customWidth="1"/>
    <col min="13" max="13" width="5.42578125" style="10" customWidth="1"/>
    <col min="14" max="14" width="10.7109375" style="15" customWidth="1"/>
    <col min="15" max="15" width="5.42578125" style="10" customWidth="1"/>
    <col min="16" max="16" width="10.42578125" style="10" customWidth="1"/>
    <col min="17" max="17" width="6.28515625" style="10" customWidth="1"/>
    <col min="18" max="18" width="7.42578125" style="10" customWidth="1"/>
    <col min="19" max="19" width="7.140625" style="10" customWidth="1"/>
    <col min="20" max="20" width="13.42578125" style="196" customWidth="1"/>
    <col min="21" max="21" width="11.42578125" style="196" customWidth="1"/>
    <col min="22" max="22" width="11.42578125" style="197" customWidth="1"/>
    <col min="23" max="23" width="27.85546875" style="10" customWidth="1"/>
    <col min="24" max="30" width="11.42578125" style="10"/>
    <col min="31" max="31" width="8.7109375" style="10" customWidth="1"/>
    <col min="32" max="32" width="7.5703125" style="10" customWidth="1"/>
    <col min="33" max="34" width="11.42578125" style="12"/>
    <col min="35" max="35" width="13.42578125" style="12" customWidth="1"/>
    <col min="36" max="16384" width="11.42578125" style="10"/>
  </cols>
  <sheetData>
    <row r="1" spans="1:36" s="4" customFormat="1" ht="30" hidden="1" x14ac:dyDescent="0.25">
      <c r="C1" s="3" t="s">
        <v>0</v>
      </c>
      <c r="D1" s="4" t="s">
        <v>1</v>
      </c>
      <c r="F1" s="8" t="s">
        <v>2</v>
      </c>
      <c r="H1" s="4" t="s">
        <v>3</v>
      </c>
      <c r="K1" s="4" t="s">
        <v>4</v>
      </c>
      <c r="L1" s="4" t="s">
        <v>5</v>
      </c>
      <c r="N1" s="8" t="s">
        <v>6</v>
      </c>
      <c r="P1" s="4" t="s">
        <v>7</v>
      </c>
      <c r="T1" s="194"/>
      <c r="U1" s="194"/>
      <c r="V1" s="194"/>
      <c r="AG1" s="5"/>
      <c r="AH1" s="5"/>
      <c r="AI1" s="5"/>
    </row>
    <row r="2" spans="1:36" ht="30.75" hidden="1" x14ac:dyDescent="0.3">
      <c r="A2" s="4" t="s">
        <v>8</v>
      </c>
      <c r="B2" s="195">
        <v>201301</v>
      </c>
      <c r="D2" s="11">
        <f>B2</f>
        <v>201301</v>
      </c>
      <c r="F2" s="15" t="str">
        <f>CONCATENATE(LEFT(B2,4)-1,RIGHT(B2,2))</f>
        <v>201201</v>
      </c>
      <c r="H2" s="10">
        <f>B2</f>
        <v>201301</v>
      </c>
      <c r="L2" s="11" t="str">
        <f>CONCATENATE(LEFT(D2,4),"01")</f>
        <v>201301</v>
      </c>
      <c r="N2" s="15" t="str">
        <f>+F2</f>
        <v>201201</v>
      </c>
      <c r="P2" s="10">
        <f>D2</f>
        <v>201301</v>
      </c>
      <c r="Z2" s="14"/>
      <c r="AA2" s="14"/>
      <c r="AB2" s="14"/>
      <c r="AC2" s="14"/>
    </row>
    <row r="3" spans="1:36" ht="19.5" thickBot="1" x14ac:dyDescent="0.35">
      <c r="B3" s="10">
        <v>1000</v>
      </c>
      <c r="C3" s="17" t="s">
        <v>92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98"/>
      <c r="W3" s="19" t="str">
        <f>+C3</f>
        <v>MUSICAR S.A. COLOMBIA CONSOLIDADO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6" ht="19.5" thickBot="1" x14ac:dyDescent="0.35">
      <c r="A4" s="10" t="s">
        <v>93</v>
      </c>
      <c r="B4" s="10">
        <v>1</v>
      </c>
      <c r="C4" s="21"/>
      <c r="D4" s="182">
        <f>+'COLOMB$ 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T4" s="199"/>
      <c r="U4" s="200"/>
      <c r="W4" s="14"/>
      <c r="X4" s="201" t="str">
        <f>+'COLOMB$ '!X4:Z4</f>
        <v>MAYO</v>
      </c>
      <c r="Y4" s="202"/>
      <c r="Z4" s="202"/>
      <c r="AA4" s="203" t="str">
        <f>+'COLOMB$ '!AA4:AC4</f>
        <v>ACUM  MAYO</v>
      </c>
      <c r="AB4" s="204"/>
      <c r="AC4" s="205"/>
      <c r="AG4" s="10"/>
      <c r="AH4" s="10"/>
      <c r="AI4" s="10"/>
    </row>
    <row r="5" spans="1:36" ht="15.75" thickBot="1" x14ac:dyDescent="0.3">
      <c r="A5" s="10" t="s">
        <v>94</v>
      </c>
      <c r="B5" s="10" t="s">
        <v>95</v>
      </c>
      <c r="C5" s="36" t="s">
        <v>15</v>
      </c>
      <c r="D5" s="184" t="str">
        <f>+'COLOMB$ '!D5:E5</f>
        <v>Ppto 2022</v>
      </c>
      <c r="E5" s="185"/>
      <c r="F5" s="184" t="str">
        <f>+'COLOMB$ '!F5:G5</f>
        <v>Real 2021</v>
      </c>
      <c r="G5" s="185"/>
      <c r="H5" s="184" t="str">
        <f>+'COLOMB$ '!H5:I5</f>
        <v>real 2022</v>
      </c>
      <c r="I5" s="185"/>
      <c r="J5" s="39" t="s">
        <v>19</v>
      </c>
      <c r="K5" s="40" t="s">
        <v>20</v>
      </c>
      <c r="L5" s="184" t="str">
        <f>+D5</f>
        <v>Ppto 2022</v>
      </c>
      <c r="M5" s="206"/>
      <c r="N5" s="184" t="str">
        <f>+F5</f>
        <v>Real 2021</v>
      </c>
      <c r="O5" s="206"/>
      <c r="P5" s="37" t="str">
        <f>+H5</f>
        <v>real 2022</v>
      </c>
      <c r="Q5" s="38"/>
      <c r="R5" s="39" t="s">
        <v>19</v>
      </c>
      <c r="S5" s="41" t="s">
        <v>20</v>
      </c>
      <c r="T5" s="207"/>
      <c r="U5" s="200"/>
      <c r="W5" s="208" t="s">
        <v>15</v>
      </c>
      <c r="X5" s="209" t="str">
        <f>+D5</f>
        <v>Ppto 2022</v>
      </c>
      <c r="Y5" s="209" t="str">
        <f>+F5</f>
        <v>Real 2021</v>
      </c>
      <c r="Z5" s="210" t="str">
        <f>+P5</f>
        <v>real 2022</v>
      </c>
      <c r="AA5" s="211" t="str">
        <f>+X5</f>
        <v>Ppto 2022</v>
      </c>
      <c r="AB5" s="47" t="str">
        <f>+Y5</f>
        <v>Real 2021</v>
      </c>
      <c r="AC5" s="212" t="str">
        <f>+Z5</f>
        <v>real 2022</v>
      </c>
      <c r="AD5" s="47" t="s">
        <v>23</v>
      </c>
      <c r="AE5" s="47" t="s">
        <v>19</v>
      </c>
      <c r="AF5" s="47" t="s">
        <v>20</v>
      </c>
      <c r="AG5" s="10"/>
      <c r="AH5" s="10"/>
      <c r="AI5" s="10"/>
    </row>
    <row r="6" spans="1:36" ht="15.75" thickBot="1" x14ac:dyDescent="0.3">
      <c r="C6" s="50" t="s">
        <v>25</v>
      </c>
      <c r="D6" s="51" t="s">
        <v>26</v>
      </c>
      <c r="E6" s="52" t="s">
        <v>27</v>
      </c>
      <c r="F6" s="51" t="s">
        <v>26</v>
      </c>
      <c r="G6" s="52" t="s">
        <v>27</v>
      </c>
      <c r="H6" s="51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51" t="s">
        <v>26</v>
      </c>
      <c r="O6" s="54" t="s">
        <v>27</v>
      </c>
      <c r="P6" s="51" t="s">
        <v>26</v>
      </c>
      <c r="Q6" s="54" t="s">
        <v>27</v>
      </c>
      <c r="R6" s="55" t="s">
        <v>28</v>
      </c>
      <c r="S6" s="56" t="s">
        <v>28</v>
      </c>
      <c r="T6" s="213"/>
      <c r="U6" s="200"/>
      <c r="V6" s="214"/>
      <c r="W6" s="57" t="s">
        <v>29</v>
      </c>
      <c r="X6" s="63"/>
      <c r="Y6" s="63"/>
      <c r="Z6" s="59"/>
      <c r="AA6" s="211" t="s">
        <v>30</v>
      </c>
      <c r="AB6" s="47" t="s">
        <v>30</v>
      </c>
      <c r="AC6" s="212" t="s">
        <v>30</v>
      </c>
      <c r="AD6" s="62"/>
      <c r="AE6" s="63" t="s">
        <v>28</v>
      </c>
      <c r="AF6" s="63" t="s">
        <v>28</v>
      </c>
      <c r="AG6" s="10"/>
      <c r="AH6" s="10"/>
      <c r="AI6" s="10"/>
    </row>
    <row r="7" spans="1:36" ht="15.75" thickBot="1" x14ac:dyDescent="0.3">
      <c r="B7" s="11" t="s">
        <v>96</v>
      </c>
      <c r="C7" s="65" t="str">
        <f>+'COLOMB$ '!C7</f>
        <v>Fact. Musical Experience  (Ambiental)</v>
      </c>
      <c r="D7" s="66">
        <f>+'COLOMB$ '!D7+'PROY SAT$'!D7</f>
        <v>347696</v>
      </c>
      <c r="E7" s="67">
        <f t="shared" ref="E7:E34" si="0">+D7/$D$17</f>
        <v>0.40224854549093514</v>
      </c>
      <c r="F7" s="66">
        <f>+'COLOMB$ '!F7+'PROY SAT$'!F7</f>
        <v>305572.49099999998</v>
      </c>
      <c r="G7" s="67">
        <f t="shared" ref="G7:G13" si="1">+F7/$F$17</f>
        <v>0.43323421683881569</v>
      </c>
      <c r="H7" s="66">
        <f>+'COLOMB$ '!H7+'PROY SAT$'!H7</f>
        <v>340914.14600000001</v>
      </c>
      <c r="I7" s="68">
        <f t="shared" ref="I7:I34" si="2">+H7/$H$17</f>
        <v>0.39289288543933898</v>
      </c>
      <c r="J7" s="69">
        <f>IF(D7=0,"",(H7-D7)/ABS(D7)+1)</f>
        <v>0.98049487483318765</v>
      </c>
      <c r="K7" s="69">
        <f>IF(F7=0,"",(H7-F7)/ABS(F7))</f>
        <v>0.11565718787166621</v>
      </c>
      <c r="L7" s="66">
        <f>+'COLOMB$ '!L7+'PROY SAT$'!L7</f>
        <v>1814296</v>
      </c>
      <c r="M7" s="67">
        <f t="shared" ref="M7:M34" si="3">+L7/$L$17</f>
        <v>0.42161387631625363</v>
      </c>
      <c r="N7" s="66">
        <f>+'COLOMB$ '!N7+'PROY SAT$'!N7</f>
        <v>1708428.827</v>
      </c>
      <c r="O7" s="215">
        <f t="shared" ref="O7:O34" si="4">+N7/$N$17</f>
        <v>0.44745533809974458</v>
      </c>
      <c r="P7" s="66">
        <f>+'COLOMB$ '!P7+'PROY SAT$'!P7</f>
        <v>1794185.395</v>
      </c>
      <c r="Q7" s="68">
        <f t="shared" ref="Q7:Q34" si="5">+P7/$P$17</f>
        <v>0.42616114722696857</v>
      </c>
      <c r="R7" s="69">
        <f>IF(L7=0,"",(P7-L7)/ABS(L7)+1)</f>
        <v>0.98891547740831709</v>
      </c>
      <c r="S7" s="70">
        <f>IF(N7=0,"",(P7-N7)/ABS(N7))</f>
        <v>5.0196160732424805E-2</v>
      </c>
      <c r="T7" s="199"/>
      <c r="U7" s="199"/>
      <c r="V7" s="216"/>
      <c r="W7" s="73" t="s">
        <v>34</v>
      </c>
      <c r="X7" s="75">
        <f>+'COLOMB$ '!X7</f>
        <v>114363.48414345931</v>
      </c>
      <c r="Y7" s="75">
        <f>+'COLOMB$ '!Y7</f>
        <v>766155.08558000007</v>
      </c>
      <c r="Z7" s="74">
        <f>+'COLOMB$ '!Z7</f>
        <v>181960.27888999999</v>
      </c>
      <c r="AA7" s="217">
        <f>+'COLOMB$ '!AA7</f>
        <v>484392</v>
      </c>
      <c r="AB7" s="75">
        <f>+'COLOMB$ '!AB7</f>
        <v>590525</v>
      </c>
      <c r="AC7" s="94">
        <f>+'COLOMB$ '!AC7</f>
        <v>484392</v>
      </c>
      <c r="AD7" s="76">
        <f>+AC7-AA7</f>
        <v>0</v>
      </c>
      <c r="AE7" s="77">
        <f>IF(AA7=0,"",(AC7-AA7)/ABS(AA7)+1)</f>
        <v>1</v>
      </c>
      <c r="AF7" s="77">
        <f>IF(Y7=0,"",(AC7-AB7)/ABS(AB7))</f>
        <v>-0.17972651454214469</v>
      </c>
      <c r="AG7" s="10"/>
      <c r="AH7" s="10"/>
      <c r="AI7" s="10"/>
    </row>
    <row r="8" spans="1:36" x14ac:dyDescent="0.25">
      <c r="B8" s="11" t="s">
        <v>97</v>
      </c>
      <c r="C8" s="65" t="str">
        <f>+'COLOMB$ '!C8</f>
        <v>Instalaciones</v>
      </c>
      <c r="D8" s="66">
        <f>+'COLOMB$ '!D8+'PROY SAT$'!D8</f>
        <v>49028</v>
      </c>
      <c r="E8" s="67">
        <f t="shared" si="0"/>
        <v>5.6720358267939718E-2</v>
      </c>
      <c r="F8" s="66">
        <f>+'COLOMB$ '!F8+'PROY SAT$'!F8</f>
        <v>11230.696</v>
      </c>
      <c r="G8" s="67">
        <f t="shared" si="1"/>
        <v>1.5922643331512523E-2</v>
      </c>
      <c r="H8" s="66">
        <f>+'COLOMB$ '!H8+'PROY SAT$'!H8</f>
        <v>50052.124000000003</v>
      </c>
      <c r="I8" s="68">
        <f t="shared" si="2"/>
        <v>5.7683506687714832E-2</v>
      </c>
      <c r="J8" s="69">
        <f t="shared" ref="J8:J34" si="6">IF(D8=0,"",(H8-D8)/ABS(D8)+1)</f>
        <v>1.0208885534796444</v>
      </c>
      <c r="K8" s="69">
        <f t="shared" ref="K8:K34" si="7">IF(F8=0,"",(H8-F8)/ABS(F8))</f>
        <v>3.4567250328919954</v>
      </c>
      <c r="L8" s="66">
        <f>+'COLOMB$ '!L8+'PROY SAT$'!L8</f>
        <v>190667</v>
      </c>
      <c r="M8" s="67">
        <f t="shared" si="3"/>
        <v>4.4308014213552328E-2</v>
      </c>
      <c r="N8" s="66">
        <f>+'COLOMB$ '!N8+'PROY SAT$'!N8</f>
        <v>151545.96100000001</v>
      </c>
      <c r="O8" s="215">
        <f t="shared" si="4"/>
        <v>3.9691468643724609E-2</v>
      </c>
      <c r="P8" s="66">
        <f>+'COLOMB$ '!P8+'PROY SAT$'!P8</f>
        <v>165593.02799999999</v>
      </c>
      <c r="Q8" s="68">
        <f t="shared" si="5"/>
        <v>3.9332231207504356E-2</v>
      </c>
      <c r="R8" s="69">
        <f t="shared" ref="R8:R34" si="8">IF(L8=0,"",(P8-L8)/ABS(L8)+1)</f>
        <v>0.86849338375282559</v>
      </c>
      <c r="S8" s="70">
        <f t="shared" ref="S8:S34" si="9">IF(N8=0,"",(P8-N8)/ABS(N8))</f>
        <v>9.2691794009607295E-2</v>
      </c>
      <c r="T8" s="199"/>
      <c r="U8" s="199"/>
      <c r="V8" s="199"/>
      <c r="W8" s="81" t="s">
        <v>37</v>
      </c>
      <c r="X8" s="82">
        <f>+'COLOMB$ '!X8</f>
        <v>1043014</v>
      </c>
      <c r="Y8" s="82">
        <f>+'COLOMB$ '!Y8</f>
        <v>1076547.9270899999</v>
      </c>
      <c r="Z8" s="82">
        <f>+'COLOMB$ '!Z8</f>
        <v>981042.70821000007</v>
      </c>
      <c r="AA8" s="218">
        <f>+'COLOMB$ '!AA8</f>
        <v>4824042</v>
      </c>
      <c r="AB8" s="82">
        <f>+'COLOMB$ '!AB8</f>
        <v>4633578.0715100002</v>
      </c>
      <c r="AC8" s="110">
        <f>+'COLOMB$ '!AC8</f>
        <v>4884105.8856199998</v>
      </c>
      <c r="AD8" s="85">
        <f>+AC8-AA8</f>
        <v>60063.885619999841</v>
      </c>
      <c r="AE8" s="86">
        <f>IF(AA8=0,"",(AC8-AA8)/ABS(AA8)+1)</f>
        <v>1.0124509458292443</v>
      </c>
      <c r="AF8" s="86">
        <f>IF(AB8=0,"",(AC8-AB8)/ABS(AB8))</f>
        <v>5.4067895316233912E-2</v>
      </c>
      <c r="AG8" s="10"/>
      <c r="AH8" s="10"/>
      <c r="AI8" s="10"/>
    </row>
    <row r="9" spans="1:36" x14ac:dyDescent="0.25">
      <c r="B9" s="11" t="s">
        <v>98</v>
      </c>
      <c r="C9" s="65" t="str">
        <f>+'COLOMB$ '!C9</f>
        <v>Fact.Voice Experience (Publihold)</v>
      </c>
      <c r="D9" s="66">
        <f>+'COLOMB$ '!D9+'PROY SAT$'!D9</f>
        <v>80428</v>
      </c>
      <c r="E9" s="67">
        <f t="shared" si="0"/>
        <v>9.3046931850653825E-2</v>
      </c>
      <c r="F9" s="66">
        <f>+'COLOMB$ '!F9+'PROY SAT$'!F9</f>
        <v>87848.23</v>
      </c>
      <c r="G9" s="67">
        <f t="shared" si="1"/>
        <v>0.12454936306660587</v>
      </c>
      <c r="H9" s="66">
        <f>+'COLOMB$ '!H9+'PROY SAT$'!H9</f>
        <v>78514.606</v>
      </c>
      <c r="I9" s="68">
        <f t="shared" si="2"/>
        <v>9.0485626549720352E-2</v>
      </c>
      <c r="J9" s="69">
        <f t="shared" si="6"/>
        <v>0.97620985229024715</v>
      </c>
      <c r="K9" s="69">
        <f t="shared" si="7"/>
        <v>-0.10624714920266461</v>
      </c>
      <c r="L9" s="66">
        <f>+'COLOMB$ '!L9+'PROY SAT$'!L9</f>
        <v>431773</v>
      </c>
      <c r="M9" s="67">
        <f t="shared" si="3"/>
        <v>0.100337259310883</v>
      </c>
      <c r="N9" s="66">
        <f>+'COLOMB$ '!N9+'PROY SAT$'!N9</f>
        <v>509716.28339999996</v>
      </c>
      <c r="O9" s="215">
        <f t="shared" si="4"/>
        <v>0.13350001376656248</v>
      </c>
      <c r="P9" s="66">
        <f>+'COLOMB$ '!P9+'PROY SAT$'!P9</f>
        <v>462105.35119999998</v>
      </c>
      <c r="Q9" s="68">
        <f t="shared" si="5"/>
        <v>0.10976086816664407</v>
      </c>
      <c r="R9" s="69">
        <f t="shared" si="8"/>
        <v>1.0702506900616759</v>
      </c>
      <c r="S9" s="70">
        <f t="shared" si="9"/>
        <v>-9.3406731843874199E-2</v>
      </c>
      <c r="T9" s="199"/>
      <c r="U9" s="199"/>
      <c r="V9" s="199"/>
      <c r="W9" s="81" t="s">
        <v>40</v>
      </c>
      <c r="X9" s="82">
        <f>+'COLOMB$ '!X9</f>
        <v>121969</v>
      </c>
      <c r="Y9" s="82">
        <f>+'COLOMB$ '!Y9</f>
        <v>313401.50579000002</v>
      </c>
      <c r="Z9" s="82">
        <f>+'COLOMB$ '!Z9</f>
        <v>128983.22990999999</v>
      </c>
      <c r="AA9" s="218">
        <f>+'COLOMB$ '!AA9</f>
        <v>637632</v>
      </c>
      <c r="AB9" s="82">
        <f>+'COLOMB$ '!AB9</f>
        <v>905176.55734000006</v>
      </c>
      <c r="AC9" s="110">
        <f>+'COLOMB$ '!AC9</f>
        <v>642760.32114000001</v>
      </c>
      <c r="AD9" s="85">
        <f>+AA9-AC9</f>
        <v>-5128.3211400000146</v>
      </c>
      <c r="AE9" s="86">
        <f>IF(AA9=0,"",(AC9-AA9)/ABS(AA9)+1)</f>
        <v>1.0080427599932249</v>
      </c>
      <c r="AF9" s="86">
        <f t="shared" ref="AF9:AF22" si="10">IF(AB9=0,"",(AC9-AB9)/ABS(AB9))</f>
        <v>-0.28990613386094571</v>
      </c>
      <c r="AG9" s="10"/>
      <c r="AH9" s="10"/>
      <c r="AI9" s="10"/>
    </row>
    <row r="10" spans="1:36" x14ac:dyDescent="0.25">
      <c r="B10" s="11">
        <v>4170250500</v>
      </c>
      <c r="C10" s="65" t="str">
        <f>+'COLOMB$ '!C10</f>
        <v>Fact. Service &amp; Equipment Experience</v>
      </c>
      <c r="D10" s="66">
        <f>+'COLOMB$ '!D10+'PROY SAT$'!D10</f>
        <v>90523</v>
      </c>
      <c r="E10" s="67">
        <f t="shared" si="0"/>
        <v>0.10472580956777162</v>
      </c>
      <c r="F10" s="66">
        <f>+'COLOMB$ '!F10+'PROY SAT$'!F10</f>
        <v>38248.402000000002</v>
      </c>
      <c r="G10" s="67">
        <f t="shared" si="1"/>
        <v>5.4227775646879792E-2</v>
      </c>
      <c r="H10" s="66">
        <f>+'COLOMB$ '!H10+'PROY SAT$'!H10</f>
        <v>97701.379000000001</v>
      </c>
      <c r="I10" s="68">
        <f t="shared" si="2"/>
        <v>0.11259778204308495</v>
      </c>
      <c r="J10" s="69">
        <f t="shared" si="6"/>
        <v>1.0792989516476477</v>
      </c>
      <c r="K10" s="69">
        <f t="shared" si="7"/>
        <v>1.5543911350858526</v>
      </c>
      <c r="L10" s="66">
        <f>+'COLOMB$ '!L10+'PROY SAT$'!L10</f>
        <v>419607</v>
      </c>
      <c r="M10" s="67">
        <f t="shared" si="3"/>
        <v>9.751007211581475E-2</v>
      </c>
      <c r="N10" s="66">
        <f>+'COLOMB$ '!N10+'PROY SAT$'!N10</f>
        <v>233394.91899999999</v>
      </c>
      <c r="O10" s="215">
        <f t="shared" si="4"/>
        <v>6.1128564878698041E-2</v>
      </c>
      <c r="P10" s="66">
        <f>+'COLOMB$ '!P10+'PROY SAT$'!P10</f>
        <v>331631.17599999998</v>
      </c>
      <c r="Q10" s="68">
        <f t="shared" si="5"/>
        <v>7.8770188863558729E-2</v>
      </c>
      <c r="R10" s="69">
        <f t="shared" si="8"/>
        <v>0.79033756824838475</v>
      </c>
      <c r="S10" s="70">
        <f t="shared" si="9"/>
        <v>0.42090143787577478</v>
      </c>
      <c r="T10" s="199"/>
      <c r="U10" s="199"/>
      <c r="V10" s="199"/>
      <c r="W10" s="81" t="s">
        <v>43</v>
      </c>
      <c r="X10" s="82">
        <f>+'COLOMB$ '!X10</f>
        <v>8353</v>
      </c>
      <c r="Y10" s="82">
        <f>+'COLOMB$ '!Y10</f>
        <v>7010.84</v>
      </c>
      <c r="Z10" s="82">
        <f>+'COLOMB$ '!Z10</f>
        <v>10169.092000000001</v>
      </c>
      <c r="AA10" s="218">
        <f>+'COLOMB$ '!AA10</f>
        <v>41765</v>
      </c>
      <c r="AB10" s="82">
        <f>+'COLOMB$ '!AB10</f>
        <v>36478.328999999998</v>
      </c>
      <c r="AC10" s="110">
        <f>+'COLOMB$ '!AC10</f>
        <v>47381.442000000003</v>
      </c>
      <c r="AD10" s="85">
        <f>+AA10-AC10</f>
        <v>-5616.4420000000027</v>
      </c>
      <c r="AE10" s="86">
        <f t="shared" ref="AE10:AE21" si="11">IF(AA10=0,"",(AC10-AA10)/ABS(AA10)+1)</f>
        <v>1.1344772417095654</v>
      </c>
      <c r="AF10" s="86">
        <f t="shared" si="10"/>
        <v>0.29889288514284756</v>
      </c>
      <c r="AG10" s="10"/>
      <c r="AH10" s="149"/>
      <c r="AI10" s="149"/>
    </row>
    <row r="11" spans="1:36" x14ac:dyDescent="0.25">
      <c r="B11" s="11"/>
      <c r="C11" s="65" t="str">
        <f>+'COLOMB$ '!C11</f>
        <v>POP Satelital</v>
      </c>
      <c r="D11" s="66">
        <f>+'COLOMB$ '!D11+'PROY SAT$'!D11</f>
        <v>0</v>
      </c>
      <c r="E11" s="67">
        <f t="shared" si="0"/>
        <v>0</v>
      </c>
      <c r="F11" s="66">
        <f>+'COLOMB$ '!F11+'PROY SAT$'!F11</f>
        <v>0</v>
      </c>
      <c r="G11" s="67">
        <f t="shared" si="1"/>
        <v>0</v>
      </c>
      <c r="H11" s="66">
        <f>+'COLOMB$ '!H11+'PROY SAT$'!H11</f>
        <v>0</v>
      </c>
      <c r="I11" s="68">
        <f t="shared" si="2"/>
        <v>0</v>
      </c>
      <c r="J11" s="69" t="str">
        <f>IF(D11=0,"",(H11-D11)/ABS(D11)+1)</f>
        <v/>
      </c>
      <c r="K11" s="69" t="str">
        <f>IF(F11=0,"",(H11-F11)/ABS(F11))</f>
        <v/>
      </c>
      <c r="L11" s="66">
        <f>+'COLOMB$ '!L11+'PROY SAT$'!L11</f>
        <v>0</v>
      </c>
      <c r="M11" s="67">
        <f t="shared" si="3"/>
        <v>0</v>
      </c>
      <c r="N11" s="66">
        <f>+'COLOMB$ '!N11+'PROY SAT$'!N11</f>
        <v>0</v>
      </c>
      <c r="O11" s="215">
        <f t="shared" si="4"/>
        <v>0</v>
      </c>
      <c r="P11" s="66">
        <f>+'COLOMB$ '!P11+'PROY SAT$'!P11</f>
        <v>0</v>
      </c>
      <c r="Q11" s="68">
        <f t="shared" si="5"/>
        <v>0</v>
      </c>
      <c r="R11" s="69" t="str">
        <f t="shared" si="8"/>
        <v/>
      </c>
      <c r="S11" s="70" t="str">
        <f>IF(N11=0,"",(P11-N11)/ABS(N11))</f>
        <v/>
      </c>
      <c r="T11" s="199"/>
      <c r="U11" s="199"/>
      <c r="V11" s="199"/>
      <c r="W11" s="81" t="s">
        <v>45</v>
      </c>
      <c r="X11" s="82">
        <f>+'COLOMB$ '!X11</f>
        <v>357532</v>
      </c>
      <c r="Y11" s="82">
        <f>+'COLOMB$ '!Y11</f>
        <v>299037.78999999998</v>
      </c>
      <c r="Z11" s="82">
        <f>+'COLOMB$ '!Z11</f>
        <v>347878.391</v>
      </c>
      <c r="AA11" s="218">
        <f>+'COLOMB$ '!AA11</f>
        <v>1958096</v>
      </c>
      <c r="AB11" s="82">
        <f>+'COLOMB$ '!AB11</f>
        <v>1620917.0290000001</v>
      </c>
      <c r="AC11" s="110">
        <f>+'COLOMB$ '!AC11</f>
        <v>1951326.70628</v>
      </c>
      <c r="AD11" s="85">
        <f>+AA11-AC11</f>
        <v>6769.2937199999578</v>
      </c>
      <c r="AE11" s="86">
        <f t="shared" si="11"/>
        <v>0.99654292040839676</v>
      </c>
      <c r="AF11" s="86">
        <f t="shared" si="10"/>
        <v>0.20384120307739695</v>
      </c>
      <c r="AG11" s="10"/>
      <c r="AH11" s="149"/>
      <c r="AI11" s="10"/>
    </row>
    <row r="12" spans="1:36" x14ac:dyDescent="0.25">
      <c r="B12" s="219" t="s">
        <v>99</v>
      </c>
      <c r="C12" s="65" t="str">
        <f>+'COLOMB$ '!C12</f>
        <v xml:space="preserve"> Fact.Voice Experience (Audicóm)</v>
      </c>
      <c r="D12" s="66">
        <f>+'COLOMB$ '!D12+'PROY SAT$'!D12</f>
        <v>123856</v>
      </c>
      <c r="E12" s="67">
        <f t="shared" si="0"/>
        <v>0.14328866553059358</v>
      </c>
      <c r="F12" s="66">
        <f>+'COLOMB$ '!F12+'PROY SAT$'!F12</f>
        <v>117941.238</v>
      </c>
      <c r="G12" s="67">
        <f t="shared" si="1"/>
        <v>0.16721459353463325</v>
      </c>
      <c r="H12" s="66">
        <f>+'COLOMB$ '!H12+'PROY SAT$'!H12</f>
        <v>120672.088</v>
      </c>
      <c r="I12" s="68">
        <f t="shared" si="2"/>
        <v>0.13907080537018793</v>
      </c>
      <c r="J12" s="69">
        <f>IF(D12=0,"",(H12-D12)/ABS(D12)+1)</f>
        <v>0.97429343754036946</v>
      </c>
      <c r="K12" s="69">
        <f>IF(F12=0,"",(H12-F12)/ABS(F12))</f>
        <v>2.3154327072605476E-2</v>
      </c>
      <c r="L12" s="66">
        <f>+'COLOMB$ '!L12+'PROY SAT$'!L12</f>
        <v>619867</v>
      </c>
      <c r="M12" s="67">
        <f t="shared" si="3"/>
        <v>0.14404734876256531</v>
      </c>
      <c r="N12" s="66">
        <f>+'COLOMB$ '!N12+'PROY SAT$'!N12</f>
        <v>582369.57299999997</v>
      </c>
      <c r="O12" s="215">
        <f t="shared" si="4"/>
        <v>0.15252866848618146</v>
      </c>
      <c r="P12" s="66">
        <f>+'COLOMB$ '!P12+'PROY SAT$'!P12</f>
        <v>608909.37199999997</v>
      </c>
      <c r="Q12" s="68">
        <f t="shared" si="5"/>
        <v>0.14463026911930302</v>
      </c>
      <c r="R12" s="69">
        <f t="shared" si="8"/>
        <v>0.98232261436727553</v>
      </c>
      <c r="S12" s="70">
        <f>IF(N12=0,"",(P12-N12)/ABS(N12))</f>
        <v>4.5572090697121634E-2</v>
      </c>
      <c r="T12" s="199"/>
      <c r="U12" s="199"/>
      <c r="V12" s="199"/>
      <c r="W12" s="81" t="s">
        <v>48</v>
      </c>
      <c r="X12" s="82">
        <f>+'COLOMB$ '!X12</f>
        <v>249716</v>
      </c>
      <c r="Y12" s="82">
        <f>+'COLOMB$ '!Y12</f>
        <v>172435.82272</v>
      </c>
      <c r="Z12" s="82">
        <f>+'COLOMB$ '!Z12</f>
        <v>207141.48009999999</v>
      </c>
      <c r="AA12" s="218">
        <f>+'COLOMB$ '!AA12</f>
        <v>1280573</v>
      </c>
      <c r="AB12" s="82">
        <f>+'COLOMB$ '!AB12</f>
        <v>800266.33559000003</v>
      </c>
      <c r="AC12" s="110">
        <f>+'COLOMB$ '!AC12</f>
        <v>1271592.7427600001</v>
      </c>
      <c r="AD12" s="85">
        <f>+AA12-AC12</f>
        <v>8980.2572399999481</v>
      </c>
      <c r="AE12" s="86">
        <f t="shared" si="11"/>
        <v>0.9929873133042787</v>
      </c>
      <c r="AF12" s="86">
        <f t="shared" si="10"/>
        <v>0.58896193205792224</v>
      </c>
      <c r="AG12" s="10"/>
      <c r="AH12" s="149"/>
      <c r="AI12" s="149"/>
      <c r="AJ12" s="149"/>
    </row>
    <row r="13" spans="1:36" ht="15.75" thickBot="1" x14ac:dyDescent="0.3">
      <c r="B13" s="11"/>
      <c r="C13" s="65" t="str">
        <f>+'COLOMB$ '!C13</f>
        <v>Fact. Servicio Satelital</v>
      </c>
      <c r="D13" s="66">
        <f>+'COLOMB$ '!D13+'PROY SAT$'!D13</f>
        <v>0</v>
      </c>
      <c r="E13" s="67">
        <f t="shared" si="0"/>
        <v>0</v>
      </c>
      <c r="F13" s="66">
        <f>+'COLOMB$ '!F13+'PROY SAT$'!F13</f>
        <v>0</v>
      </c>
      <c r="G13" s="67">
        <f t="shared" si="1"/>
        <v>0</v>
      </c>
      <c r="H13" s="66">
        <f>+'COLOMB$ '!H13+'PROY SAT$'!H13</f>
        <v>0</v>
      </c>
      <c r="I13" s="68">
        <f t="shared" si="2"/>
        <v>0</v>
      </c>
      <c r="J13" s="69" t="str">
        <f>IF(D13=0,"",(H13-D13)/ABS(D13)+1)</f>
        <v/>
      </c>
      <c r="K13" s="69" t="str">
        <f>IF(F13=0,"",(H13-F13)/ABS(F13))</f>
        <v/>
      </c>
      <c r="L13" s="66">
        <f>+'COLOMB$ '!L13+'PROY SAT$'!L13</f>
        <v>0</v>
      </c>
      <c r="M13" s="67">
        <f t="shared" si="3"/>
        <v>0</v>
      </c>
      <c r="N13" s="66">
        <f>+'COLOMB$ '!N13+'PROY SAT$'!N13</f>
        <v>0</v>
      </c>
      <c r="O13" s="215">
        <f t="shared" si="4"/>
        <v>0</v>
      </c>
      <c r="P13" s="66">
        <f>+'COLOMB$ '!P13+'PROY SAT$'!P13</f>
        <v>0</v>
      </c>
      <c r="Q13" s="68">
        <f t="shared" si="5"/>
        <v>0</v>
      </c>
      <c r="R13" s="69" t="str">
        <f t="shared" si="8"/>
        <v/>
      </c>
      <c r="S13" s="70" t="str">
        <f t="shared" ref="S13:S16" si="12">IF(N13=0,"",(P13-N13)/ABS(N13))</f>
        <v/>
      </c>
      <c r="T13" s="199"/>
      <c r="U13" s="199"/>
      <c r="V13" s="199"/>
      <c r="W13" s="81" t="s">
        <v>50</v>
      </c>
      <c r="X13" s="90">
        <f>X9+X10+X11+X12</f>
        <v>737570</v>
      </c>
      <c r="Y13" s="90">
        <f>Y9+Y10+Y11+Y12</f>
        <v>791885.95851000003</v>
      </c>
      <c r="Z13" s="91">
        <f>Z9+Z10+Z11+Z12</f>
        <v>694172.19301000005</v>
      </c>
      <c r="AA13" s="218">
        <f t="shared" ref="AA13:AC13" si="13">AA9+AA10+AA11+AA12</f>
        <v>3918066</v>
      </c>
      <c r="AB13" s="82">
        <f>+'COLOMB$ '!AB13</f>
        <v>3362838.2509300001</v>
      </c>
      <c r="AC13" s="92">
        <f t="shared" si="13"/>
        <v>3913061.2121799998</v>
      </c>
      <c r="AD13" s="85">
        <f>+AC13-AA13</f>
        <v>-5004.7878200002015</v>
      </c>
      <c r="AE13" s="86">
        <f t="shared" si="11"/>
        <v>0.99872263820466523</v>
      </c>
      <c r="AF13" s="86">
        <f t="shared" si="10"/>
        <v>0.16361862218554055</v>
      </c>
      <c r="AG13" s="10"/>
      <c r="AH13" s="149"/>
      <c r="AI13" s="220"/>
    </row>
    <row r="14" spans="1:36" ht="15.75" thickBot="1" x14ac:dyDescent="0.3">
      <c r="B14" s="11"/>
      <c r="C14" s="65" t="str">
        <f>+'COLOMB$ '!C14</f>
        <v>Fact. Visual Experience</v>
      </c>
      <c r="D14" s="66">
        <f>+'COLOMB$ '!D14+'PROY SAT$'!D14</f>
        <v>17682</v>
      </c>
      <c r="E14" s="67">
        <f t="shared" si="0"/>
        <v>2.0456257136609899E-2</v>
      </c>
      <c r="F14" s="66">
        <f>+'COLOMB$ '!F14+'PROY SAT$'!F14</f>
        <v>16729.371999999999</v>
      </c>
      <c r="G14" s="67"/>
      <c r="H14" s="66">
        <f>+'COLOMB$ '!H14+'PROY SAT$'!H14</f>
        <v>31262.353999999999</v>
      </c>
      <c r="I14" s="68">
        <f t="shared" si="2"/>
        <v>3.6028884728901985E-2</v>
      </c>
      <c r="J14" s="69">
        <f>IF(D14=0,"",(H14-D14)/ABS(D14)+1)</f>
        <v>1.7680326886098858</v>
      </c>
      <c r="K14" s="69">
        <f>IF(F14=0,"",(H14-F14)/ABS(F14))</f>
        <v>0.86871055291256605</v>
      </c>
      <c r="L14" s="66">
        <f>+'COLOMB$ '!L14+'PROY SAT$'!L14</f>
        <v>76348</v>
      </c>
      <c r="M14" s="67">
        <f t="shared" si="3"/>
        <v>1.7742075289254526E-2</v>
      </c>
      <c r="N14" s="66">
        <f>+'COLOMB$ '!N14+'PROY SAT$'!N14</f>
        <v>76410.493000000002</v>
      </c>
      <c r="O14" s="215">
        <f t="shared" si="4"/>
        <v>2.0012705498373778E-2</v>
      </c>
      <c r="P14" s="66">
        <f>+'COLOMB$ '!P14+'PROY SAT$'!P14</f>
        <v>82454.853000000003</v>
      </c>
      <c r="Q14" s="68">
        <f t="shared" si="5"/>
        <v>1.9584963096252968E-2</v>
      </c>
      <c r="R14" s="69">
        <f t="shared" si="8"/>
        <v>1.0799870723529104</v>
      </c>
      <c r="S14" s="70">
        <f t="shared" si="12"/>
        <v>7.910379533868471E-2</v>
      </c>
      <c r="T14" s="199"/>
      <c r="U14" s="199"/>
      <c r="V14" s="199"/>
      <c r="W14" s="73" t="s">
        <v>52</v>
      </c>
      <c r="X14" s="75">
        <f>X8-X13</f>
        <v>305444</v>
      </c>
      <c r="Y14" s="75">
        <f>Y8-Y13</f>
        <v>284661.96857999987</v>
      </c>
      <c r="Z14" s="74">
        <f>Z8-Z13</f>
        <v>286870.51520000002</v>
      </c>
      <c r="AA14" s="217">
        <f t="shared" ref="AA14:AC14" si="14">AA8-AA13</f>
        <v>905976</v>
      </c>
      <c r="AB14" s="75">
        <f>AB8-AB13</f>
        <v>1270739.8205800001</v>
      </c>
      <c r="AC14" s="94">
        <f t="shared" si="14"/>
        <v>971044.67344000004</v>
      </c>
      <c r="AD14" s="76">
        <f>+AC14-AA14</f>
        <v>65068.673440000042</v>
      </c>
      <c r="AE14" s="77">
        <f t="shared" si="11"/>
        <v>1.0718216304184658</v>
      </c>
      <c r="AF14" s="77">
        <f t="shared" si="10"/>
        <v>-0.23584304378154375</v>
      </c>
      <c r="AG14" s="10"/>
      <c r="AH14" s="149"/>
      <c r="AI14" s="149"/>
    </row>
    <row r="15" spans="1:36" x14ac:dyDescent="0.25">
      <c r="B15" s="11"/>
      <c r="C15" s="65" t="str">
        <f>+'COLOMB$ '!C15</f>
        <v>Fac.   Olfa Experience</v>
      </c>
      <c r="D15" s="66">
        <f>+'COLOMB$ '!D15+'PROY SAT$'!D15</f>
        <v>111965</v>
      </c>
      <c r="E15" s="67">
        <f t="shared" si="0"/>
        <v>0.12953200035632434</v>
      </c>
      <c r="F15" s="66">
        <f>+'COLOMB$ '!F15+'PROY SAT$'!F15</f>
        <v>94123.202000000005</v>
      </c>
      <c r="G15" s="67"/>
      <c r="H15" s="66">
        <f>+'COLOMB$ '!H15+'PROY SAT$'!H15</f>
        <v>96013.508000000002</v>
      </c>
      <c r="I15" s="68">
        <f t="shared" si="2"/>
        <v>0.11065256353214824</v>
      </c>
      <c r="J15" s="69">
        <f t="shared" ref="J15:J16" si="15">IF(D15=0,"",(H15-D15)/ABS(D15)+1)</f>
        <v>0.85753144286160854</v>
      </c>
      <c r="K15" s="69">
        <f t="shared" ref="K15:K16" si="16">IF(F15=0,"",(H15-F15)/ABS(F15))</f>
        <v>2.0083315907590955E-2</v>
      </c>
      <c r="L15" s="66">
        <f>+'COLOMB$ '!L15+'PROY SAT$'!L15</f>
        <v>535722</v>
      </c>
      <c r="M15" s="67">
        <f t="shared" si="3"/>
        <v>0.12449337321357487</v>
      </c>
      <c r="N15" s="66">
        <f>+'COLOMB$ '!N15+'PROY SAT$'!N15</f>
        <v>387186.55300000001</v>
      </c>
      <c r="O15" s="215">
        <f t="shared" si="4"/>
        <v>0.10140819871584249</v>
      </c>
      <c r="P15" s="66">
        <f>+'COLOMB$ '!P15+'PROY SAT$'!P15</f>
        <v>504095.21500000003</v>
      </c>
      <c r="Q15" s="68">
        <f t="shared" si="5"/>
        <v>0.11973444647063655</v>
      </c>
      <c r="R15" s="69">
        <f t="shared" si="8"/>
        <v>0.94096418478240584</v>
      </c>
      <c r="S15" s="70">
        <f t="shared" si="12"/>
        <v>0.30194401405257482</v>
      </c>
      <c r="T15" s="199"/>
      <c r="U15" s="199"/>
      <c r="V15" s="199"/>
      <c r="W15" s="89"/>
      <c r="X15" s="97"/>
      <c r="Y15" s="97"/>
      <c r="Z15" s="98"/>
      <c r="AA15" s="221"/>
      <c r="AB15" s="101"/>
      <c r="AC15" s="222"/>
      <c r="AD15" s="103"/>
      <c r="AE15" s="102"/>
      <c r="AF15" s="102"/>
      <c r="AG15" s="10"/>
      <c r="AH15" s="149"/>
      <c r="AI15" s="10"/>
    </row>
    <row r="16" spans="1:36" ht="15.75" thickBot="1" x14ac:dyDescent="0.3">
      <c r="B16" s="11"/>
      <c r="C16" s="65" t="str">
        <f>+'COLOMB$ '!C16</f>
        <v>Facturacion Locutor virtual</v>
      </c>
      <c r="D16" s="66">
        <f>+'COLOMB$ '!D16+'PROY SAT$'!D16</f>
        <v>43203</v>
      </c>
      <c r="E16" s="67">
        <f t="shared" si="0"/>
        <v>4.9981431799171895E-2</v>
      </c>
      <c r="F16" s="66">
        <f>+'COLOMB$ '!F16+'PROY SAT$'!F16</f>
        <v>33634.985999999997</v>
      </c>
      <c r="G16" s="67"/>
      <c r="H16" s="66">
        <f>+'COLOMB$ '!H16+'PROY SAT$'!H16</f>
        <v>52572.313000000002</v>
      </c>
      <c r="I16" s="68">
        <f t="shared" si="2"/>
        <v>6.0587945648902679E-2</v>
      </c>
      <c r="J16" s="69">
        <f t="shared" si="15"/>
        <v>1.2168671851491795</v>
      </c>
      <c r="K16" s="69">
        <f t="shared" si="16"/>
        <v>0.56302467317810112</v>
      </c>
      <c r="L16" s="66">
        <f>+'COLOMB$ '!L16+'PROY SAT$'!L16</f>
        <v>214937</v>
      </c>
      <c r="M16" s="67">
        <f t="shared" si="3"/>
        <v>4.9947980778101593E-2</v>
      </c>
      <c r="N16" s="66">
        <f>+'COLOMB$ '!N16+'PROY SAT$'!N16</f>
        <v>169046.49799999999</v>
      </c>
      <c r="O16" s="215">
        <f t="shared" si="4"/>
        <v>4.4275041910872524E-2</v>
      </c>
      <c r="P16" s="66">
        <f>+'COLOMB$ '!P16+'PROY SAT$'!P16</f>
        <v>261135.815</v>
      </c>
      <c r="Q16" s="68">
        <f t="shared" si="5"/>
        <v>6.2025885849131789E-2</v>
      </c>
      <c r="R16" s="69">
        <f t="shared" si="8"/>
        <v>1.2149411920702344</v>
      </c>
      <c r="S16" s="70">
        <f t="shared" si="12"/>
        <v>0.54475731878219691</v>
      </c>
      <c r="T16" s="199"/>
      <c r="U16" s="199"/>
      <c r="V16" s="199"/>
      <c r="W16" s="89"/>
      <c r="X16" s="97"/>
      <c r="Y16" s="97"/>
      <c r="Z16" s="98"/>
      <c r="AA16" s="221"/>
      <c r="AB16" s="101"/>
      <c r="AC16" s="222"/>
      <c r="AD16" s="103"/>
      <c r="AE16" s="102"/>
      <c r="AF16" s="102" t="str">
        <f t="shared" si="10"/>
        <v/>
      </c>
      <c r="AG16" s="10"/>
      <c r="AH16" s="149"/>
      <c r="AI16" s="10"/>
    </row>
    <row r="17" spans="1:35" x14ac:dyDescent="0.25">
      <c r="B17" s="11" t="s">
        <v>100</v>
      </c>
      <c r="C17" s="104" t="s">
        <v>57</v>
      </c>
      <c r="D17" s="105">
        <f>SUM(D7:D16)</f>
        <v>864381</v>
      </c>
      <c r="E17" s="106">
        <f t="shared" si="0"/>
        <v>1</v>
      </c>
      <c r="F17" s="105">
        <f>SUM(F7:F16)</f>
        <v>705328.61699999997</v>
      </c>
      <c r="G17" s="106">
        <f>+F18/$F$18</f>
        <v>1</v>
      </c>
      <c r="H17" s="105">
        <f>SUM(H7:H16)</f>
        <v>867702.51800000004</v>
      </c>
      <c r="I17" s="107">
        <f t="shared" si="2"/>
        <v>1</v>
      </c>
      <c r="J17" s="108">
        <f t="shared" si="6"/>
        <v>1.003842655032908</v>
      </c>
      <c r="K17" s="108">
        <f t="shared" si="7"/>
        <v>0.23021028366980334</v>
      </c>
      <c r="L17" s="105">
        <f>SUM(L7:L16)</f>
        <v>4303217</v>
      </c>
      <c r="M17" s="106">
        <f t="shared" si="3"/>
        <v>1</v>
      </c>
      <c r="N17" s="105">
        <f>SUM(N7:N16)</f>
        <v>3818099.1074000001</v>
      </c>
      <c r="O17" s="106">
        <f t="shared" si="4"/>
        <v>1</v>
      </c>
      <c r="P17" s="105">
        <f>SUM(P7:P16)</f>
        <v>4210110.2051999997</v>
      </c>
      <c r="Q17" s="107">
        <f t="shared" si="5"/>
        <v>1</v>
      </c>
      <c r="R17" s="108">
        <f t="shared" si="8"/>
        <v>0.97836344418605892</v>
      </c>
      <c r="S17" s="109">
        <f t="shared" si="9"/>
        <v>0.102671797345498</v>
      </c>
      <c r="T17" s="199"/>
      <c r="U17" s="199"/>
      <c r="V17" s="199"/>
      <c r="W17" s="81" t="s">
        <v>58</v>
      </c>
      <c r="X17" s="82">
        <f t="shared" ref="X17" si="17">+X7+X14</f>
        <v>419807.4841434593</v>
      </c>
      <c r="Y17" s="82">
        <f>+'COLOMB$ '!Y17</f>
        <v>1050817.0541599998</v>
      </c>
      <c r="Z17" s="83">
        <f>+Z7+Z14</f>
        <v>468830.79408999998</v>
      </c>
      <c r="AA17" s="218">
        <f t="shared" ref="AA17:AC17" si="18">+AA7+AA14</f>
        <v>1390368</v>
      </c>
      <c r="AB17" s="82">
        <f>+'COLOMB$ '!AB17</f>
        <v>1861264.8205800001</v>
      </c>
      <c r="AC17" s="110">
        <f t="shared" si="18"/>
        <v>1455436.67344</v>
      </c>
      <c r="AD17" s="85">
        <f>+AC17-AA17</f>
        <v>65068.673440000042</v>
      </c>
      <c r="AE17" s="86">
        <f t="shared" si="11"/>
        <v>1.0467996051692789</v>
      </c>
      <c r="AF17" s="86">
        <f t="shared" si="10"/>
        <v>-0.21803890701245696</v>
      </c>
      <c r="AG17" s="10"/>
      <c r="AH17" s="149"/>
      <c r="AI17" s="10"/>
    </row>
    <row r="18" spans="1:35" x14ac:dyDescent="0.25">
      <c r="B18" s="11"/>
      <c r="C18" s="112" t="s">
        <v>59</v>
      </c>
      <c r="D18" s="117">
        <f>+'COLOMB$ '!D18+'PROY SAT$'!D18</f>
        <v>74102</v>
      </c>
      <c r="E18" s="113">
        <f t="shared" si="0"/>
        <v>8.572839986070957E-2</v>
      </c>
      <c r="F18" s="117">
        <f>+'COLOMB$ '!F18+'PROY SAT$'!F18</f>
        <v>31223.423170000002</v>
      </c>
      <c r="G18" s="113">
        <f t="shared" ref="G18:G34" si="19">+F18/$F$17</f>
        <v>4.4267909195012861E-2</v>
      </c>
      <c r="H18" s="117">
        <f>+'COLOMB$ '!H18+'PROY SAT$'!H18</f>
        <v>92511.811199999996</v>
      </c>
      <c r="I18" s="115">
        <f t="shared" si="2"/>
        <v>0.10661696754463031</v>
      </c>
      <c r="J18" s="116">
        <f t="shared" si="6"/>
        <v>1.2484387897762543</v>
      </c>
      <c r="K18" s="116">
        <f t="shared" si="7"/>
        <v>1.9628977801795584</v>
      </c>
      <c r="L18" s="117">
        <f>+'COLOMB$ '!L18+'PROY SAT$'!L18</f>
        <v>337369</v>
      </c>
      <c r="M18" s="113">
        <f t="shared" si="3"/>
        <v>7.8399253395773444E-2</v>
      </c>
      <c r="N18" s="117">
        <f>+'COLOMB$ '!N18+'PROY SAT$'!N18</f>
        <v>191840.21772999997</v>
      </c>
      <c r="O18" s="113">
        <f t="shared" si="4"/>
        <v>5.0244954972014033E-2</v>
      </c>
      <c r="P18" s="117">
        <f>+'COLOMB$ '!P18+'PROY SAT$'!P18</f>
        <v>329104.51081999997</v>
      </c>
      <c r="Q18" s="115">
        <f t="shared" si="5"/>
        <v>7.8170046573487736E-2</v>
      </c>
      <c r="R18" s="116">
        <f t="shared" si="8"/>
        <v>0.97550311623178176</v>
      </c>
      <c r="S18" s="118">
        <f t="shared" si="9"/>
        <v>0.7155136431464475</v>
      </c>
      <c r="T18" s="199"/>
      <c r="U18" s="199"/>
      <c r="V18" s="199"/>
      <c r="W18" s="81" t="s">
        <v>60</v>
      </c>
      <c r="X18" s="82">
        <f>+'COLOMB$ '!X18</f>
        <v>0</v>
      </c>
      <c r="Y18" s="82">
        <f>+'COLOMB$ '!Y18</f>
        <v>218175.33499999999</v>
      </c>
      <c r="Z18" s="82">
        <f>+'COLOMB$ '!Z18</f>
        <v>1762.5</v>
      </c>
      <c r="AA18" s="218">
        <f>+'COLOMB$ '!AA18</f>
        <v>440621</v>
      </c>
      <c r="AB18" s="82">
        <f>+'COLOMB$ '!AB18</f>
        <v>218437.277</v>
      </c>
      <c r="AC18" s="110">
        <f>+'COLOMB$ '!AC18</f>
        <v>480836.81900000002</v>
      </c>
      <c r="AD18" s="85">
        <f t="shared" ref="AD18:AD22" si="20">+AC18-AA18</f>
        <v>40215.819000000018</v>
      </c>
      <c r="AE18" s="86">
        <f t="shared" si="11"/>
        <v>1.0912707723871535</v>
      </c>
      <c r="AF18" s="86">
        <f t="shared" si="10"/>
        <v>1.2012580709839191</v>
      </c>
      <c r="AG18" s="10"/>
      <c r="AH18" s="10"/>
      <c r="AI18" s="10"/>
    </row>
    <row r="19" spans="1:35" ht="15.75" thickBot="1" x14ac:dyDescent="0.3">
      <c r="B19" s="11" t="s">
        <v>101</v>
      </c>
      <c r="C19" s="223" t="s">
        <v>61</v>
      </c>
      <c r="D19" s="120">
        <f>+D17-D18</f>
        <v>790279</v>
      </c>
      <c r="E19" s="121">
        <f t="shared" si="0"/>
        <v>0.91427160013929043</v>
      </c>
      <c r="F19" s="120">
        <f>+F17-F18</f>
        <v>674105.19383</v>
      </c>
      <c r="G19" s="121">
        <f t="shared" si="19"/>
        <v>0.95573209080498722</v>
      </c>
      <c r="H19" s="120">
        <f>+H17-H18</f>
        <v>775190.70680000004</v>
      </c>
      <c r="I19" s="122">
        <f t="shared" si="2"/>
        <v>0.89338303245536965</v>
      </c>
      <c r="J19" s="123">
        <f t="shared" si="6"/>
        <v>0.98090763742931297</v>
      </c>
      <c r="K19" s="123">
        <f t="shared" si="7"/>
        <v>0.14995510180788255</v>
      </c>
      <c r="L19" s="120">
        <f>+L17-L18</f>
        <v>3965848</v>
      </c>
      <c r="M19" s="121">
        <f t="shared" si="3"/>
        <v>0.92160074660422653</v>
      </c>
      <c r="N19" s="120">
        <f>+N17-N18</f>
        <v>3626258.8896699999</v>
      </c>
      <c r="O19" s="121">
        <f t="shared" si="4"/>
        <v>0.94975504502798591</v>
      </c>
      <c r="P19" s="120">
        <f>+P17-P18</f>
        <v>3881005.6943799998</v>
      </c>
      <c r="Q19" s="122">
        <f t="shared" si="5"/>
        <v>0.92182995342651231</v>
      </c>
      <c r="R19" s="124">
        <f t="shared" si="8"/>
        <v>0.97860676818173564</v>
      </c>
      <c r="S19" s="125">
        <f t="shared" si="9"/>
        <v>7.0250583993241175E-2</v>
      </c>
      <c r="T19" s="199"/>
      <c r="U19" s="199"/>
      <c r="V19" s="199"/>
      <c r="W19" s="81" t="s">
        <v>62</v>
      </c>
      <c r="X19" s="82">
        <f>+'COLOMB$ '!X19</f>
        <v>310684</v>
      </c>
      <c r="Y19" s="82">
        <f>+'COLOMB$ '!Y19</f>
        <v>250763.03784999999</v>
      </c>
      <c r="Z19" s="82">
        <f>+'COLOMB$ '!Z19</f>
        <v>295845.38814999996</v>
      </c>
      <c r="AA19" s="218">
        <f>+'COLOMB$ '!AA19</f>
        <v>919931</v>
      </c>
      <c r="AB19" s="82">
        <f>+'COLOMB$ '!AB19</f>
        <v>841801.91015999997</v>
      </c>
      <c r="AC19" s="110">
        <f>+'COLOMB$ '!AC19</f>
        <v>946846.70085999998</v>
      </c>
      <c r="AD19" s="85">
        <f t="shared" si="20"/>
        <v>26915.700859999983</v>
      </c>
      <c r="AE19" s="86">
        <f t="shared" si="11"/>
        <v>1.0292583909662789</v>
      </c>
      <c r="AF19" s="86">
        <f t="shared" si="10"/>
        <v>0.12478564069786241</v>
      </c>
      <c r="AG19" s="10"/>
      <c r="AH19" s="149"/>
      <c r="AI19" s="10"/>
    </row>
    <row r="20" spans="1:35" x14ac:dyDescent="0.25">
      <c r="B20" s="11" t="s">
        <v>102</v>
      </c>
      <c r="C20" s="81" t="s">
        <v>63</v>
      </c>
      <c r="D20" s="117">
        <f>+'COLOMB$ '!D20+'PROY SAT$'!D20</f>
        <v>215593</v>
      </c>
      <c r="E20" s="126">
        <f t="shared" si="0"/>
        <v>0.24941894835726375</v>
      </c>
      <c r="F20" s="117">
        <f>+'COLOMB$ '!F20+'PROY SAT$'!F20</f>
        <v>151251.01173</v>
      </c>
      <c r="G20" s="126">
        <f t="shared" si="19"/>
        <v>0.21444048644066288</v>
      </c>
      <c r="H20" s="117">
        <f>+'COLOMB$ '!H20+'PROY SAT$'!H20</f>
        <v>192664.08947000001</v>
      </c>
      <c r="I20" s="127">
        <f t="shared" si="2"/>
        <v>0.22203933430328018</v>
      </c>
      <c r="J20" s="128">
        <f t="shared" si="6"/>
        <v>0.89364724026290276</v>
      </c>
      <c r="K20" s="128">
        <f t="shared" si="7"/>
        <v>0.27380364115465877</v>
      </c>
      <c r="L20" s="117">
        <f>+'COLOMB$ '!L20+'PROY SAT$'!L20</f>
        <v>952321</v>
      </c>
      <c r="M20" s="126">
        <f t="shared" si="3"/>
        <v>0.22130443340412534</v>
      </c>
      <c r="N20" s="117">
        <f>+'COLOMB$ '!N20+'PROY SAT$'!N20</f>
        <v>764683.64031000005</v>
      </c>
      <c r="O20" s="126">
        <f t="shared" si="4"/>
        <v>0.20027862525305803</v>
      </c>
      <c r="P20" s="117">
        <f>+'COLOMB$ '!P20+'PROY SAT$'!P20</f>
        <v>965088.49945</v>
      </c>
      <c r="Q20" s="127">
        <f t="shared" si="5"/>
        <v>0.22923117267999255</v>
      </c>
      <c r="R20" s="128">
        <f t="shared" si="8"/>
        <v>1.0134067183754218</v>
      </c>
      <c r="S20" s="129">
        <f t="shared" si="9"/>
        <v>0.26207551538405677</v>
      </c>
      <c r="T20" s="199"/>
      <c r="U20" s="199"/>
      <c r="V20" s="199"/>
      <c r="W20" s="81" t="s">
        <v>64</v>
      </c>
      <c r="X20" s="82">
        <f>+'COLOMB$ '!X20</f>
        <v>5260</v>
      </c>
      <c r="Y20" s="82">
        <f>+'COLOMB$ '!Y20</f>
        <v>-362795.679</v>
      </c>
      <c r="Z20" s="82">
        <f>+'COLOMB$ '!Z20</f>
        <v>57476.090549999994</v>
      </c>
      <c r="AA20" s="218">
        <f>+'COLOMB$ '!AA20</f>
        <v>-151547</v>
      </c>
      <c r="AB20" s="82">
        <f>+'COLOMB$ '!AB20</f>
        <v>-143649.18136000002</v>
      </c>
      <c r="AC20" s="110">
        <f>+'COLOMB$ '!AC20</f>
        <v>-145663.59468000001</v>
      </c>
      <c r="AD20" s="85">
        <f t="shared" si="20"/>
        <v>5883.4053199999908</v>
      </c>
      <c r="AE20" s="86">
        <f t="shared" si="11"/>
        <v>1.0388223146614581</v>
      </c>
      <c r="AF20" s="86">
        <f t="shared" si="10"/>
        <v>-1.4023145143804613E-2</v>
      </c>
      <c r="AG20" s="10"/>
      <c r="AH20" s="10"/>
      <c r="AI20" s="10"/>
    </row>
    <row r="21" spans="1:35" ht="15.75" thickBot="1" x14ac:dyDescent="0.3">
      <c r="B21" s="11"/>
      <c r="C21" s="81" t="s">
        <v>65</v>
      </c>
      <c r="D21" s="117">
        <f>+'COLOMB$ '!D21+'PROY SAT$'!D21</f>
        <v>277983</v>
      </c>
      <c r="E21" s="126">
        <f t="shared" si="0"/>
        <v>0.32159776765107051</v>
      </c>
      <c r="F21" s="117">
        <f>+'COLOMB$ '!F21+'PROY SAT$'!F21</f>
        <v>286671.35294999997</v>
      </c>
      <c r="G21" s="126">
        <f t="shared" si="19"/>
        <v>0.40643658294953311</v>
      </c>
      <c r="H21" s="117">
        <f>+'COLOMB$ '!H21+'PROY SAT$'!H21</f>
        <v>276512.65124000004</v>
      </c>
      <c r="I21" s="127">
        <f t="shared" si="2"/>
        <v>0.31867217796871716</v>
      </c>
      <c r="J21" s="128">
        <f t="shared" si="6"/>
        <v>0.99471065223412958</v>
      </c>
      <c r="K21" s="128">
        <f t="shared" si="7"/>
        <v>-3.5436752244204096E-2</v>
      </c>
      <c r="L21" s="117">
        <f>+'COLOMB$ '!L21+'PROY SAT$'!L21</f>
        <v>1412429</v>
      </c>
      <c r="M21" s="126">
        <f t="shared" si="3"/>
        <v>0.32822630139265579</v>
      </c>
      <c r="N21" s="117">
        <f>+'COLOMB$ '!N21+'PROY SAT$'!N21</f>
        <v>1459357.5679500001</v>
      </c>
      <c r="O21" s="126">
        <f t="shared" si="4"/>
        <v>0.38222097617151024</v>
      </c>
      <c r="P21" s="117">
        <f>+'COLOMB$ '!P21+'PROY SAT$'!P21</f>
        <v>1369771.82681</v>
      </c>
      <c r="Q21" s="127">
        <f t="shared" si="5"/>
        <v>0.32535296228544436</v>
      </c>
      <c r="R21" s="128">
        <f t="shared" si="8"/>
        <v>0.9697987132875352</v>
      </c>
      <c r="S21" s="129">
        <f t="shared" si="9"/>
        <v>-6.1387108346478529E-2</v>
      </c>
      <c r="T21" s="199"/>
      <c r="U21" s="199"/>
      <c r="V21" s="199"/>
      <c r="W21" s="81" t="s">
        <v>66</v>
      </c>
      <c r="X21" s="82">
        <f>+'COLOMB$ '!X21</f>
        <v>77500</v>
      </c>
      <c r="Y21" s="82">
        <f>+'COLOMB$ '!Y21</f>
        <v>0</v>
      </c>
      <c r="Z21" s="82">
        <f>+'COLOMB$ '!Z21</f>
        <v>73719.837</v>
      </c>
      <c r="AA21" s="218">
        <f>+'COLOMB$ '!AA21</f>
        <v>155000</v>
      </c>
      <c r="AB21" s="82">
        <f>+'COLOMB$ '!AB21</f>
        <v>0</v>
      </c>
      <c r="AC21" s="110">
        <f>+'COLOMB$ '!AC21</f>
        <v>133390.07</v>
      </c>
      <c r="AD21" s="85">
        <f t="shared" si="20"/>
        <v>-21609.929999999993</v>
      </c>
      <c r="AE21" s="86">
        <f t="shared" si="11"/>
        <v>0.86058109677419359</v>
      </c>
      <c r="AF21" s="86" t="str">
        <f t="shared" si="10"/>
        <v/>
      </c>
      <c r="AG21" s="10"/>
      <c r="AH21" s="10"/>
      <c r="AI21" s="10"/>
    </row>
    <row r="22" spans="1:35" ht="15.75" thickBot="1" x14ac:dyDescent="0.3">
      <c r="B22" s="11" t="s">
        <v>103</v>
      </c>
      <c r="C22" s="112" t="s">
        <v>67</v>
      </c>
      <c r="D22" s="117">
        <f>SUM(D20:D21)</f>
        <v>493576</v>
      </c>
      <c r="E22" s="113">
        <f t="shared" si="0"/>
        <v>0.57101671600833426</v>
      </c>
      <c r="F22" s="117">
        <f>SUM(F20:F21)</f>
        <v>437922.36468</v>
      </c>
      <c r="G22" s="113">
        <f t="shared" si="19"/>
        <v>0.62087706939019605</v>
      </c>
      <c r="H22" s="117">
        <f>SUM(H20:H21)</f>
        <v>469176.74071000004</v>
      </c>
      <c r="I22" s="115">
        <f t="shared" si="2"/>
        <v>0.54071151227199732</v>
      </c>
      <c r="J22" s="116">
        <f t="shared" si="6"/>
        <v>0.95056635798742251</v>
      </c>
      <c r="K22" s="116">
        <f t="shared" si="7"/>
        <v>7.1369673144778392E-2</v>
      </c>
      <c r="L22" s="117">
        <f>SUM(L20:L21)</f>
        <v>2364750</v>
      </c>
      <c r="M22" s="113">
        <f>+L22/$L$17</f>
        <v>0.54953073479678105</v>
      </c>
      <c r="N22" s="117">
        <f>SUM(N20:N21)</f>
        <v>2224041.2082600002</v>
      </c>
      <c r="O22" s="113">
        <f>+N22/$N$17</f>
        <v>0.58249960142456836</v>
      </c>
      <c r="P22" s="117">
        <f>SUM(P20:P21)</f>
        <v>2334860.32626</v>
      </c>
      <c r="Q22" s="115">
        <f t="shared" si="5"/>
        <v>0.5545841349654369</v>
      </c>
      <c r="R22" s="116">
        <f>IF(L22=0,"",(P22-L22)/ABS(L22)+1)</f>
        <v>0.98736032403425311</v>
      </c>
      <c r="S22" s="118">
        <f>IF(N22=0,"",(P22-N22)/ABS(N22))</f>
        <v>4.982781685358257E-2</v>
      </c>
      <c r="U22" s="199"/>
      <c r="V22" s="199"/>
      <c r="W22" s="73" t="s">
        <v>68</v>
      </c>
      <c r="X22" s="75">
        <f>X17-X18-X19-X20-X21</f>
        <v>26363.484143459296</v>
      </c>
      <c r="Y22" s="75">
        <f>Y17-Y18-Y19-Y20-Y21</f>
        <v>944674.3603099999</v>
      </c>
      <c r="Z22" s="74">
        <f>Z17-Z18-Z19-Z20-Z21</f>
        <v>40026.978390000033</v>
      </c>
      <c r="AA22" s="130">
        <f t="shared" ref="AA22:AC22" si="21">AA17-AA18-AA19-AA20-AA21</f>
        <v>26363</v>
      </c>
      <c r="AB22" s="131">
        <f t="shared" si="21"/>
        <v>944674.81478000013</v>
      </c>
      <c r="AC22" s="132">
        <f t="shared" si="21"/>
        <v>40026.678260000044</v>
      </c>
      <c r="AD22" s="76">
        <f t="shared" si="20"/>
        <v>13663.678260000044</v>
      </c>
      <c r="AE22" s="77">
        <f t="shared" ref="AE22" si="22">IF(X22=0,"",(Z22-X22)/ABS(X22)+1)</f>
        <v>1.5182734638634861</v>
      </c>
      <c r="AF22" s="77">
        <f t="shared" si="10"/>
        <v>-0.95762914641762553</v>
      </c>
      <c r="AG22" s="10"/>
      <c r="AH22" s="10"/>
      <c r="AI22" s="10"/>
    </row>
    <row r="23" spans="1:35" x14ac:dyDescent="0.25">
      <c r="A23" s="11" t="s">
        <v>104</v>
      </c>
      <c r="B23" s="11" t="s">
        <v>105</v>
      </c>
      <c r="C23" s="81" t="s">
        <v>69</v>
      </c>
      <c r="D23" s="117">
        <f>+'COLOMB$ '!D23+'PROY SAT$'!D23</f>
        <v>51457</v>
      </c>
      <c r="E23" s="126">
        <f t="shared" si="0"/>
        <v>5.9530461682984703E-2</v>
      </c>
      <c r="F23" s="117">
        <f>+'COLOMB$ '!F23+'PROY SAT$'!F23</f>
        <v>39707.456870000002</v>
      </c>
      <c r="G23" s="126">
        <f t="shared" si="19"/>
        <v>5.629639279190058E-2</v>
      </c>
      <c r="H23" s="117">
        <f>+'COLOMB$ '!H23+'PROY SAT$'!H23</f>
        <v>50616.990429999998</v>
      </c>
      <c r="I23" s="127">
        <f t="shared" si="2"/>
        <v>5.833449757258858E-2</v>
      </c>
      <c r="J23" s="128">
        <f t="shared" si="6"/>
        <v>0.98367550440173346</v>
      </c>
      <c r="K23" s="128">
        <f t="shared" si="7"/>
        <v>0.27474772800779462</v>
      </c>
      <c r="L23" s="117">
        <f>+'COLOMB$ '!L23+'PROY SAT$'!L23</f>
        <v>255784</v>
      </c>
      <c r="M23" s="126">
        <f t="shared" si="3"/>
        <v>5.9440181612965368E-2</v>
      </c>
      <c r="N23" s="117">
        <f>+'COLOMB$ '!N23+'PROY SAT$'!N23</f>
        <v>208382.45851</v>
      </c>
      <c r="O23" s="126">
        <f t="shared" si="4"/>
        <v>5.4577540458844089E-2</v>
      </c>
      <c r="P23" s="117">
        <f>+'COLOMB$ '!P23+'PROY SAT$'!P23</f>
        <v>244890.80372999999</v>
      </c>
      <c r="Q23" s="127">
        <f t="shared" si="5"/>
        <v>5.8167314344296728E-2</v>
      </c>
      <c r="R23" s="128">
        <f t="shared" si="8"/>
        <v>0.95741251888312007</v>
      </c>
      <c r="S23" s="129">
        <f t="shared" si="9"/>
        <v>0.1751987450433502</v>
      </c>
      <c r="T23" s="199"/>
      <c r="U23" s="199"/>
      <c r="V23" s="199"/>
      <c r="W23" s="20"/>
      <c r="X23" s="224"/>
      <c r="Y23" s="224"/>
      <c r="Z23" s="224"/>
      <c r="AA23" s="224"/>
      <c r="AB23" s="224"/>
      <c r="AC23" s="224"/>
      <c r="AD23" s="224"/>
      <c r="AE23" s="224"/>
      <c r="AF23" s="224"/>
      <c r="AG23" s="10"/>
      <c r="AH23" s="20"/>
      <c r="AI23" s="10"/>
    </row>
    <row r="24" spans="1:35" x14ac:dyDescent="0.25">
      <c r="B24" s="11"/>
      <c r="C24" s="81" t="s">
        <v>71</v>
      </c>
      <c r="D24" s="117">
        <f>+'COLOMB$ '!D24+'PROY SAT$'!D24</f>
        <v>168385</v>
      </c>
      <c r="E24" s="126">
        <f t="shared" si="0"/>
        <v>0.19480414308042401</v>
      </c>
      <c r="F24" s="117">
        <f>+'COLOMB$ '!F24+'PROY SAT$'!F24</f>
        <v>146925.72810000001</v>
      </c>
      <c r="G24" s="126">
        <f t="shared" si="19"/>
        <v>0.20830819076209411</v>
      </c>
      <c r="H24" s="117">
        <f>+'COLOMB$ '!H24+'PROY SAT$'!H24</f>
        <v>162273.38584999999</v>
      </c>
      <c r="I24" s="127">
        <f t="shared" si="2"/>
        <v>0.18701499936179738</v>
      </c>
      <c r="J24" s="128">
        <f t="shared" si="6"/>
        <v>0.96370452148350505</v>
      </c>
      <c r="K24" s="128">
        <f t="shared" si="7"/>
        <v>0.10445861285474878</v>
      </c>
      <c r="L24" s="117">
        <f>+'COLOMB$ '!L24+'PROY SAT$'!L24</f>
        <v>905400</v>
      </c>
      <c r="M24" s="126">
        <f t="shared" si="3"/>
        <v>0.2104007304302804</v>
      </c>
      <c r="N24" s="117">
        <f>+'COLOMB$ '!N24+'PROY SAT$'!N24</f>
        <v>770457.69829999993</v>
      </c>
      <c r="O24" s="126">
        <f t="shared" si="4"/>
        <v>0.20179091129581922</v>
      </c>
      <c r="P24" s="117">
        <f>+'COLOMB$ '!P24+'PROY SAT$'!P24</f>
        <v>868001.72545999999</v>
      </c>
      <c r="Q24" s="127">
        <f t="shared" si="5"/>
        <v>0.20617078488537235</v>
      </c>
      <c r="R24" s="128">
        <f t="shared" si="8"/>
        <v>0.9586941964435608</v>
      </c>
      <c r="S24" s="129">
        <f t="shared" si="9"/>
        <v>0.12660529887004707</v>
      </c>
      <c r="T24" s="199"/>
      <c r="U24" s="199"/>
      <c r="V24" s="225"/>
      <c r="W24" s="226"/>
      <c r="X24" s="20"/>
      <c r="Y24" s="20"/>
      <c r="Z24" s="20"/>
      <c r="AA24" s="20"/>
      <c r="AB24" s="20"/>
      <c r="AC24" s="20"/>
      <c r="AD24" s="20"/>
      <c r="AE24" s="20"/>
      <c r="AF24" s="20"/>
      <c r="AG24" s="10"/>
      <c r="AH24" s="20"/>
      <c r="AI24" s="10"/>
    </row>
    <row r="25" spans="1:35" x14ac:dyDescent="0.25">
      <c r="B25" s="11"/>
      <c r="C25" s="112" t="s">
        <v>72</v>
      </c>
      <c r="D25" s="117">
        <f>SUM(D23:D24)</f>
        <v>219842</v>
      </c>
      <c r="E25" s="113">
        <f t="shared" si="0"/>
        <v>0.25433460476340874</v>
      </c>
      <c r="F25" s="117">
        <f>SUM(F23:F24)</f>
        <v>186633.18497</v>
      </c>
      <c r="G25" s="113">
        <f t="shared" si="19"/>
        <v>0.26460458355399469</v>
      </c>
      <c r="H25" s="117">
        <f>SUM(H23:H24)</f>
        <v>212890.37628</v>
      </c>
      <c r="I25" s="115">
        <f t="shared" si="2"/>
        <v>0.24534949693438596</v>
      </c>
      <c r="J25" s="116">
        <f t="shared" si="6"/>
        <v>0.96837900073689287</v>
      </c>
      <c r="K25" s="116">
        <f t="shared" si="7"/>
        <v>0.14068875968773001</v>
      </c>
      <c r="L25" s="117">
        <f>SUM(L23:L24)</f>
        <v>1161184</v>
      </c>
      <c r="M25" s="113">
        <f t="shared" si="3"/>
        <v>0.26984091204324578</v>
      </c>
      <c r="N25" s="117">
        <f t="shared" ref="N25" si="23">SUM(N23:N24)</f>
        <v>978840.15680999996</v>
      </c>
      <c r="O25" s="113">
        <f t="shared" si="4"/>
        <v>0.25636845175466333</v>
      </c>
      <c r="P25" s="117">
        <f>SUM(P23:P24)</f>
        <v>1112892.5291899999</v>
      </c>
      <c r="Q25" s="115">
        <f t="shared" si="5"/>
        <v>0.26433809922966905</v>
      </c>
      <c r="R25" s="116">
        <f t="shared" si="8"/>
        <v>0.95841187028929087</v>
      </c>
      <c r="S25" s="118">
        <f t="shared" si="9"/>
        <v>0.13695021750729064</v>
      </c>
      <c r="T25" s="199"/>
      <c r="U25" s="199"/>
      <c r="V25" s="199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10"/>
      <c r="AH25" s="20"/>
      <c r="AI25" s="20"/>
    </row>
    <row r="26" spans="1:35" ht="15.75" thickBot="1" x14ac:dyDescent="0.3">
      <c r="B26" s="11"/>
      <c r="C26" s="112" t="s">
        <v>74</v>
      </c>
      <c r="D26" s="117">
        <f>D22+D25</f>
        <v>713418</v>
      </c>
      <c r="E26" s="113">
        <f t="shared" si="0"/>
        <v>0.825351320771743</v>
      </c>
      <c r="F26" s="117">
        <f>F22+F25</f>
        <v>624555.54964999994</v>
      </c>
      <c r="G26" s="113">
        <f t="shared" si="19"/>
        <v>0.88548165294419068</v>
      </c>
      <c r="H26" s="117">
        <f>H22+H25</f>
        <v>682067.11699000001</v>
      </c>
      <c r="I26" s="115">
        <f t="shared" si="2"/>
        <v>0.78606100920638333</v>
      </c>
      <c r="J26" s="116">
        <f t="shared" si="6"/>
        <v>0.95605537986145572</v>
      </c>
      <c r="K26" s="116">
        <f t="shared" si="7"/>
        <v>9.2083990562936271E-2</v>
      </c>
      <c r="L26" s="117">
        <f>L22+L25</f>
        <v>3525934</v>
      </c>
      <c r="M26" s="113">
        <f t="shared" si="3"/>
        <v>0.81937164684002695</v>
      </c>
      <c r="N26" s="117">
        <f>N22+N25</f>
        <v>3202881.3650700003</v>
      </c>
      <c r="O26" s="113">
        <f t="shared" si="4"/>
        <v>0.83886805317923163</v>
      </c>
      <c r="P26" s="117">
        <f>P22+P25</f>
        <v>3447752.8554499997</v>
      </c>
      <c r="Q26" s="115">
        <f t="shared" si="5"/>
        <v>0.8189222341951059</v>
      </c>
      <c r="R26" s="116">
        <f t="shared" si="8"/>
        <v>0.97782682700527002</v>
      </c>
      <c r="S26" s="118">
        <f t="shared" si="9"/>
        <v>7.6453499979899392E-2</v>
      </c>
      <c r="T26" s="199"/>
      <c r="U26" s="199"/>
      <c r="V26" s="199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10"/>
    </row>
    <row r="27" spans="1:35" ht="15.75" thickBot="1" x14ac:dyDescent="0.3">
      <c r="B27" s="11" t="s">
        <v>106</v>
      </c>
      <c r="C27" s="73" t="s">
        <v>75</v>
      </c>
      <c r="D27" s="141">
        <f>D19-D26</f>
        <v>76861</v>
      </c>
      <c r="E27" s="142">
        <f t="shared" si="0"/>
        <v>8.8920279367547414E-2</v>
      </c>
      <c r="F27" s="141">
        <f>F19-F26</f>
        <v>49549.644180000061</v>
      </c>
      <c r="G27" s="142">
        <f t="shared" si="19"/>
        <v>7.0250437860796544E-2</v>
      </c>
      <c r="H27" s="141">
        <f>H19-H26</f>
        <v>93123.589810000034</v>
      </c>
      <c r="I27" s="143">
        <f t="shared" si="2"/>
        <v>0.10732202324898639</v>
      </c>
      <c r="J27" s="144">
        <f t="shared" si="6"/>
        <v>1.2115844161538365</v>
      </c>
      <c r="K27" s="144">
        <f t="shared" si="7"/>
        <v>0.8793997686786198</v>
      </c>
      <c r="L27" s="141">
        <f>L19-L26</f>
        <v>439914</v>
      </c>
      <c r="M27" s="142">
        <f t="shared" si="3"/>
        <v>0.10222909976419967</v>
      </c>
      <c r="N27" s="141">
        <f>N19-N26</f>
        <v>423377.52459999966</v>
      </c>
      <c r="O27" s="227">
        <f t="shared" si="4"/>
        <v>0.11088699184875424</v>
      </c>
      <c r="P27" s="141">
        <f>+P19-P26</f>
        <v>433252.83893000009</v>
      </c>
      <c r="Q27" s="145">
        <f t="shared" si="5"/>
        <v>0.10290771923140633</v>
      </c>
      <c r="R27" s="146">
        <f t="shared" si="8"/>
        <v>0.98485803800288263</v>
      </c>
      <c r="S27" s="147">
        <f t="shared" si="9"/>
        <v>2.332507928787781E-2</v>
      </c>
      <c r="T27" s="199"/>
      <c r="U27" s="199"/>
      <c r="V27" s="199"/>
    </row>
    <row r="28" spans="1:35" x14ac:dyDescent="0.25">
      <c r="B28" s="11" t="s">
        <v>107</v>
      </c>
      <c r="C28" s="81" t="s">
        <v>76</v>
      </c>
      <c r="D28" s="117">
        <f>+'COLOMB$ '!D28+'PROY SAT$'!D28</f>
        <v>640</v>
      </c>
      <c r="E28" s="126">
        <f t="shared" si="0"/>
        <v>7.4041423862856775E-4</v>
      </c>
      <c r="F28" s="117">
        <f>+'COLOMB$ '!F28+'PROY SAT$'!F28</f>
        <v>3310.30413</v>
      </c>
      <c r="G28" s="126">
        <f t="shared" si="19"/>
        <v>4.6932792037842411E-3</v>
      </c>
      <c r="H28" s="117">
        <f>+'COLOMB$ '!H28+'PROY SAT$'!H28</f>
        <v>386.82592</v>
      </c>
      <c r="I28" s="127">
        <f t="shared" si="2"/>
        <v>4.4580476831115981E-4</v>
      </c>
      <c r="J28" s="128">
        <f t="shared" si="6"/>
        <v>0.60441549999999999</v>
      </c>
      <c r="K28" s="128">
        <f t="shared" si="7"/>
        <v>-0.88314490004276447</v>
      </c>
      <c r="L28" s="117">
        <f>+'COLOMB$ '!L28+'PROY SAT$'!L28</f>
        <v>3200</v>
      </c>
      <c r="M28" s="126">
        <f t="shared" si="3"/>
        <v>7.436297077279626E-4</v>
      </c>
      <c r="N28" s="117">
        <f>+'COLOMB$ '!N28+'PROY SAT$'!N28</f>
        <v>163350.57924000002</v>
      </c>
      <c r="O28" s="126">
        <f t="shared" si="4"/>
        <v>4.278322134787025E-2</v>
      </c>
      <c r="P28" s="117">
        <f>+'COLOMB$ '!P28+'PROY SAT$'!P28</f>
        <v>8538.7470299999986</v>
      </c>
      <c r="Q28" s="127">
        <f t="shared" si="5"/>
        <v>2.0281528543964491E-3</v>
      </c>
      <c r="R28" s="148">
        <f t="shared" si="8"/>
        <v>2.6683584468749997</v>
      </c>
      <c r="S28" s="129">
        <f t="shared" si="9"/>
        <v>-0.94772747626774811</v>
      </c>
      <c r="T28" s="199"/>
      <c r="U28" s="199"/>
      <c r="V28" s="199"/>
    </row>
    <row r="29" spans="1:35" ht="15.75" thickBot="1" x14ac:dyDescent="0.3">
      <c r="B29" s="11"/>
      <c r="C29" s="81" t="s">
        <v>77</v>
      </c>
      <c r="D29" s="117">
        <f>+'COLOMB$ '!D29+'PROY SAT$'!D29</f>
        <v>15110</v>
      </c>
      <c r="E29" s="126">
        <f t="shared" si="0"/>
        <v>1.748071741512134E-2</v>
      </c>
      <c r="F29" s="117">
        <f>+'COLOMB$ '!F29+'PROY SAT$'!F29</f>
        <v>14622.616480000001</v>
      </c>
      <c r="G29" s="126">
        <f t="shared" si="19"/>
        <v>2.0731636470663718E-2</v>
      </c>
      <c r="H29" s="117">
        <f>+'COLOMB$ '!H29+'PROY SAT$'!H29</f>
        <v>19112.272230000002</v>
      </c>
      <c r="I29" s="127">
        <f t="shared" si="2"/>
        <v>2.2026295687204635E-2</v>
      </c>
      <c r="J29" s="128">
        <f t="shared" si="6"/>
        <v>1.2648757266710788</v>
      </c>
      <c r="K29" s="128">
        <f t="shared" si="7"/>
        <v>0.30703504780698465</v>
      </c>
      <c r="L29" s="117">
        <f>+'COLOMB$ '!L29+'PROY SAT$'!L29</f>
        <v>77231</v>
      </c>
      <c r="M29" s="126">
        <f t="shared" si="3"/>
        <v>1.7947270611730713E-2</v>
      </c>
      <c r="N29" s="117">
        <f>+'COLOMB$ '!N29+'PROY SAT$'!N29</f>
        <v>139816.08406999998</v>
      </c>
      <c r="O29" s="126">
        <f t="shared" si="4"/>
        <v>3.6619291468630875E-2</v>
      </c>
      <c r="P29" s="117">
        <f>+'COLOMB$ '!P29+'PROY SAT$'!P29</f>
        <v>89095.963759999999</v>
      </c>
      <c r="Q29" s="127">
        <f t="shared" si="5"/>
        <v>2.116238279224986E-2</v>
      </c>
      <c r="R29" s="148">
        <f t="shared" si="8"/>
        <v>1.1536295497921818</v>
      </c>
      <c r="S29" s="129">
        <f t="shared" si="9"/>
        <v>-0.36276313020329315</v>
      </c>
      <c r="T29" s="199"/>
      <c r="U29" s="199"/>
      <c r="V29" s="199"/>
    </row>
    <row r="30" spans="1:35" ht="15.75" thickBot="1" x14ac:dyDescent="0.3">
      <c r="B30" s="11" t="s">
        <v>108</v>
      </c>
      <c r="C30" s="73" t="s">
        <v>78</v>
      </c>
      <c r="D30" s="141">
        <f>D27+D28-D29</f>
        <v>62391</v>
      </c>
      <c r="E30" s="142">
        <f t="shared" si="0"/>
        <v>7.2179976191054637E-2</v>
      </c>
      <c r="F30" s="141">
        <f>F27+F28-F29</f>
        <v>38237.331830000054</v>
      </c>
      <c r="G30" s="142">
        <f t="shared" si="19"/>
        <v>5.4212080593917057E-2</v>
      </c>
      <c r="H30" s="141">
        <f>H27+H28-H29</f>
        <v>74398.143500000035</v>
      </c>
      <c r="I30" s="143">
        <f t="shared" si="2"/>
        <v>8.5741532330092921E-2</v>
      </c>
      <c r="J30" s="144">
        <f t="shared" si="6"/>
        <v>1.1924499286756107</v>
      </c>
      <c r="K30" s="144">
        <f t="shared" si="7"/>
        <v>0.94569390538983977</v>
      </c>
      <c r="L30" s="141">
        <f>L27+L28-L29</f>
        <v>365883</v>
      </c>
      <c r="M30" s="142">
        <f t="shared" si="3"/>
        <v>8.5025458860196912E-2</v>
      </c>
      <c r="N30" s="141">
        <f>N27+N28-N29</f>
        <v>446912.01976999966</v>
      </c>
      <c r="O30" s="142">
        <f t="shared" si="4"/>
        <v>0.11705092172799361</v>
      </c>
      <c r="P30" s="141">
        <f>P27+P28-P29</f>
        <v>352695.62220000004</v>
      </c>
      <c r="Q30" s="143">
        <f t="shared" si="5"/>
        <v>8.3773489293552911E-2</v>
      </c>
      <c r="R30" s="144">
        <f t="shared" si="8"/>
        <v>0.96395739129721814</v>
      </c>
      <c r="S30" s="147">
        <f t="shared" si="9"/>
        <v>-0.21081643232260228</v>
      </c>
      <c r="T30" s="199"/>
      <c r="U30" s="199"/>
      <c r="V30" s="199"/>
    </row>
    <row r="31" spans="1:35" ht="15.75" thickBot="1" x14ac:dyDescent="0.3">
      <c r="B31" s="11"/>
      <c r="C31" s="81" t="s">
        <v>62</v>
      </c>
      <c r="D31" s="117">
        <f>+'COLOMB$ '!D31+'PROY SAT$'!D31</f>
        <v>22461</v>
      </c>
      <c r="E31" s="126">
        <f t="shared" si="0"/>
        <v>2.5985069084119156E-2</v>
      </c>
      <c r="F31" s="117">
        <f>+'COLOMB$ '!F31+'PROY SAT$'!F31</f>
        <v>12965.962</v>
      </c>
      <c r="G31" s="126">
        <f t="shared" si="19"/>
        <v>1.838286677655105E-2</v>
      </c>
      <c r="H31" s="117">
        <f>+'COLOMB$ '!H31+'PROY SAT$'!H31</f>
        <v>28285.675999999999</v>
      </c>
      <c r="I31" s="127">
        <f t="shared" si="2"/>
        <v>3.2598356479587857E-2</v>
      </c>
      <c r="J31" s="128">
        <f t="shared" si="6"/>
        <v>1.2593239837941321</v>
      </c>
      <c r="K31" s="128">
        <f t="shared" si="7"/>
        <v>1.181533155812118</v>
      </c>
      <c r="L31" s="117">
        <f>+'COLOMB$ '!L31+'PROY SAT$'!L31</f>
        <v>131717</v>
      </c>
      <c r="M31" s="126">
        <f t="shared" si="3"/>
        <v>3.0608960691501264E-2</v>
      </c>
      <c r="N31" s="117">
        <f>+'COLOMB$ '!N31+'PROY SAT$'!N31</f>
        <v>146859.196</v>
      </c>
      <c r="O31" s="126">
        <f t="shared" si="4"/>
        <v>3.8463955981490036E-2</v>
      </c>
      <c r="P31" s="117">
        <f>+'COLOMB$ '!P31+'PROY SAT$'!P31</f>
        <v>133995.63</v>
      </c>
      <c r="Q31" s="127">
        <f t="shared" si="5"/>
        <v>3.1827107479157922E-2</v>
      </c>
      <c r="R31" s="148">
        <f t="shared" si="8"/>
        <v>1.0172994374302482</v>
      </c>
      <c r="S31" s="129">
        <f t="shared" si="9"/>
        <v>-8.7591150914376456E-2</v>
      </c>
      <c r="T31" s="199"/>
      <c r="U31" s="199"/>
      <c r="V31" s="199"/>
    </row>
    <row r="32" spans="1:35" ht="15.75" thickBot="1" x14ac:dyDescent="0.3">
      <c r="B32" s="11"/>
      <c r="C32" s="73" t="s">
        <v>79</v>
      </c>
      <c r="D32" s="141">
        <f>D30-D31</f>
        <v>39930</v>
      </c>
      <c r="E32" s="142">
        <f t="shared" si="0"/>
        <v>4.6194907106935482E-2</v>
      </c>
      <c r="F32" s="141">
        <f>F30-F31</f>
        <v>25271.369830000054</v>
      </c>
      <c r="G32" s="142">
        <f t="shared" si="19"/>
        <v>3.5829213817366007E-2</v>
      </c>
      <c r="H32" s="141">
        <f>H30-H31</f>
        <v>46112.467500000035</v>
      </c>
      <c r="I32" s="142">
        <f t="shared" si="2"/>
        <v>5.3143175850505063E-2</v>
      </c>
      <c r="J32" s="144">
        <f t="shared" si="6"/>
        <v>1.1548326446281001</v>
      </c>
      <c r="K32" s="144">
        <f t="shared" si="7"/>
        <v>0.82469204519571293</v>
      </c>
      <c r="L32" s="141">
        <f>+L30-L31</f>
        <v>234166</v>
      </c>
      <c r="M32" s="142">
        <f t="shared" si="3"/>
        <v>5.4416498168695655E-2</v>
      </c>
      <c r="N32" s="141">
        <f>+N30-N31</f>
        <v>300052.82376999967</v>
      </c>
      <c r="O32" s="142">
        <f t="shared" si="4"/>
        <v>7.8586965746503576E-2</v>
      </c>
      <c r="P32" s="141">
        <f>+P30-P31</f>
        <v>218699.99220000004</v>
      </c>
      <c r="Q32" s="143">
        <f t="shared" si="5"/>
        <v>5.1946381814394996E-2</v>
      </c>
      <c r="R32" s="144">
        <f t="shared" si="8"/>
        <v>0.93395280356670074</v>
      </c>
      <c r="S32" s="147">
        <f t="shared" si="9"/>
        <v>-0.27112836515866034</v>
      </c>
      <c r="T32" s="199"/>
      <c r="U32" s="199"/>
      <c r="V32" s="199"/>
    </row>
    <row r="33" spans="2:35" ht="15.75" thickBot="1" x14ac:dyDescent="0.3">
      <c r="B33" s="11" t="s">
        <v>109</v>
      </c>
      <c r="C33" s="73" t="s">
        <v>81</v>
      </c>
      <c r="D33" s="141">
        <f>+'COLOMB$ '!D33+'PROY SAT$'!D33</f>
        <v>117521</v>
      </c>
      <c r="E33" s="142">
        <f t="shared" si="0"/>
        <v>0.1359597214654186</v>
      </c>
      <c r="F33" s="141">
        <f>+'COLOMB$ '!F33+'PROY SAT$'!F33</f>
        <v>56306.928240000023</v>
      </c>
      <c r="G33" s="142">
        <f t="shared" si="19"/>
        <v>7.9830772327787208E-2</v>
      </c>
      <c r="H33" s="141">
        <f>+'COLOMB$ '!H33+'PROY SAT$'!H33</f>
        <v>136263.14812</v>
      </c>
      <c r="I33" s="142">
        <f t="shared" si="2"/>
        <v>0.1570390142857693</v>
      </c>
      <c r="J33" s="144">
        <f t="shared" si="6"/>
        <v>1.1594791409194953</v>
      </c>
      <c r="K33" s="144">
        <f t="shared" si="7"/>
        <v>1.4200067803236986</v>
      </c>
      <c r="L33" s="141">
        <f>+'COLOMB$ '!L33+'PROY SAT$'!L33</f>
        <v>653477</v>
      </c>
      <c r="M33" s="142">
        <f t="shared" si="3"/>
        <v>0.15185778453654555</v>
      </c>
      <c r="N33" s="141">
        <f>+'COLOMB$ '!N33+'PROY SAT$'!N33</f>
        <v>603538.74837999954</v>
      </c>
      <c r="O33" s="142">
        <f t="shared" si="4"/>
        <v>0.15807309642912584</v>
      </c>
      <c r="P33" s="141">
        <f>+'COLOMB$ '!P33+'PROY SAT$'!P33</f>
        <v>649574.99421999976</v>
      </c>
      <c r="Q33" s="142">
        <f t="shared" si="5"/>
        <v>0.15428930896338425</v>
      </c>
      <c r="R33" s="144">
        <f t="shared" si="8"/>
        <v>0.99402885521602102</v>
      </c>
      <c r="S33" s="147">
        <f t="shared" si="9"/>
        <v>7.6277200036566531E-2</v>
      </c>
      <c r="T33" s="199"/>
      <c r="U33" s="199"/>
      <c r="V33" s="199"/>
    </row>
    <row r="34" spans="2:35" ht="15.75" thickBot="1" x14ac:dyDescent="0.3">
      <c r="C34" s="153" t="s">
        <v>45</v>
      </c>
      <c r="D34" s="141">
        <f>+'COLOMB$ '!D34+'PROY SAT$'!D34</f>
        <v>372874</v>
      </c>
      <c r="E34" s="142">
        <f t="shared" si="0"/>
        <v>0.43137690439748211</v>
      </c>
      <c r="F34" s="141">
        <f>+'COLOMB$ '!F34+'PROY SAT$'!F34</f>
        <v>320960.29399999999</v>
      </c>
      <c r="G34" s="142">
        <f t="shared" si="19"/>
        <v>0.45505071857874158</v>
      </c>
      <c r="H34" s="141">
        <f>+'COLOMB$ '!H34+'PROY SAT$'!H34</f>
        <v>338175.02100000001</v>
      </c>
      <c r="I34" s="142">
        <f t="shared" si="2"/>
        <v>0.38973612958905807</v>
      </c>
      <c r="J34" s="142">
        <f t="shared" si="6"/>
        <v>0.90694181144300756</v>
      </c>
      <c r="K34" s="142">
        <f t="shared" si="7"/>
        <v>5.3635067395595086E-2</v>
      </c>
      <c r="L34" s="141">
        <f>+'COLOMB$ '!L34+'PROY SAT$'!L34</f>
        <v>1778988</v>
      </c>
      <c r="M34" s="142">
        <f t="shared" si="3"/>
        <v>0.41340885202861022</v>
      </c>
      <c r="N34" s="141">
        <f>+'COLOMB$ '!N34+'PROY SAT$'!N34</f>
        <v>1595768.726</v>
      </c>
      <c r="O34" s="142">
        <f t="shared" si="4"/>
        <v>0.41794848198339879</v>
      </c>
      <c r="P34" s="141">
        <f>+'COLOMB$ '!P34+'PROY SAT$'!P34</f>
        <v>1699692.0279999999</v>
      </c>
      <c r="Q34" s="142">
        <f t="shared" si="5"/>
        <v>0.4037167544689621</v>
      </c>
      <c r="R34" s="142">
        <f t="shared" si="8"/>
        <v>0.95542635925593644</v>
      </c>
      <c r="S34" s="142">
        <f t="shared" si="9"/>
        <v>6.5124287941459455E-2</v>
      </c>
      <c r="T34" s="199"/>
      <c r="U34" s="199"/>
      <c r="V34" s="199"/>
    </row>
    <row r="35" spans="2:35" s="15" customFormat="1" x14ac:dyDescent="0.25">
      <c r="C35" s="20"/>
      <c r="D35" s="140"/>
      <c r="E35" s="140"/>
      <c r="F35" s="140"/>
      <c r="G35" s="140"/>
      <c r="H35" s="228" t="s">
        <v>70</v>
      </c>
      <c r="I35" s="140"/>
      <c r="J35" s="140"/>
      <c r="K35" s="140"/>
      <c r="L35" s="228"/>
      <c r="M35" s="140"/>
      <c r="N35" s="140"/>
      <c r="O35" s="140"/>
      <c r="P35" s="228" t="s">
        <v>70</v>
      </c>
      <c r="Q35" s="140"/>
      <c r="R35" s="140"/>
      <c r="S35" s="140"/>
      <c r="T35" s="229"/>
      <c r="U35" s="229"/>
      <c r="V35" s="229"/>
    </row>
    <row r="36" spans="2:35" s="15" customFormat="1" x14ac:dyDescent="0.25">
      <c r="D36" s="87"/>
      <c r="E36" s="87"/>
      <c r="F36" s="87"/>
      <c r="G36" s="87"/>
      <c r="H36" s="230"/>
      <c r="I36" s="87"/>
      <c r="J36" s="87"/>
      <c r="K36" s="87"/>
      <c r="L36" s="140"/>
      <c r="M36" s="87"/>
      <c r="N36" s="140"/>
      <c r="O36" s="140"/>
      <c r="P36" s="140"/>
      <c r="Q36" s="140"/>
      <c r="R36" s="87"/>
      <c r="S36" s="87"/>
      <c r="T36" s="229"/>
      <c r="U36" s="229"/>
      <c r="V36" s="229"/>
    </row>
    <row r="37" spans="2:35" s="15" customFormat="1" x14ac:dyDescent="0.25">
      <c r="D37" s="87"/>
      <c r="E37" s="87"/>
      <c r="F37" s="87"/>
      <c r="G37" s="87"/>
      <c r="H37" s="230"/>
      <c r="I37" s="87"/>
      <c r="J37" s="87"/>
      <c r="K37" s="87"/>
      <c r="L37" s="140"/>
      <c r="M37" s="87"/>
      <c r="N37" s="87"/>
      <c r="O37" s="87"/>
      <c r="P37" s="87"/>
      <c r="Q37" s="87"/>
      <c r="R37" s="87"/>
      <c r="S37" s="87"/>
      <c r="T37" s="79"/>
      <c r="U37" s="79"/>
      <c r="V37" s="231"/>
    </row>
    <row r="38" spans="2:35" s="15" customFormat="1" x14ac:dyDescent="0.25"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87"/>
      <c r="O38" s="87"/>
      <c r="P38" s="87"/>
      <c r="Q38" s="87"/>
      <c r="R38" s="87"/>
      <c r="T38" s="79"/>
      <c r="U38" s="79"/>
      <c r="V38" s="231"/>
    </row>
    <row r="39" spans="2:35" s="15" customFormat="1" x14ac:dyDescent="0.25"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87"/>
      <c r="O39" s="87"/>
      <c r="P39" s="87"/>
      <c r="Q39" s="87"/>
      <c r="R39" s="87"/>
      <c r="T39" s="79"/>
      <c r="U39" s="79"/>
      <c r="V39" s="231"/>
    </row>
    <row r="40" spans="2:35" s="15" customFormat="1" x14ac:dyDescent="0.25"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T40" s="79"/>
      <c r="U40" s="79"/>
      <c r="V40" s="231"/>
    </row>
    <row r="41" spans="2:35" s="15" customFormat="1" x14ac:dyDescent="0.25"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T41" s="79"/>
      <c r="U41" s="79"/>
      <c r="V41" s="231"/>
    </row>
    <row r="42" spans="2:35" s="15" customFormat="1" x14ac:dyDescent="0.25">
      <c r="H42" s="87"/>
      <c r="N42" s="87"/>
      <c r="T42" s="79"/>
      <c r="U42" s="79"/>
      <c r="V42" s="231"/>
      <c r="AG42" s="12"/>
      <c r="AH42" s="12"/>
      <c r="AI42" s="12"/>
    </row>
    <row r="43" spans="2:35" x14ac:dyDescent="0.25">
      <c r="B43" s="10" t="s">
        <v>82</v>
      </c>
      <c r="C43" s="15"/>
      <c r="D43" s="15"/>
      <c r="E43" s="15"/>
      <c r="G43" s="15"/>
      <c r="H43" s="15"/>
      <c r="I43" s="15"/>
      <c r="J43" s="15"/>
      <c r="K43" s="15"/>
      <c r="L43" s="15"/>
      <c r="M43" s="15"/>
      <c r="O43" s="15"/>
      <c r="P43" s="15"/>
      <c r="Q43" s="15"/>
      <c r="R43" s="15"/>
      <c r="S43" s="15"/>
      <c r="T43" s="79"/>
    </row>
    <row r="44" spans="2:35" x14ac:dyDescent="0.25">
      <c r="C44" s="15"/>
      <c r="D44" s="232"/>
      <c r="E44" s="15"/>
      <c r="G44" s="15"/>
      <c r="H44" s="15"/>
      <c r="I44" s="15"/>
      <c r="J44" s="15"/>
      <c r="K44" s="15"/>
      <c r="L44" s="87"/>
      <c r="M44" s="87"/>
      <c r="N44" s="87"/>
      <c r="O44" s="87"/>
      <c r="P44" s="87"/>
      <c r="Q44" s="87"/>
      <c r="R44" s="15"/>
      <c r="S44" s="15"/>
      <c r="T44" s="79"/>
    </row>
    <row r="45" spans="2:35" x14ac:dyDescent="0.25">
      <c r="C45" s="15"/>
      <c r="D45" s="15"/>
      <c r="E45" s="15"/>
      <c r="G45" s="15"/>
      <c r="H45" s="15"/>
      <c r="I45" s="15"/>
      <c r="J45" s="15"/>
      <c r="K45" s="15"/>
      <c r="L45" s="15"/>
      <c r="M45" s="15"/>
      <c r="O45" s="15"/>
      <c r="P45" s="15"/>
      <c r="Q45" s="15"/>
      <c r="R45" s="15"/>
      <c r="S45" s="15"/>
      <c r="T45" s="79"/>
    </row>
    <row r="46" spans="2:35" x14ac:dyDescent="0.25">
      <c r="C46" s="15"/>
      <c r="D46" s="15"/>
      <c r="E46" s="15"/>
      <c r="G46" s="15"/>
      <c r="H46" s="15"/>
      <c r="I46" s="15"/>
      <c r="J46" s="15"/>
      <c r="K46" s="15"/>
      <c r="L46" s="15"/>
      <c r="M46" s="15"/>
      <c r="O46" s="15"/>
      <c r="P46" s="15"/>
      <c r="Q46" s="15"/>
      <c r="R46" s="15"/>
      <c r="S46" s="15"/>
      <c r="T46" s="79"/>
    </row>
  </sheetData>
  <mergeCells count="12"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5480D-989B-479E-A931-3DDC31FEA68B}">
  <sheetPr>
    <tabColor rgb="FFFF0000"/>
  </sheetPr>
  <dimension ref="A1:AK47"/>
  <sheetViews>
    <sheetView topLeftCell="C3" zoomScale="89" zoomScaleNormal="89" workbookViewId="0">
      <selection activeCell="F12" sqref="F12"/>
    </sheetView>
  </sheetViews>
  <sheetFormatPr baseColWidth="10" defaultRowHeight="15" x14ac:dyDescent="0.25"/>
  <cols>
    <col min="1" max="1" width="11.42578125" style="10" hidden="1" customWidth="1"/>
    <col min="2" max="2" width="15" style="10" hidden="1" customWidth="1"/>
    <col min="3" max="3" width="35.7109375" style="10" customWidth="1"/>
    <col min="4" max="4" width="14.42578125" style="10" customWidth="1"/>
    <col min="5" max="5" width="5.42578125" style="10" customWidth="1"/>
    <col min="6" max="6" width="11.28515625" style="10" customWidth="1"/>
    <col min="7" max="7" width="5.42578125" style="10" customWidth="1"/>
    <col min="8" max="8" width="13.140625" style="10" customWidth="1"/>
    <col min="9" max="9" width="7.5703125" style="10" customWidth="1"/>
    <col min="10" max="10" width="6.85546875" style="10" customWidth="1"/>
    <col min="11" max="11" width="8.140625" style="10" customWidth="1"/>
    <col min="12" max="12" width="13.28515625" style="10" customWidth="1"/>
    <col min="13" max="13" width="6.7109375" style="10" customWidth="1"/>
    <col min="14" max="14" width="11.5703125" style="10" customWidth="1"/>
    <col min="15" max="15" width="8.5703125" style="10" customWidth="1"/>
    <col min="16" max="16" width="9.42578125" style="10" customWidth="1"/>
    <col min="17" max="17" width="8.42578125" style="10" customWidth="1"/>
    <col min="18" max="19" width="9.5703125" style="10" customWidth="1"/>
    <col min="20" max="20" width="14.42578125" style="10" customWidth="1"/>
    <col min="21" max="22" width="11.42578125" style="10" hidden="1" customWidth="1"/>
    <col min="23" max="23" width="34.140625" style="10" customWidth="1"/>
    <col min="24" max="24" width="11.42578125" style="10"/>
    <col min="25" max="25" width="12.5703125" style="10" customWidth="1"/>
    <col min="26" max="29" width="11.42578125" style="10"/>
    <col min="30" max="30" width="12.42578125" style="10" customWidth="1"/>
    <col min="31" max="31" width="8.42578125" style="10" customWidth="1"/>
    <col min="32" max="32" width="9.140625" style="10" customWidth="1"/>
    <col min="33" max="33" width="11.42578125" style="10"/>
    <col min="34" max="34" width="27" style="10" customWidth="1"/>
    <col min="35" max="35" width="11.5703125" style="10" customWidth="1"/>
    <col min="36" max="16384" width="11.42578125" style="10"/>
  </cols>
  <sheetData>
    <row r="1" spans="1:37" s="4" customFormat="1" ht="30" hidden="1" x14ac:dyDescent="0.25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</row>
    <row r="2" spans="1:37" ht="30.75" hidden="1" x14ac:dyDescent="0.3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1">
        <f>B2</f>
        <v>201301</v>
      </c>
      <c r="L2" s="11" t="str">
        <f>CONCATENATE(LEFT(D2,4),"01")</f>
        <v>201301</v>
      </c>
      <c r="N2" s="10" t="str">
        <f>+F2</f>
        <v>201201</v>
      </c>
      <c r="P2" s="11">
        <f>D2</f>
        <v>201301</v>
      </c>
      <c r="Z2" s="14"/>
      <c r="AA2" s="14"/>
      <c r="AB2" s="14"/>
      <c r="AC2" s="14"/>
    </row>
    <row r="3" spans="1:37" ht="19.5" thickBot="1" x14ac:dyDescent="0.35">
      <c r="B3" s="10">
        <v>1000</v>
      </c>
      <c r="C3" s="17" t="s">
        <v>11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233"/>
      <c r="W3" s="19" t="str">
        <f>+C3</f>
        <v>MUSICAR S.A. COLOMBIA</v>
      </c>
      <c r="X3" s="19"/>
      <c r="Y3" s="19"/>
      <c r="Z3" s="19"/>
      <c r="AA3" s="19"/>
      <c r="AB3" s="19"/>
      <c r="AC3" s="19"/>
      <c r="AD3" s="19"/>
      <c r="AE3" s="19"/>
      <c r="AF3" s="19"/>
      <c r="AG3" s="10" t="s">
        <v>110</v>
      </c>
      <c r="AH3" s="234">
        <f>+'COLOMB$ '!D4</f>
        <v>44712</v>
      </c>
      <c r="AI3" s="235">
        <v>3912.34</v>
      </c>
      <c r="AJ3" s="236">
        <f>+AI3-AI4</f>
        <v>197.05999999999995</v>
      </c>
      <c r="AK3" s="237">
        <f>+AJ3/AI4</f>
        <v>5.3040416873021669E-2</v>
      </c>
    </row>
    <row r="4" spans="1:37" ht="20.25" thickTop="1" thickBot="1" x14ac:dyDescent="0.35">
      <c r="A4" s="10" t="s">
        <v>93</v>
      </c>
      <c r="B4" s="10">
        <v>1</v>
      </c>
      <c r="C4" s="21"/>
      <c r="D4" s="182">
        <f>+'COLOMB$ '!D4:K4</f>
        <v>44712</v>
      </c>
      <c r="E4" s="26"/>
      <c r="F4" s="26"/>
      <c r="G4" s="26"/>
      <c r="H4" s="27"/>
      <c r="I4" s="27"/>
      <c r="J4" s="27"/>
      <c r="K4" s="183"/>
      <c r="L4" s="25" t="s">
        <v>12</v>
      </c>
      <c r="M4" s="26"/>
      <c r="N4" s="26"/>
      <c r="O4" s="26"/>
      <c r="P4" s="27"/>
      <c r="Q4" s="27"/>
      <c r="R4" s="27"/>
      <c r="S4" s="28"/>
      <c r="W4" s="14"/>
      <c r="X4" s="201" t="str">
        <f>+'COLOMB$ '!X4:Z4</f>
        <v>MAYO</v>
      </c>
      <c r="Y4" s="202"/>
      <c r="Z4" s="202"/>
      <c r="AA4" s="238" t="str">
        <f>+'COLOMB$ '!AA4:AC4</f>
        <v>ACUM  MAYO</v>
      </c>
      <c r="AB4" s="239"/>
      <c r="AC4" s="240"/>
      <c r="AG4" s="10" t="s">
        <v>110</v>
      </c>
      <c r="AH4" s="10">
        <f>+'COLOMB$ '!A4</f>
        <v>202105</v>
      </c>
      <c r="AI4" s="241">
        <v>3715.28</v>
      </c>
    </row>
    <row r="5" spans="1:37" ht="15.75" customHeight="1" thickBot="1" x14ac:dyDescent="0.3">
      <c r="A5" s="10" t="s">
        <v>94</v>
      </c>
      <c r="B5" s="10" t="s">
        <v>95</v>
      </c>
      <c r="C5" s="36" t="s">
        <v>111</v>
      </c>
      <c r="D5" s="184" t="str">
        <f>+'COLOMB$ '!D5:E5</f>
        <v>Ppto 2022</v>
      </c>
      <c r="E5" s="206"/>
      <c r="F5" s="184" t="str">
        <f>+'COLOMB$ '!F5:G5</f>
        <v>Real 2021</v>
      </c>
      <c r="G5" s="206"/>
      <c r="H5" s="184" t="str">
        <f>+'COLOMB$ '!H5:I5</f>
        <v>real 2022</v>
      </c>
      <c r="I5" s="206"/>
      <c r="J5" s="39" t="s">
        <v>19</v>
      </c>
      <c r="K5" s="40" t="s">
        <v>20</v>
      </c>
      <c r="L5" s="184" t="str">
        <f>+D5</f>
        <v>Ppto 2022</v>
      </c>
      <c r="M5" s="206"/>
      <c r="N5" s="184" t="str">
        <f>+F5</f>
        <v>Real 2021</v>
      </c>
      <c r="O5" s="206"/>
      <c r="P5" s="184" t="str">
        <f>+H5</f>
        <v>real 2022</v>
      </c>
      <c r="Q5" s="206"/>
      <c r="R5" s="39" t="s">
        <v>19</v>
      </c>
      <c r="S5" s="41" t="s">
        <v>20</v>
      </c>
      <c r="T5" s="242"/>
      <c r="U5" s="243"/>
      <c r="W5" s="208" t="s">
        <v>111</v>
      </c>
      <c r="X5" s="43" t="str">
        <f>+D5</f>
        <v>Ppto 2022</v>
      </c>
      <c r="Y5" s="209" t="str">
        <f>+F5</f>
        <v>Real 2021</v>
      </c>
      <c r="Z5" s="210" t="str">
        <f>+P5</f>
        <v>real 2022</v>
      </c>
      <c r="AA5" s="244" t="str">
        <f>+X5</f>
        <v>Ppto 2022</v>
      </c>
      <c r="AB5" s="43" t="str">
        <f>+Y5</f>
        <v>Real 2021</v>
      </c>
      <c r="AC5" s="245" t="str">
        <f>+Z5</f>
        <v>real 2022</v>
      </c>
      <c r="AD5" s="47" t="s">
        <v>23</v>
      </c>
      <c r="AE5" s="47" t="s">
        <v>19</v>
      </c>
      <c r="AF5" s="47" t="s">
        <v>20</v>
      </c>
      <c r="AH5" s="10" t="s">
        <v>112</v>
      </c>
      <c r="AI5" s="246">
        <v>3400</v>
      </c>
      <c r="AJ5" s="10" t="s">
        <v>113</v>
      </c>
    </row>
    <row r="6" spans="1:37" ht="15.75" thickBot="1" x14ac:dyDescent="0.3">
      <c r="C6" s="50" t="s">
        <v>25</v>
      </c>
      <c r="D6" s="247" t="s">
        <v>26</v>
      </c>
      <c r="E6" s="248" t="s">
        <v>27</v>
      </c>
      <c r="F6" s="247" t="s">
        <v>26</v>
      </c>
      <c r="G6" s="53" t="s">
        <v>27</v>
      </c>
      <c r="H6" s="186" t="s">
        <v>26</v>
      </c>
      <c r="I6" s="54" t="s">
        <v>27</v>
      </c>
      <c r="J6" s="55" t="s">
        <v>28</v>
      </c>
      <c r="K6" s="52" t="s">
        <v>28</v>
      </c>
      <c r="L6" s="51" t="s">
        <v>26</v>
      </c>
      <c r="M6" s="52" t="s">
        <v>27</v>
      </c>
      <c r="N6" s="51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6" t="s">
        <v>28</v>
      </c>
      <c r="T6" s="249"/>
      <c r="U6" s="250" t="s">
        <v>114</v>
      </c>
      <c r="V6" s="251"/>
      <c r="W6" s="57" t="str">
        <f>+'COLOMB$ '!W6</f>
        <v xml:space="preserve">Flujo de Caja </v>
      </c>
      <c r="X6" s="58"/>
      <c r="Y6" s="63"/>
      <c r="Z6" s="59"/>
      <c r="AA6" s="252" t="s">
        <v>12</v>
      </c>
      <c r="AB6" s="253"/>
      <c r="AC6" s="254"/>
      <c r="AD6" s="62" t="s">
        <v>115</v>
      </c>
      <c r="AE6" s="63" t="s">
        <v>28</v>
      </c>
      <c r="AF6" s="63" t="s">
        <v>28</v>
      </c>
    </row>
    <row r="7" spans="1:37" ht="15.75" thickBot="1" x14ac:dyDescent="0.3">
      <c r="B7" s="11" t="s">
        <v>96</v>
      </c>
      <c r="C7" s="255" t="str">
        <f>+'COLOMB$ '!C7</f>
        <v>Fact. Musical Experience  (Ambiental)</v>
      </c>
      <c r="D7" s="66">
        <f>+'COL. CONS.$'!D7/'COLOMBIA USD'!$AI$5*1000</f>
        <v>102263.52941176471</v>
      </c>
      <c r="E7" s="67">
        <f t="shared" ref="E7:E12" si="0">+D7/$D$17</f>
        <v>0.42341124579567402</v>
      </c>
      <c r="F7" s="66">
        <f>+'COL. CONS.$'!F7/'COLOMBIA USD'!$AI$4*1000</f>
        <v>82247.499784673011</v>
      </c>
      <c r="G7" s="67">
        <f t="shared" ref="G7:G15" si="1">+F7/$F$17</f>
        <v>0.43323421683881569</v>
      </c>
      <c r="H7" s="66">
        <f>+'COL. CONS.$'!H7/'COLOMBIA USD'!$AI$3*1000</f>
        <v>87138.169484247264</v>
      </c>
      <c r="I7" s="68">
        <f t="shared" ref="I7:I15" si="2">+H7/$H$17</f>
        <v>0.41823274847237435</v>
      </c>
      <c r="J7" s="69">
        <f>IF(D7=0,"",(H7-D7)/ABS(D7)+1)</f>
        <v>0.85209428997296688</v>
      </c>
      <c r="K7" s="69">
        <f>IF(F7=0,"",(H7-F7)/ABS(F7))</f>
        <v>5.9462837318802482E-2</v>
      </c>
      <c r="L7" s="66">
        <f>+'COL. CONS.$'!L7/'COLOMBIA USD'!$AI$5*1000</f>
        <v>533616.4705882353</v>
      </c>
      <c r="M7" s="67">
        <f t="shared" ref="M7:M15" si="3">+L7/$L$17</f>
        <v>0.44377978024988496</v>
      </c>
      <c r="N7" s="66">
        <f>+'COL. CONS.$'!N7/'COLOMBIA USD'!$AI$4*1000</f>
        <v>459838.51203677786</v>
      </c>
      <c r="O7" s="67">
        <f t="shared" ref="O7:O15" si="4">+N7/$N$17</f>
        <v>0.52375811804042294</v>
      </c>
      <c r="P7" s="66">
        <f>+'COL. CONS.$'!P7/'COLOMBIA USD'!$AI$3*1000</f>
        <v>458596.49084690999</v>
      </c>
      <c r="Q7" s="67">
        <f t="shared" ref="Q7:Q15" si="5">+P7/$P$17</f>
        <v>0.45434211967860638</v>
      </c>
      <c r="R7" s="69">
        <f>IF(L7=0,"",(P7-L7)/ABS(L7)+1)</f>
        <v>0.85941217358109923</v>
      </c>
      <c r="S7" s="69">
        <f>IF(N7=0,"",(P7-N7)/ABS(N7))</f>
        <v>-2.700994278114164E-3</v>
      </c>
      <c r="T7" s="115"/>
      <c r="U7" s="102"/>
      <c r="V7" s="256" t="s">
        <v>116</v>
      </c>
      <c r="W7" s="73" t="s">
        <v>34</v>
      </c>
      <c r="X7" s="75">
        <f>+'COL. CONS.$'!X7/'COLOMBIA USD'!AI5*1000</f>
        <v>33636.318865723326</v>
      </c>
      <c r="Y7" s="95">
        <f>'COLOMB$ '!Y7/'COLOMBIA USD'!$AI$4*1000</f>
        <v>206217.32025042528</v>
      </c>
      <c r="Z7" s="257">
        <f>'COLOMB$ '!Z7/'COLOMBIA USD'!$AI$3*1000</f>
        <v>46509.321503243576</v>
      </c>
      <c r="AA7" s="258">
        <f>'COLOMB$ '!AA7/'COLOMBIA USD'!$AI$5*1000</f>
        <v>142468.23529411765</v>
      </c>
      <c r="AB7" s="95">
        <f>'COLOMB$ '!AB7/'COLOMBIA USD'!$AI$4*1000</f>
        <v>158944.95165909434</v>
      </c>
      <c r="AC7" s="259">
        <f>+'COL. CONS.$'!AC7/'COLOMBIA USD'!AI3*1000</f>
        <v>123811.32519157333</v>
      </c>
      <c r="AD7" s="76">
        <f>+AC7-AA7</f>
        <v>-18656.910102544323</v>
      </c>
      <c r="AE7" s="77">
        <f>IF(AA7=0,"",(AC7-AA7)/ABS(AA7)+1)</f>
        <v>0.8690451238900504</v>
      </c>
      <c r="AF7" s="77">
        <f>IF(Y7=0,"",(AC7-AB7)/ABS(AB7))</f>
        <v>-0.2210427327246966</v>
      </c>
      <c r="AI7" s="236"/>
    </row>
    <row r="8" spans="1:37" x14ac:dyDescent="0.25">
      <c r="B8" s="11" t="s">
        <v>97</v>
      </c>
      <c r="C8" s="255" t="str">
        <f>+'COLOMB$ '!C8</f>
        <v>Instalaciones</v>
      </c>
      <c r="D8" s="66">
        <f>+'COL. CONS.$'!D8/'COLOMBIA USD'!$AI$5*1000</f>
        <v>14420</v>
      </c>
      <c r="E8" s="67">
        <f t="shared" si="0"/>
        <v>5.9704473329777463E-2</v>
      </c>
      <c r="F8" s="66">
        <f>+'COL. CONS.$'!F8/'COLOMBIA USD'!$AI$4*1000</f>
        <v>3022.8397321332441</v>
      </c>
      <c r="G8" s="67">
        <f t="shared" si="1"/>
        <v>1.5922643331512523E-2</v>
      </c>
      <c r="H8" s="66">
        <f>+'COL. CONS.$'!H8/'COLOMBIA USD'!$AI$3*1000</f>
        <v>12793.398324276521</v>
      </c>
      <c r="I8" s="68">
        <f t="shared" si="2"/>
        <v>6.140383915720557E-2</v>
      </c>
      <c r="J8" s="69">
        <f t="shared" ref="J8:J34" si="6">IF(D8=0,"",(H8-D8)/ABS(D8)+1)</f>
        <v>0.88719821943665189</v>
      </c>
      <c r="K8" s="69">
        <f t="shared" ref="K8:K34" si="7">IF(F8=0,"",(H8-F8)/ABS(F8))</f>
        <v>3.2322449940963653</v>
      </c>
      <c r="L8" s="66">
        <f>+'COL. CONS.$'!L8/'COLOMBIA USD'!$AI$5*1000</f>
        <v>56078.529411764706</v>
      </c>
      <c r="M8" s="67">
        <f t="shared" si="3"/>
        <v>4.6637461230639776E-2</v>
      </c>
      <c r="N8" s="66">
        <f>+'COL. CONS.$'!N8/'COLOMBIA USD'!$AI$4*1000</f>
        <v>40789.916506965834</v>
      </c>
      <c r="O8" s="67">
        <f t="shared" si="4"/>
        <v>4.6459896997504441E-2</v>
      </c>
      <c r="P8" s="66">
        <f>+'COL. CONS.$'!P8/'COLOMBIA USD'!$AI$3*1000</f>
        <v>42325.827509878989</v>
      </c>
      <c r="Q8" s="67">
        <f t="shared" si="5"/>
        <v>4.1933173436359855E-2</v>
      </c>
      <c r="R8" s="69">
        <f t="shared" ref="R8:R34" si="8">IF(L8=0,"",(P8-L8)/ABS(L8)+1)</f>
        <v>0.75475994028116333</v>
      </c>
      <c r="S8" s="69">
        <f t="shared" ref="S8:S34" si="9">IF(N8=0,"",(P8-N8)/ABS(N8))</f>
        <v>3.7654183544378238E-2</v>
      </c>
      <c r="T8" s="115"/>
      <c r="U8" s="102"/>
      <c r="V8" s="260" t="s">
        <v>117</v>
      </c>
      <c r="W8" s="81" t="s">
        <v>37</v>
      </c>
      <c r="X8" s="82">
        <f>'COLOMB$ '!X8/'COLOMBIA USD'!$AI$5*1000</f>
        <v>306768.82352941175</v>
      </c>
      <c r="Y8" s="90">
        <f>'COLOMB$ '!Y8/'COLOMBIA USD'!$AI$4*1000</f>
        <v>289762.25939633074</v>
      </c>
      <c r="Z8" s="91">
        <f>'COLOMB$ '!Z8/'COLOMBIA USD'!$AI$3*1000</f>
        <v>250755.99467582064</v>
      </c>
      <c r="AA8" s="261">
        <f>'COLOMB$ '!AA8/'COLOMBIA USD'!$AI$5*1000</f>
        <v>1418835.8823529412</v>
      </c>
      <c r="AB8" s="90">
        <f>'COLOMB$ '!AB8/'COLOMBIA USD'!$AI$4*1000</f>
        <v>1247167.9312218728</v>
      </c>
      <c r="AC8" s="262">
        <f>'COLOMB$ '!AC8/'COLOMBIA USD'!$AI$3*1000</f>
        <v>1248384.8248413992</v>
      </c>
      <c r="AD8" s="85">
        <f>+AC8-AA8</f>
        <v>-170451.05751154199</v>
      </c>
      <c r="AE8" s="86">
        <f>IF(AA8=0,"",(AC8-AA8)/ABS(AA8)+1)</f>
        <v>0.87986555765077445</v>
      </c>
      <c r="AF8" s="86">
        <f>IF(AB8=0,"",(AC8-AB8)/ABS(AB8))</f>
        <v>9.7572555312114056E-4</v>
      </c>
      <c r="AG8" s="236"/>
    </row>
    <row r="9" spans="1:37" x14ac:dyDescent="0.25">
      <c r="B9" s="11" t="s">
        <v>98</v>
      </c>
      <c r="C9" s="255" t="str">
        <f>+'COLOMB$ '!C9</f>
        <v>Fact.Voice Experience (Publihold)</v>
      </c>
      <c r="D9" s="66">
        <f>+'COL. CONS.$'!D9/'COLOMBIA USD'!$AI$5*1000</f>
        <v>23655.294117647059</v>
      </c>
      <c r="E9" s="67">
        <f t="shared" si="0"/>
        <v>9.7942224462905722E-2</v>
      </c>
      <c r="F9" s="66">
        <f>+'COL. CONS.$'!F9/'COLOMBIA USD'!$AI$4*1000</f>
        <v>23645.116922546888</v>
      </c>
      <c r="G9" s="67">
        <f t="shared" si="1"/>
        <v>0.12454936306660588</v>
      </c>
      <c r="H9" s="66">
        <f>+'COL. CONS.$'!H9/'COLOMBIA USD'!$AI$3*1000</f>
        <v>20068.451617190734</v>
      </c>
      <c r="I9" s="68">
        <f t="shared" si="2"/>
        <v>9.632155147532534E-2</v>
      </c>
      <c r="J9" s="69">
        <f t="shared" si="6"/>
        <v>0.84837041202626562</v>
      </c>
      <c r="K9" s="69">
        <f t="shared" si="7"/>
        <v>-0.15126443726508329</v>
      </c>
      <c r="L9" s="66">
        <f>+'COL. CONS.$'!L9/'COLOMBIA USD'!$AI$5*1000</f>
        <v>126992.0588235294</v>
      </c>
      <c r="M9" s="67">
        <f t="shared" si="3"/>
        <v>0.10561238467032588</v>
      </c>
      <c r="N9" s="66">
        <f>+'COL. CONS.$'!N9/'COLOMBIA USD'!$AI$4*1000</f>
        <v>137194.58113520377</v>
      </c>
      <c r="O9" s="67">
        <f t="shared" si="4"/>
        <v>0.15626524038284842</v>
      </c>
      <c r="P9" s="66">
        <f>+'COL. CONS.$'!P9/'COLOMBIA USD'!$AI$3*1000</f>
        <v>118114.8241717233</v>
      </c>
      <c r="Q9" s="67">
        <f t="shared" si="5"/>
        <v>0.1170190802824113</v>
      </c>
      <c r="R9" s="69">
        <f t="shared" si="8"/>
        <v>0.93009614353806114</v>
      </c>
      <c r="S9" s="69">
        <f t="shared" si="9"/>
        <v>-0.1390707767435623</v>
      </c>
      <c r="T9" s="115"/>
      <c r="U9" s="263">
        <f>+H18/D18</f>
        <v>1.0849496427302494</v>
      </c>
      <c r="V9" s="260" t="s">
        <v>118</v>
      </c>
      <c r="W9" s="81" t="s">
        <v>40</v>
      </c>
      <c r="X9" s="82">
        <f>'COLOMB$ '!X9/'COLOMBIA USD'!$AI$5*1000</f>
        <v>35873.23529411765</v>
      </c>
      <c r="Y9" s="90">
        <f>'COLOMB$ '!Y9/'COLOMBIA USD'!$AI$4*1000</f>
        <v>84354.747364936164</v>
      </c>
      <c r="Z9" s="91">
        <f>'COLOMB$ '!Z9/'COLOMBIA USD'!$AI$3*1000</f>
        <v>32968.307946139648</v>
      </c>
      <c r="AA9" s="261">
        <f>'COLOMB$ '!AA9/'COLOMBIA USD'!$AI$5*1000</f>
        <v>187538.82352941175</v>
      </c>
      <c r="AB9" s="90">
        <f>'COLOMB$ '!AB9/'COLOMBIA USD'!$AI$4*1000</f>
        <v>243636.16129605303</v>
      </c>
      <c r="AC9" s="262">
        <f>'COLOMB$ '!AC9/'COLOMBIA USD'!$AI$3*1000</f>
        <v>164290.50674021171</v>
      </c>
      <c r="AD9" s="85">
        <f>+AA9-AC9</f>
        <v>23248.316789200035</v>
      </c>
      <c r="AE9" s="86">
        <f>IF(AA9=0,"",(AC9-AA9)/ABS(AA9)+1)</f>
        <v>0.87603464524478047</v>
      </c>
      <c r="AF9" s="86">
        <f t="shared" ref="AF9:AF22" si="10">IF(AB9=0,"",(AC9-AB9)/ABS(AB9))</f>
        <v>-0.32567273320081958</v>
      </c>
      <c r="AG9" s="236"/>
    </row>
    <row r="10" spans="1:37" ht="15.75" thickBot="1" x14ac:dyDescent="0.3">
      <c r="B10" s="219" t="s">
        <v>99</v>
      </c>
      <c r="C10" s="255" t="str">
        <f>+'COLOMB$ '!C10</f>
        <v>Fact. Service &amp; Equipment Experience</v>
      </c>
      <c r="D10" s="66">
        <f>+'COL. CONS.$'!D10/'COLOMBIA USD'!$AI$5*1000</f>
        <v>26624.411764705881</v>
      </c>
      <c r="E10" s="67">
        <f t="shared" si="0"/>
        <v>0.11023553967592896</v>
      </c>
      <c r="F10" s="66">
        <f>+'COL. CONS.$'!F10/'COLOMBIA USD'!$AI$4*1000</f>
        <v>10294.890829224176</v>
      </c>
      <c r="G10" s="67">
        <f t="shared" si="1"/>
        <v>5.4227775646879785E-2</v>
      </c>
      <c r="H10" s="66">
        <f>+'COL. CONS.$'!H10/'COLOMBIA USD'!$AI$3*1000</f>
        <v>24972.619710965817</v>
      </c>
      <c r="I10" s="68">
        <f t="shared" si="2"/>
        <v>0.11985984374116036</v>
      </c>
      <c r="J10" s="69">
        <f>IF(D10=0,"",(H10-D10)/ABS(D10)+1)</f>
        <v>0.93795949114903154</v>
      </c>
      <c r="K10" s="69">
        <f t="shared" si="7"/>
        <v>1.4257294346508147</v>
      </c>
      <c r="L10" s="66">
        <f>+'COL. CONS.$'!L10/'COLOMBIA USD'!$AI$5*1000</f>
        <v>123413.82352941176</v>
      </c>
      <c r="M10" s="67">
        <f t="shared" si="3"/>
        <v>0.10263656109659806</v>
      </c>
      <c r="N10" s="66">
        <f>+'COL. CONS.$'!N10/'COLOMBIA USD'!$AI$4*1000</f>
        <v>62820.277071983801</v>
      </c>
      <c r="O10" s="67">
        <f t="shared" si="4"/>
        <v>7.1552576029927248E-2</v>
      </c>
      <c r="P10" s="66">
        <f>+'COL. CONS.$'!P10/'COLOMBIA USD'!$AI$3*1000</f>
        <v>84765.42836256561</v>
      </c>
      <c r="Q10" s="67">
        <f t="shared" si="5"/>
        <v>8.3979064747291055E-2</v>
      </c>
      <c r="R10" s="69">
        <f>IF(L10=0,"",(P10-L10)/ABS(L10)+1)</f>
        <v>0.68683900991337865</v>
      </c>
      <c r="S10" s="69">
        <f>IF(N10=0,"",(P10-N10)/ABS(N10))</f>
        <v>0.3493322906779851</v>
      </c>
      <c r="T10" s="115"/>
      <c r="U10" s="264">
        <f>+H19/D19</f>
        <v>0.84059451992186907</v>
      </c>
      <c r="V10" s="265">
        <v>1208</v>
      </c>
      <c r="W10" s="81" t="s">
        <v>43</v>
      </c>
      <c r="X10" s="82">
        <f>'COLOMB$ '!X10/'COLOMBIA USD'!$AI$5*1000</f>
        <v>2456.7647058823527</v>
      </c>
      <c r="Y10" s="90">
        <f>'COLOMB$ '!Y10/'COLOMBIA USD'!$AI$4*1000</f>
        <v>1887.0287030856355</v>
      </c>
      <c r="Z10" s="91">
        <f>'COLOMB$ '!Z10/'COLOMBIA USD'!$AI$3*1000</f>
        <v>2599.2352402909764</v>
      </c>
      <c r="AA10" s="261">
        <f>'COLOMB$ '!AA10/'COLOMBIA USD'!$AI$5*1000</f>
        <v>12283.823529411764</v>
      </c>
      <c r="AB10" s="90">
        <f>'COLOMB$ '!AB10/'COLOMBIA USD'!$AI$4*1000</f>
        <v>9818.4602506405954</v>
      </c>
      <c r="AC10" s="262">
        <f>'COLOMB$ '!AC10/'COLOMBIA USD'!$AI$3*1000</f>
        <v>12110.767980288012</v>
      </c>
      <c r="AD10" s="85">
        <f>+AA10-AC10</f>
        <v>173.05554912375192</v>
      </c>
      <c r="AE10" s="86">
        <f t="shared" ref="AE10:AE21" si="11">IF(AA10=0,"",(AC10-AA10)/ABS(AA10)+1)</f>
        <v>0.9859119150719321</v>
      </c>
      <c r="AF10" s="86">
        <f t="shared" si="10"/>
        <v>0.23346916635914042</v>
      </c>
      <c r="AG10" s="236"/>
    </row>
    <row r="11" spans="1:37" x14ac:dyDescent="0.25">
      <c r="B11" s="11">
        <v>4170250500</v>
      </c>
      <c r="C11" s="255" t="str">
        <f>+'COLOMB$ '!C11</f>
        <v>POP Satelital</v>
      </c>
      <c r="D11" s="66">
        <f>+'COL. CONS.$'!D11/'COLOMBIA USD'!$AI$5*1000</f>
        <v>0</v>
      </c>
      <c r="E11" s="67">
        <f t="shared" si="0"/>
        <v>0</v>
      </c>
      <c r="F11" s="66">
        <f>+'COL. CONS.$'!F11/'COLOMBIA USD'!$AI$4*1000</f>
        <v>0</v>
      </c>
      <c r="G11" s="67">
        <f t="shared" si="1"/>
        <v>0</v>
      </c>
      <c r="H11" s="66">
        <f>+'COL. CONS.$'!H11/'COLOMBIA USD'!$AI$3*1000</f>
        <v>0</v>
      </c>
      <c r="I11" s="68">
        <f t="shared" si="2"/>
        <v>0</v>
      </c>
      <c r="J11" s="69" t="str">
        <f>IF(D11=0,"",(H11-D11)/ABS(D11)+1)</f>
        <v/>
      </c>
      <c r="K11" s="69" t="str">
        <f t="shared" si="7"/>
        <v/>
      </c>
      <c r="L11" s="66">
        <f>+'COL. CONS.$'!L11/'COLOMBIA USD'!$AI$5*1000</f>
        <v>0</v>
      </c>
      <c r="M11" s="67">
        <f t="shared" si="3"/>
        <v>0</v>
      </c>
      <c r="N11" s="66">
        <f>+'COL. CONS.$'!N11/'COLOMBIA USD'!$AI$4*1000</f>
        <v>0</v>
      </c>
      <c r="O11" s="67">
        <f t="shared" si="4"/>
        <v>0</v>
      </c>
      <c r="P11" s="66">
        <f>+'COL. CONS.$'!P11/'COLOMBIA USD'!$AI$3*1000</f>
        <v>0</v>
      </c>
      <c r="Q11" s="67">
        <f t="shared" si="5"/>
        <v>0</v>
      </c>
      <c r="R11" s="69" t="str">
        <f>IF(L11=0,"",(P11-L11)/ABS(L11)+1)</f>
        <v/>
      </c>
      <c r="S11" s="69" t="str">
        <f>IF(N11=0,"",(P11-N11)/ABS(N11))</f>
        <v/>
      </c>
      <c r="T11" s="115"/>
      <c r="U11" s="86">
        <f>+H20/D20</f>
        <v>0.77661977662827597</v>
      </c>
      <c r="V11" s="260" t="s">
        <v>119</v>
      </c>
      <c r="W11" s="81" t="s">
        <v>45</v>
      </c>
      <c r="X11" s="82">
        <f>'COLOMB$ '!X11/'COLOMBIA USD'!$AI$5*1000</f>
        <v>105156.4705882353</v>
      </c>
      <c r="Y11" s="90">
        <f>'COLOMB$ '!Y11/'COLOMBIA USD'!$AI$4*1000</f>
        <v>80488.628044185098</v>
      </c>
      <c r="Z11" s="91">
        <f>'COLOMB$ '!Z11/'COLOMBIA USD'!$AI$3*1000</f>
        <v>88918.241001548944</v>
      </c>
      <c r="AA11" s="261">
        <f>'COLOMB$ '!AA11/'COLOMBIA USD'!$AI$5*1000</f>
        <v>575910.5882352941</v>
      </c>
      <c r="AB11" s="90">
        <f>'COLOMB$ '!AB11/'COLOMBIA USD'!$AI$4*1000</f>
        <v>436283.94871988113</v>
      </c>
      <c r="AC11" s="262">
        <f>'COLOMB$ '!AC11/'COLOMBIA USD'!$AI$3*1000</f>
        <v>498762.04682619608</v>
      </c>
      <c r="AD11" s="85">
        <f>+AA11-AC11</f>
        <v>77148.541409098019</v>
      </c>
      <c r="AE11" s="86">
        <f t="shared" si="11"/>
        <v>0.86604076572806787</v>
      </c>
      <c r="AF11" s="86">
        <f t="shared" si="10"/>
        <v>0.14320512659160287</v>
      </c>
      <c r="AG11" s="236"/>
      <c r="AH11" s="149"/>
    </row>
    <row r="12" spans="1:37" x14ac:dyDescent="0.25">
      <c r="B12" s="11"/>
      <c r="C12" s="255" t="str">
        <f>+'COLOMB$ '!C12</f>
        <v xml:space="preserve"> Fact.Voice Experience (Audicóm)</v>
      </c>
      <c r="D12" s="66">
        <f>+'COL. CONS.$'!D12/'COLOMBIA USD'!$AI$5*1000</f>
        <v>36428.23529411765</v>
      </c>
      <c r="E12" s="67">
        <f t="shared" si="0"/>
        <v>0.150827226253017</v>
      </c>
      <c r="F12" s="66">
        <f>+'COL. CONS.$'!F12/'COLOMBIA USD'!$AI$4*1000</f>
        <v>31744.912361921575</v>
      </c>
      <c r="G12" s="67">
        <f t="shared" si="1"/>
        <v>0.16721459353463325</v>
      </c>
      <c r="H12" s="66">
        <f>+'COL. CONS.$'!H12/'COLOMBIA USD'!$AI$3*1000</f>
        <v>30843.967548832668</v>
      </c>
      <c r="I12" s="68">
        <f t="shared" si="2"/>
        <v>0.14804026063541592</v>
      </c>
      <c r="J12" s="69">
        <f t="shared" si="6"/>
        <v>0.84670496113253346</v>
      </c>
      <c r="K12" s="69">
        <f t="shared" si="7"/>
        <v>-2.8380762334993922E-2</v>
      </c>
      <c r="L12" s="66">
        <f>+'COL. CONS.$'!L12/'COLOMBIA USD'!$AI$5*1000</f>
        <v>182313.82352941178</v>
      </c>
      <c r="M12" s="67">
        <f t="shared" si="3"/>
        <v>0.15162048587670118</v>
      </c>
      <c r="N12" s="66">
        <f>+'COL. CONS.$'!N12/'COLOMBIA USD'!$AI$4*1000</f>
        <v>156749.84738700715</v>
      </c>
      <c r="O12" s="67">
        <f t="shared" si="4"/>
        <v>0.17853877594309911</v>
      </c>
      <c r="P12" s="66">
        <f>+'COL. CONS.$'!P12/'COLOMBIA USD'!$AI$3*1000</f>
        <v>155638.15312575083</v>
      </c>
      <c r="Q12" s="67">
        <f t="shared" si="5"/>
        <v>0.15419430764380349</v>
      </c>
      <c r="R12" s="69">
        <f t="shared" si="8"/>
        <v>0.85368267810280718</v>
      </c>
      <c r="S12" s="69">
        <f t="shared" si="9"/>
        <v>-7.0921553021458424E-3</v>
      </c>
      <c r="T12" s="115"/>
      <c r="U12" s="263"/>
      <c r="V12" s="260"/>
      <c r="W12" s="81" t="s">
        <v>48</v>
      </c>
      <c r="X12" s="82">
        <f>'COLOMB$ '!X12/'COLOMBIA USD'!$AI$5*1000</f>
        <v>73445.882352941189</v>
      </c>
      <c r="Y12" s="90">
        <f>'COLOMB$ '!Y12/'COLOMBIA USD'!$AI$4*1000</f>
        <v>46412.604896535384</v>
      </c>
      <c r="Z12" s="266">
        <f>'COLOMB$ '!Z12/'COLOMBIA USD'!$AI$3*1000</f>
        <v>52945.674481256741</v>
      </c>
      <c r="AA12" s="267">
        <f>'COLOMB$ '!AA12/'COLOMBIA USD'!$AI$5*1000</f>
        <v>376639.1176470588</v>
      </c>
      <c r="AB12" s="90">
        <f>'COLOMB$ '!AB12/'COLOMBIA USD'!$AI$4*1000</f>
        <v>215398.66055586658</v>
      </c>
      <c r="AC12" s="268">
        <f>'COLOMB$ '!AC12/'COLOMBIA USD'!$AI$3*1000</f>
        <v>325021.02137339802</v>
      </c>
      <c r="AD12" s="85">
        <f>+AA12-AC12</f>
        <v>51618.096273660776</v>
      </c>
      <c r="AE12" s="86">
        <f t="shared" si="11"/>
        <v>0.86295078271176529</v>
      </c>
      <c r="AF12" s="86">
        <f t="shared" si="10"/>
        <v>0.50892777389903676</v>
      </c>
      <c r="AG12" s="236"/>
    </row>
    <row r="13" spans="1:37" ht="15.75" thickBot="1" x14ac:dyDescent="0.3">
      <c r="B13" s="11"/>
      <c r="C13" s="255" t="str">
        <f>+'COLOMB$ '!C13</f>
        <v>Fact. Servicio Satelital</v>
      </c>
      <c r="D13" s="66">
        <f>+'COL. CONS.$'!D13/'COLOMBIA USD'!$AI$3*1000</f>
        <v>0</v>
      </c>
      <c r="E13" s="67"/>
      <c r="F13" s="66">
        <f>+'COL. CONS.$'!F13/'COLOMBIA USD'!$AI$4*1000</f>
        <v>0</v>
      </c>
      <c r="G13" s="67">
        <f t="shared" si="1"/>
        <v>0</v>
      </c>
      <c r="H13" s="66">
        <f>+'COL. CONS.$'!H13/'COLOMBIA USD'!$AI$3*1000</f>
        <v>0</v>
      </c>
      <c r="I13" s="68">
        <f t="shared" si="2"/>
        <v>0</v>
      </c>
      <c r="J13" s="69" t="str">
        <f t="shared" si="6"/>
        <v/>
      </c>
      <c r="K13" s="69" t="str">
        <f t="shared" si="7"/>
        <v/>
      </c>
      <c r="L13" s="66">
        <f>+'COL. CONS.$'!L13/'COLOMBIA USD'!$AI$3*1000</f>
        <v>0</v>
      </c>
      <c r="M13" s="67">
        <f t="shared" si="3"/>
        <v>0</v>
      </c>
      <c r="N13" s="66">
        <f>+'COL. CONS.$'!N13/'COLOMBIA USD'!$AI$4*1000</f>
        <v>0</v>
      </c>
      <c r="O13" s="67">
        <f t="shared" si="4"/>
        <v>0</v>
      </c>
      <c r="P13" s="66">
        <f>+'COL. CONS.$'!P13/'COLOMBIA USD'!$AI$3*1000</f>
        <v>0</v>
      </c>
      <c r="Q13" s="67">
        <f t="shared" si="5"/>
        <v>0</v>
      </c>
      <c r="R13" s="69" t="str">
        <f>IF(L13=0,"",(P13-L13)/ABS(L13)+1)</f>
        <v/>
      </c>
      <c r="S13" s="69" t="str">
        <f>IF(N13=0,"",(P13-N13)/ABS(N13))</f>
        <v/>
      </c>
      <c r="T13" s="115"/>
      <c r="U13" s="102"/>
      <c r="V13" s="265"/>
      <c r="W13" s="81" t="s">
        <v>50</v>
      </c>
      <c r="X13" s="90">
        <f>'COLOMB$ '!X13/'COLOMBIA USD'!$AI$5*1000</f>
        <v>216932.35294117648</v>
      </c>
      <c r="Y13" s="90">
        <f>'COLOMB$ '!Y13/'COLOMBIA USD'!$AI$4*1000</f>
        <v>213143.00900874226</v>
      </c>
      <c r="Z13" s="91">
        <f>'COLOMB$ '!Z13/'COLOMBIA USD'!$AI$3*1000</f>
        <v>177431.45866923631</v>
      </c>
      <c r="AA13" s="261">
        <f>'COLOMB$ '!AA13/'COLOMBIA USD'!$AI$5*1000</f>
        <v>1152372.3529411764</v>
      </c>
      <c r="AB13" s="90">
        <f>'COLOMB$ '!AB13/'COLOMBIA USD'!$AI$4*1000</f>
        <v>905137.23082244128</v>
      </c>
      <c r="AC13" s="262">
        <f>'COLOMB$ '!AC13/'COLOMBIA USD'!$AI$3*1000</f>
        <v>1000184.3429200938</v>
      </c>
      <c r="AD13" s="85">
        <f>+AC13-AA13</f>
        <v>-152188.01002108259</v>
      </c>
      <c r="AE13" s="86">
        <f t="shared" si="11"/>
        <v>0.86793503885037138</v>
      </c>
      <c r="AF13" s="86">
        <f t="shared" si="10"/>
        <v>0.10500851015849738</v>
      </c>
      <c r="AG13" s="236"/>
    </row>
    <row r="14" spans="1:37" ht="15.75" thickBot="1" x14ac:dyDescent="0.3">
      <c r="C14" s="255" t="str">
        <f>+'COLOMB$ '!C14</f>
        <v>Fact. Visual Experience</v>
      </c>
      <c r="D14" s="66">
        <f>+'COL. CONS.$'!D14/'COLOMBIA USD'!$AI$5*1000</f>
        <v>5200.5882352941171</v>
      </c>
      <c r="E14" s="67"/>
      <c r="F14" s="66">
        <f>+'COL. CONS.$'!F14/'COLOMBIA USD'!$AI$4*1000</f>
        <v>4502.8563123102431</v>
      </c>
      <c r="G14" s="67">
        <f t="shared" si="1"/>
        <v>2.3718549902534299E-2</v>
      </c>
      <c r="H14" s="66">
        <f>+'COL. CONS.$'!H14/'COLOMBIA USD'!$AI$3*1000</f>
        <v>7990.704795595474</v>
      </c>
      <c r="I14" s="68">
        <f t="shared" si="2"/>
        <v>3.8352589326511338E-2</v>
      </c>
      <c r="J14" s="69">
        <f t="shared" si="6"/>
        <v>1.5365001869146373</v>
      </c>
      <c r="K14" s="69">
        <f t="shared" si="7"/>
        <v>0.77458578319496707</v>
      </c>
      <c r="L14" s="66">
        <f>+'COL. CONS.$'!L14/'COLOMBIA USD'!$AI$5*1000</f>
        <v>22455.294117647059</v>
      </c>
      <c r="M14" s="67">
        <f t="shared" si="3"/>
        <v>1.8674846145567327E-2</v>
      </c>
      <c r="N14" s="66">
        <f>+'COL. CONS.$'!N14/'COLOMBIA USD'!$AI$4*1000</f>
        <v>20566.550300381128</v>
      </c>
      <c r="O14" s="67">
        <f t="shared" si="4"/>
        <v>2.3425392606197755E-2</v>
      </c>
      <c r="P14" s="66">
        <f>+'COL. CONS.$'!P14/'COLOMBIA USD'!$AI$3*1000</f>
        <v>21075.584688447321</v>
      </c>
      <c r="Q14" s="67">
        <f t="shared" si="5"/>
        <v>2.0880067798014764E-2</v>
      </c>
      <c r="R14" s="69">
        <f>IF(L14=0,"",(P14-L14)/ABS(L14)+1)</f>
        <v>0.93855749909258779</v>
      </c>
      <c r="S14" s="69">
        <f>IF(N14=0,"",(P14-N14)/ABS(N14))</f>
        <v>2.4750596508971167E-2</v>
      </c>
      <c r="W14" s="73" t="s">
        <v>52</v>
      </c>
      <c r="X14" s="75">
        <f>+X8-X13</f>
        <v>89836.470588235272</v>
      </c>
      <c r="Y14" s="75">
        <f>+Y8-Y13</f>
        <v>76619.250387588487</v>
      </c>
      <c r="Z14" s="75">
        <f>+Z8-Z13</f>
        <v>73324.536006584327</v>
      </c>
      <c r="AA14" s="258">
        <f t="shared" ref="AA14:AC14" si="12">+AA8-AA13</f>
        <v>266463.52941176482</v>
      </c>
      <c r="AB14" s="75">
        <f>+AB8-AB13</f>
        <v>342030.70039943152</v>
      </c>
      <c r="AC14" s="269">
        <f t="shared" si="12"/>
        <v>248200.48192130541</v>
      </c>
      <c r="AD14" s="76">
        <f>+AC14-AA14</f>
        <v>-18263.047490459401</v>
      </c>
      <c r="AE14" s="77">
        <f t="shared" si="11"/>
        <v>0.93146136159505111</v>
      </c>
      <c r="AF14" s="77">
        <f t="shared" si="10"/>
        <v>-0.27433273787571982</v>
      </c>
      <c r="AG14" s="236"/>
    </row>
    <row r="15" spans="1:37" x14ac:dyDescent="0.25">
      <c r="C15" s="255" t="str">
        <f>+'COL. CONS.$'!C15</f>
        <v>Fac.   Olfa Experience</v>
      </c>
      <c r="D15" s="66">
        <f>+'COL. CONS.$'!D15/'COLOMBIA USD'!$AI$5*1000</f>
        <v>32930.882352941175</v>
      </c>
      <c r="E15" s="67"/>
      <c r="F15" s="66">
        <f>+'COL. CONS.$'!F15/'COLOMBIA USD'!$AI$4*1000</f>
        <v>25334.080338494005</v>
      </c>
      <c r="G15" s="67">
        <f t="shared" si="1"/>
        <v>0.13344588569273946</v>
      </c>
      <c r="H15" s="66">
        <f>+'COL. CONS.$'!H15/'COLOMBIA USD'!$AI$3*1000</f>
        <v>24541.197339699516</v>
      </c>
      <c r="I15" s="68">
        <f t="shared" si="2"/>
        <v>0.11778916719200709</v>
      </c>
      <c r="J15" s="69">
        <f t="shared" si="6"/>
        <v>0.74523351900128043</v>
      </c>
      <c r="K15" s="69">
        <f t="shared" si="7"/>
        <v>-3.1297090251574594E-2</v>
      </c>
      <c r="L15" s="66">
        <f>+'COL. CONS.$'!L15/'COLOMBIA USD'!$AI$5*1000</f>
        <v>157565.29411764705</v>
      </c>
      <c r="M15" s="67">
        <f t="shared" si="3"/>
        <v>0.13103848073028262</v>
      </c>
      <c r="N15" s="66">
        <f>+'COL. CONS.$'!N15/'COLOMBIA USD'!$AI$4*1000</f>
        <v>104214.63604358217</v>
      </c>
      <c r="O15" s="67">
        <f t="shared" si="4"/>
        <v>0.11870093569302576</v>
      </c>
      <c r="P15" s="66">
        <f>+'COL. CONS.$'!P15/'COLOMBIA USD'!$AI$3*1000</f>
        <v>128847.4966388402</v>
      </c>
      <c r="Q15" s="67">
        <f t="shared" si="5"/>
        <v>0.12765218641351322</v>
      </c>
      <c r="R15" s="69">
        <f>IF(L15=0,"",(P15-L15)/ABS(L15)+1)</f>
        <v>0.8177403365403263</v>
      </c>
      <c r="S15" s="69">
        <f>IF(N15=0,"",(P15-N15)/ABS(N15))</f>
        <v>0.23636661346642956</v>
      </c>
      <c r="W15" s="89"/>
      <c r="X15" s="97"/>
      <c r="Y15" s="101"/>
      <c r="Z15" s="270"/>
      <c r="AA15" s="271"/>
      <c r="AB15" s="101"/>
      <c r="AC15" s="272"/>
      <c r="AD15" s="103"/>
      <c r="AE15" s="102"/>
      <c r="AF15" s="102"/>
      <c r="AG15" s="236"/>
    </row>
    <row r="16" spans="1:37" ht="15.75" thickBot="1" x14ac:dyDescent="0.3">
      <c r="C16" s="255" t="str">
        <f>+'COLOMB$ '!C16</f>
        <v>Facturacion Locutor virtual</v>
      </c>
      <c r="D16" s="66"/>
      <c r="E16" s="67"/>
      <c r="F16" s="66">
        <f>+'COL. CONS.$'!F16/'COLOMBIA USD'!$AI$4*1000</f>
        <v>9053.1496953123296</v>
      </c>
      <c r="G16" s="67"/>
      <c r="H16" s="66"/>
      <c r="I16" s="68"/>
      <c r="J16" s="69"/>
      <c r="K16" s="69"/>
      <c r="L16" s="66"/>
      <c r="M16" s="67"/>
      <c r="N16" s="66"/>
      <c r="O16" s="68"/>
      <c r="P16" s="66"/>
      <c r="Q16" s="68"/>
      <c r="R16" s="69"/>
      <c r="S16" s="67"/>
      <c r="W16" s="89"/>
      <c r="X16" s="97"/>
      <c r="Y16" s="101"/>
      <c r="Z16" s="270"/>
      <c r="AA16" s="271"/>
      <c r="AB16" s="101"/>
      <c r="AC16" s="272"/>
      <c r="AD16" s="103"/>
      <c r="AE16" s="102"/>
      <c r="AF16" s="102" t="str">
        <f t="shared" si="10"/>
        <v/>
      </c>
      <c r="AG16" s="236"/>
    </row>
    <row r="17" spans="1:35" x14ac:dyDescent="0.25">
      <c r="B17" s="11"/>
      <c r="C17" s="104" t="s">
        <v>57</v>
      </c>
      <c r="D17" s="105">
        <f>SUM(D7:D16)</f>
        <v>241522.9411764706</v>
      </c>
      <c r="E17" s="106">
        <f t="shared" ref="E17:E34" si="13">+D17/$D$17</f>
        <v>1</v>
      </c>
      <c r="F17" s="105">
        <f>+'COL. CONS.$'!F17/'COLOMBIA USD'!$AI$4*1000</f>
        <v>189845.34597661547</v>
      </c>
      <c r="G17" s="106">
        <f t="shared" ref="G17:G34" si="14">+F17/$F$17</f>
        <v>1</v>
      </c>
      <c r="H17" s="105">
        <f>SUM(H7:H16)</f>
        <v>208348.508820808</v>
      </c>
      <c r="I17" s="107">
        <f t="shared" ref="I17:I34" si="15">+H17/$H$17</f>
        <v>1</v>
      </c>
      <c r="J17" s="108">
        <f t="shared" si="6"/>
        <v>0.86264479807148653</v>
      </c>
      <c r="K17" s="108">
        <f t="shared" si="7"/>
        <v>9.7464400557239289E-2</v>
      </c>
      <c r="L17" s="105">
        <f>SUM(L7:L16)</f>
        <v>1202435.2941176472</v>
      </c>
      <c r="M17" s="106">
        <f t="shared" ref="M17:M34" si="16">+L17/$L$17</f>
        <v>1</v>
      </c>
      <c r="N17" s="105">
        <f>SUM(N7:N14)</f>
        <v>877959.68443831964</v>
      </c>
      <c r="O17" s="273">
        <f t="shared" ref="O17:O34" si="17">+N17/$N$17</f>
        <v>1</v>
      </c>
      <c r="P17" s="105">
        <f>SUM(P7:P16)</f>
        <v>1009363.8053441162</v>
      </c>
      <c r="Q17" s="107">
        <f t="shared" ref="Q17:Q34" si="18">+P17/$P$17</f>
        <v>1</v>
      </c>
      <c r="R17" s="108">
        <f t="shared" si="8"/>
        <v>0.83943294935033674</v>
      </c>
      <c r="S17" s="109">
        <f t="shared" si="9"/>
        <v>0.14966988033153614</v>
      </c>
      <c r="T17" s="115"/>
      <c r="U17" s="86">
        <f t="shared" ref="U17:U30" si="19">+H21/D21</f>
        <v>0.86444844200556181</v>
      </c>
      <c r="V17" s="260" t="s">
        <v>120</v>
      </c>
      <c r="W17" s="81" t="s">
        <v>58</v>
      </c>
      <c r="X17" s="82">
        <f>+'COL. CONS.$'!X17/'COLOMBIA USD'!AI5*1000</f>
        <v>123472.78945395861</v>
      </c>
      <c r="Y17" s="90">
        <f>'COLOMB$ '!Y17/'COLOMBIA USD'!$AI$4*1000</f>
        <v>282836.57063801377</v>
      </c>
      <c r="Z17" s="82">
        <f>+Z7+Z14</f>
        <v>119833.85750982791</v>
      </c>
      <c r="AA17" s="261">
        <f>'COLOMB$ '!AA17/'COLOMBIA USD'!$AI$5*1000</f>
        <v>408931.76470588235</v>
      </c>
      <c r="AB17" s="82">
        <f>'COLOMB$ '!AB17/'COLOMBIA USD'!$AI$4*1000</f>
        <v>500975.65205852583</v>
      </c>
      <c r="AC17" s="274">
        <f>+'COL. CONS.$'!AC17/'COLOMBIA USD'!AI3*1000</f>
        <v>372011.80711287871</v>
      </c>
      <c r="AD17" s="85">
        <f>+AC17-AA17</f>
        <v>-36919.957593003637</v>
      </c>
      <c r="AE17" s="86">
        <f t="shared" si="11"/>
        <v>0.90971609256239183</v>
      </c>
      <c r="AF17" s="86">
        <f t="shared" si="10"/>
        <v>-0.25742537469781285</v>
      </c>
      <c r="AG17" s="236"/>
    </row>
    <row r="18" spans="1:35" x14ac:dyDescent="0.25">
      <c r="B18" s="11" t="s">
        <v>100</v>
      </c>
      <c r="C18" s="112" t="s">
        <v>59</v>
      </c>
      <c r="D18" s="114">
        <f>+'COL. CONS.$'!D18/'COLOMBIA USD'!$AI$5*1000</f>
        <v>21794.705882352941</v>
      </c>
      <c r="E18" s="113">
        <f t="shared" si="13"/>
        <v>9.0238657148632814E-2</v>
      </c>
      <c r="F18" s="114">
        <f>+'COL. CONS.$'!F18/'COLOMBIA USD'!$AI$4*1000</f>
        <v>8404.0565367886138</v>
      </c>
      <c r="G18" s="113">
        <f t="shared" si="14"/>
        <v>4.4267909195012861E-2</v>
      </c>
      <c r="H18" s="114">
        <f>+'COL. CONS.$'!H18/'COLOMBIA USD'!$AI$3*1000</f>
        <v>23646.15836046969</v>
      </c>
      <c r="I18" s="115">
        <f t="shared" si="15"/>
        <v>0.11349329301323093</v>
      </c>
      <c r="J18" s="116">
        <f t="shared" si="6"/>
        <v>1.0849496427302494</v>
      </c>
      <c r="K18" s="116">
        <f t="shared" si="7"/>
        <v>1.8136600767687647</v>
      </c>
      <c r="L18" s="117">
        <f>+'COL. CONS.$'!L18/'COLOMBIA USD'!$AI$5*1000</f>
        <v>99226.176470588223</v>
      </c>
      <c r="M18" s="113">
        <f t="shared" si="16"/>
        <v>8.2521011281027692E-2</v>
      </c>
      <c r="N18" s="117">
        <f>+'COL. CONS.$'!N18/'COLOMBIA USD'!$AI$4*1000</f>
        <v>51635.466971533766</v>
      </c>
      <c r="O18" s="113">
        <f t="shared" si="17"/>
        <v>5.8813027393812382E-2</v>
      </c>
      <c r="P18" s="114">
        <f>+'COL. CONS.$'!P18/'COLOMBIA USD'!$AI$3*1000</f>
        <v>84119.608934806267</v>
      </c>
      <c r="Q18" s="115">
        <f t="shared" si="18"/>
        <v>8.333923654625984E-2</v>
      </c>
      <c r="R18" s="116">
        <f t="shared" si="8"/>
        <v>0.84775622650077909</v>
      </c>
      <c r="S18" s="118">
        <f t="shared" si="9"/>
        <v>0.62910522298908922</v>
      </c>
      <c r="T18" s="115"/>
      <c r="U18" s="263">
        <f t="shared" si="19"/>
        <v>0.82608505834289336</v>
      </c>
      <c r="V18" s="260"/>
      <c r="W18" s="81" t="s">
        <v>60</v>
      </c>
      <c r="X18" s="82">
        <f>'COLOMB$ '!X18/'COLOMBIA USD'!$AI$5*1000</f>
        <v>0</v>
      </c>
      <c r="Y18" s="90">
        <f>'COLOMB$ '!Y18/'COLOMBIA USD'!$AI$4*1000</f>
        <v>58723.793361469383</v>
      </c>
      <c r="Z18" s="91">
        <f>'COLOMB$ '!Z18/'COLOMBIA USD'!$AI$3*1000</f>
        <v>450.49765613418054</v>
      </c>
      <c r="AA18" s="261">
        <f>'COLOMB$ '!AA18/'COLOMBIA USD'!$AI$5*1000</f>
        <v>129594.41176470589</v>
      </c>
      <c r="AB18" s="82">
        <f>'COLOMB$ '!AB18/'COLOMBIA USD'!$AI$4*1000</f>
        <v>58794.297334252056</v>
      </c>
      <c r="AC18" s="262">
        <f>'COLOMB$ '!AC18/'COLOMBIA USD'!$AI$3*1000</f>
        <v>122902.6155702214</v>
      </c>
      <c r="AD18" s="85">
        <f t="shared" ref="AD18:AD22" si="20">+AC18-AA18</f>
        <v>-6691.7961944844865</v>
      </c>
      <c r="AE18" s="86">
        <f t="shared" si="11"/>
        <v>0.94836354358678487</v>
      </c>
      <c r="AF18" s="86">
        <f t="shared" si="10"/>
        <v>1.0903832708724537</v>
      </c>
      <c r="AG18" s="236"/>
      <c r="AH18" s="149"/>
    </row>
    <row r="19" spans="1:35" ht="15.75" thickBot="1" x14ac:dyDescent="0.3">
      <c r="B19" s="11"/>
      <c r="C19" s="119" t="s">
        <v>61</v>
      </c>
      <c r="D19" s="120">
        <f>D17-D18</f>
        <v>219728.23529411765</v>
      </c>
      <c r="E19" s="121">
        <f t="shared" si="13"/>
        <v>0.90976134285136712</v>
      </c>
      <c r="F19" s="120">
        <f>+'COL. CONS.$'!F19/'COLOMBIA USD'!$AI$4*1000</f>
        <v>181441.28943982688</v>
      </c>
      <c r="G19" s="121">
        <f t="shared" si="14"/>
        <v>0.95573209080498733</v>
      </c>
      <c r="H19" s="120">
        <f>H17-H18</f>
        <v>184702.35046033832</v>
      </c>
      <c r="I19" s="122">
        <f t="shared" si="15"/>
        <v>0.88650670698676914</v>
      </c>
      <c r="J19" s="123">
        <f t="shared" si="6"/>
        <v>0.84059451992186907</v>
      </c>
      <c r="K19" s="123">
        <f t="shared" si="7"/>
        <v>1.7973092180834243E-2</v>
      </c>
      <c r="L19" s="120">
        <f>L17-L18</f>
        <v>1103209.117647059</v>
      </c>
      <c r="M19" s="121">
        <f t="shared" si="16"/>
        <v>0.91747898871897238</v>
      </c>
      <c r="N19" s="120">
        <f>N17-N18</f>
        <v>826324.21746678592</v>
      </c>
      <c r="O19" s="275">
        <f t="shared" si="17"/>
        <v>0.94118697260618767</v>
      </c>
      <c r="P19" s="120">
        <f>P17-P18</f>
        <v>925244.19640930986</v>
      </c>
      <c r="Q19" s="122">
        <f t="shared" si="18"/>
        <v>0.91666076345374015</v>
      </c>
      <c r="R19" s="124">
        <f t="shared" si="8"/>
        <v>0.83868432703192719</v>
      </c>
      <c r="S19" s="125">
        <f t="shared" si="9"/>
        <v>0.11971085543853134</v>
      </c>
      <c r="T19" s="115"/>
      <c r="U19" s="86">
        <f t="shared" si="19"/>
        <v>0.85485840059041229</v>
      </c>
      <c r="V19" s="276"/>
      <c r="W19" s="81" t="s">
        <v>62</v>
      </c>
      <c r="X19" s="82">
        <f>'COLOMB$ '!X19/'COLOMBIA USD'!$AI$5*1000</f>
        <v>91377.647058823524</v>
      </c>
      <c r="Y19" s="90">
        <f>'COLOMB$ '!Y19/'COLOMBIA USD'!$AI$4*1000</f>
        <v>67495.057667255227</v>
      </c>
      <c r="Z19" s="91">
        <f>'COLOMB$ '!Z19/'COLOMBIA USD'!$AI$3*1000</f>
        <v>75618.527057975516</v>
      </c>
      <c r="AA19" s="261">
        <f>'COLOMB$ '!AA19/'COLOMBIA USD'!$AI$5*1000</f>
        <v>270567.9411764706</v>
      </c>
      <c r="AB19" s="82">
        <f>'COLOMB$ '!AB19/'COLOMBIA USD'!$AI$4*1000</f>
        <v>226578.32253827434</v>
      </c>
      <c r="AC19" s="262">
        <f>'COLOMB$ '!AC19/'COLOMBIA USD'!$AI$3*1000</f>
        <v>242015.44366287184</v>
      </c>
      <c r="AD19" s="85">
        <f t="shared" si="20"/>
        <v>-28552.497513598762</v>
      </c>
      <c r="AE19" s="86">
        <f t="shared" si="11"/>
        <v>0.89447198589216392</v>
      </c>
      <c r="AF19" s="86">
        <f t="shared" si="10"/>
        <v>6.8131500629279362E-2</v>
      </c>
      <c r="AG19" s="236"/>
      <c r="AH19" s="149"/>
    </row>
    <row r="20" spans="1:35" x14ac:dyDescent="0.25">
      <c r="B20" s="11" t="s">
        <v>101</v>
      </c>
      <c r="C20" s="81" t="s">
        <v>63</v>
      </c>
      <c r="D20" s="83">
        <f>+'COL. CONS.$'!D20/'COLOMBIA USD'!$AI$5*1000</f>
        <v>63409.705882352937</v>
      </c>
      <c r="E20" s="126">
        <f t="shared" si="13"/>
        <v>0.26254112993772361</v>
      </c>
      <c r="F20" s="83">
        <f>+'COL. CONS.$'!F20/'COLOMBIA USD'!$AI$4*1000</f>
        <v>40710.528339721364</v>
      </c>
      <c r="G20" s="126">
        <f t="shared" si="14"/>
        <v>0.21444048644066288</v>
      </c>
      <c r="H20" s="83">
        <f>+'COL. CONS.$'!H20/'COLOMBIA USD'!$AI$3*1000</f>
        <v>49245.231618417616</v>
      </c>
      <c r="I20" s="127">
        <f t="shared" si="15"/>
        <v>0.23635989476061678</v>
      </c>
      <c r="J20" s="128">
        <f t="shared" si="6"/>
        <v>0.77661977662827597</v>
      </c>
      <c r="K20" s="128">
        <f t="shared" si="7"/>
        <v>0.20964363831085239</v>
      </c>
      <c r="L20" s="83">
        <f>+'COL. CONS.$'!L20/'COLOMBIA USD'!$AI$5*1000</f>
        <v>280094.4117647059</v>
      </c>
      <c r="M20" s="126">
        <f t="shared" si="16"/>
        <v>0.23293928008844794</v>
      </c>
      <c r="N20" s="83">
        <f>+'COL. CONS.$'!N20/'COLOMBIA USD'!$AI$4*1000</f>
        <v>205821.26792866216</v>
      </c>
      <c r="O20" s="126">
        <f t="shared" si="17"/>
        <v>0.23443134300675508</v>
      </c>
      <c r="P20" s="83">
        <f>+'COL. CONS.$'!P20/'COLOMBIA USD'!$AI$3*1000</f>
        <v>246678.07487334945</v>
      </c>
      <c r="Q20" s="127">
        <f t="shared" si="18"/>
        <v>0.24438965769061932</v>
      </c>
      <c r="R20" s="128">
        <f t="shared" si="8"/>
        <v>0.88069616712157783</v>
      </c>
      <c r="S20" s="128">
        <f t="shared" si="9"/>
        <v>0.19850624454829568</v>
      </c>
      <c r="T20" s="277"/>
      <c r="U20" s="86">
        <f t="shared" si="19"/>
        <v>0.83750271526603437</v>
      </c>
      <c r="V20" s="276"/>
      <c r="W20" s="81" t="s">
        <v>64</v>
      </c>
      <c r="X20" s="82">
        <f>'COLOMB$ '!X20/'COLOMBIA USD'!$AI$5*1000</f>
        <v>1547.0588235294117</v>
      </c>
      <c r="Y20" s="90">
        <f>'COLOMB$ '!Y20/'COLOMBIA USD'!$AI$4*1000</f>
        <v>-97649.619678732153</v>
      </c>
      <c r="Z20" s="266">
        <f>'COLOMB$ '!Z20/'COLOMBIA USD'!$AI$3*1000</f>
        <v>14690.975362570736</v>
      </c>
      <c r="AA20" s="267">
        <f>'COLOMB$ '!AA20/'COLOMBIA USD'!$AI$5*1000</f>
        <v>-44572.647058823524</v>
      </c>
      <c r="AB20" s="82">
        <f>'COLOMB$ '!AB20/'COLOMBIA USD'!$AI$4*1000</f>
        <v>-38664.429426584269</v>
      </c>
      <c r="AC20" s="268">
        <f>'COLOMB$ '!AC20/'COLOMBIA USD'!$AI$3*1000</f>
        <v>-37231.834319103145</v>
      </c>
      <c r="AD20" s="85">
        <f t="shared" si="20"/>
        <v>7340.8127397203789</v>
      </c>
      <c r="AE20" s="86">
        <f t="shared" si="11"/>
        <v>1.1646932193646149</v>
      </c>
      <c r="AF20" s="86">
        <f t="shared" si="10"/>
        <v>3.7052017286361996E-2</v>
      </c>
      <c r="AG20" s="236"/>
      <c r="AH20" s="149"/>
    </row>
    <row r="21" spans="1:35" ht="15.75" thickBot="1" x14ac:dyDescent="0.3">
      <c r="B21" s="11" t="s">
        <v>102</v>
      </c>
      <c r="C21" s="81" t="s">
        <v>65</v>
      </c>
      <c r="D21" s="83">
        <f>+'COL. CONS.$'!D21/'COLOMBIA USD'!$AI$5*1000</f>
        <v>81759.705882352951</v>
      </c>
      <c r="E21" s="126">
        <f t="shared" si="13"/>
        <v>0.33851734946625461</v>
      </c>
      <c r="F21" s="83">
        <f>+'COL. CONS.$'!F21/'COLOMBIA USD'!$AI$4*1000</f>
        <v>77160.093707607492</v>
      </c>
      <c r="G21" s="126">
        <f t="shared" si="14"/>
        <v>0.40643658294953317</v>
      </c>
      <c r="H21" s="83">
        <f>+'COL. CONS.$'!H21/'COLOMBIA USD'!$AI$3*1000</f>
        <v>70677.050368832977</v>
      </c>
      <c r="I21" s="127">
        <f t="shared" si="15"/>
        <v>0.33922513181805108</v>
      </c>
      <c r="J21" s="128">
        <f t="shared" si="6"/>
        <v>0.86444844200556181</v>
      </c>
      <c r="K21" s="128">
        <f t="shared" si="7"/>
        <v>-8.4020677363891377E-2</v>
      </c>
      <c r="L21" s="83">
        <f>+'COL. CONS.$'!L21/'COLOMBIA USD'!$AI$5*1000</f>
        <v>415420.29411764705</v>
      </c>
      <c r="M21" s="126">
        <f t="shared" si="16"/>
        <v>0.34548245227821961</v>
      </c>
      <c r="N21" s="83">
        <f>+'COL. CONS.$'!N21/'COLOMBIA USD'!$AI$4*1000</f>
        <v>392798.8113816455</v>
      </c>
      <c r="O21" s="126">
        <f t="shared" si="17"/>
        <v>0.44739959971276022</v>
      </c>
      <c r="P21" s="83">
        <f>+'COL. CONS.$'!P21/'COLOMBIA USD'!$AI$3*1000</f>
        <v>350115.743215058</v>
      </c>
      <c r="Q21" s="127">
        <f t="shared" si="18"/>
        <v>0.34686774120624941</v>
      </c>
      <c r="R21" s="128">
        <f t="shared" si="8"/>
        <v>0.8427988429373775</v>
      </c>
      <c r="S21" s="128">
        <f t="shared" si="9"/>
        <v>-0.10866394431401778</v>
      </c>
      <c r="T21" s="277"/>
      <c r="U21" s="263">
        <f t="shared" si="19"/>
        <v>0.84156504866791626</v>
      </c>
      <c r="V21" s="265">
        <v>2101</v>
      </c>
      <c r="W21" s="81" t="s">
        <v>66</v>
      </c>
      <c r="X21" s="82">
        <f>'COLOMB$ '!X21/'COLOMBIA USD'!$AI$5*1000</f>
        <v>22794.117647058822</v>
      </c>
      <c r="Y21" s="90">
        <f>'COLOMB$ '!Y21/'COLOMBIA USD'!$AI$4*1000</f>
        <v>0</v>
      </c>
      <c r="Z21" s="91">
        <f>'COLOMB$ '!Z21/'COLOMBIA USD'!$AI$3*1000</f>
        <v>18842.90143494686</v>
      </c>
      <c r="AA21" s="261">
        <f>'COLOMB$ '!AA21/'COLOMBIA USD'!$AI$5*1000</f>
        <v>45588.235294117643</v>
      </c>
      <c r="AB21" s="82">
        <f>'COLOMB$ '!AB21/'COLOMBIA USD'!$AI$4*1000</f>
        <v>0</v>
      </c>
      <c r="AC21" s="262">
        <f>'COLOMB$ '!AC21/'COLOMBIA USD'!$AI$3*1000</f>
        <v>34094.702914368383</v>
      </c>
      <c r="AD21" s="85">
        <f t="shared" si="20"/>
        <v>-11493.53237974926</v>
      </c>
      <c r="AE21" s="86">
        <f t="shared" si="11"/>
        <v>0.74788380586356462</v>
      </c>
      <c r="AF21" s="86" t="str">
        <f t="shared" si="10"/>
        <v/>
      </c>
      <c r="AG21" s="236"/>
    </row>
    <row r="22" spans="1:35" ht="15.75" thickBot="1" x14ac:dyDescent="0.3">
      <c r="B22" s="11"/>
      <c r="C22" s="112" t="s">
        <v>67</v>
      </c>
      <c r="D22" s="117">
        <f>SUM(D20:D21)</f>
        <v>145169.4117647059</v>
      </c>
      <c r="E22" s="113">
        <f t="shared" si="13"/>
        <v>0.60105847940397827</v>
      </c>
      <c r="F22" s="114">
        <f>+'COL. CONS.$'!F22/'COLOMBIA USD'!$AI$4*1000</f>
        <v>117870.62204732887</v>
      </c>
      <c r="G22" s="113">
        <f t="shared" si="14"/>
        <v>0.62087706939019616</v>
      </c>
      <c r="H22" s="117">
        <f>SUM(H20:H21)</f>
        <v>119922.28198725059</v>
      </c>
      <c r="I22" s="115">
        <f t="shared" si="15"/>
        <v>0.57558502657866795</v>
      </c>
      <c r="J22" s="116">
        <f t="shared" si="6"/>
        <v>0.82608505834289336</v>
      </c>
      <c r="K22" s="116">
        <f t="shared" si="7"/>
        <v>1.7406033024055096E-2</v>
      </c>
      <c r="L22" s="117">
        <f>SUM(L20:L21)</f>
        <v>695514.70588235301</v>
      </c>
      <c r="M22" s="113">
        <f t="shared" si="16"/>
        <v>0.57842173236666761</v>
      </c>
      <c r="N22" s="117">
        <f>SUM(N20:N21)</f>
        <v>598620.07931030763</v>
      </c>
      <c r="O22" s="113">
        <f t="shared" si="17"/>
        <v>0.68183094271951528</v>
      </c>
      <c r="P22" s="117">
        <f>SUM(P20:P21)</f>
        <v>596793.8180884074</v>
      </c>
      <c r="Q22" s="115">
        <f t="shared" si="18"/>
        <v>0.59125739889686868</v>
      </c>
      <c r="R22" s="116">
        <f t="shared" si="8"/>
        <v>0.85806067512446771</v>
      </c>
      <c r="S22" s="116">
        <f t="shared" si="9"/>
        <v>-3.0507851056455313E-3</v>
      </c>
      <c r="T22" s="277"/>
      <c r="U22" s="263">
        <f t="shared" si="19"/>
        <v>0.83085526603744786</v>
      </c>
      <c r="V22" s="260" t="s">
        <v>121</v>
      </c>
      <c r="W22" s="73" t="s">
        <v>73</v>
      </c>
      <c r="X22" s="75">
        <f>+X17-X18-X19-X20-X21</f>
        <v>7753.9659245468538</v>
      </c>
      <c r="Y22" s="75">
        <f>+Y17-Y18-Y19-Y20-Y21</f>
        <v>254267.33928802132</v>
      </c>
      <c r="Z22" s="75">
        <f>+Z17-Z18-Z19-Z20-Z21</f>
        <v>10230.955998200621</v>
      </c>
      <c r="AA22" s="278">
        <f>'COLOMB$ '!AA22/'COLOMBIA USD'!$AI$5*1000</f>
        <v>7753.8235294117649</v>
      </c>
      <c r="AB22" s="279">
        <f>+AB17-AB18-AB19-AB20-AB21</f>
        <v>254267.46161258372</v>
      </c>
      <c r="AC22" s="280">
        <f>+'COL. CONS.$'!AC22/'COLOMBIA USD'!AI3*1000</f>
        <v>10230.879284520272</v>
      </c>
      <c r="AD22" s="76">
        <f t="shared" si="20"/>
        <v>2477.0557551085067</v>
      </c>
      <c r="AE22" s="77">
        <f t="shared" ref="AE22" si="21">IF(X22=0,"",(Z22-X22)/ABS(X22)+1)</f>
        <v>1.3194481505022249</v>
      </c>
      <c r="AF22" s="77">
        <f t="shared" si="10"/>
        <v>-0.95976331686470906</v>
      </c>
      <c r="AG22" s="236"/>
    </row>
    <row r="23" spans="1:35" s="139" customFormat="1" ht="15.75" thickBot="1" x14ac:dyDescent="0.3">
      <c r="B23" s="139" t="s">
        <v>103</v>
      </c>
      <c r="C23" s="281" t="s">
        <v>69</v>
      </c>
      <c r="D23" s="282">
        <f>+'COL. CONS.$'!D23/'COLOMBIA USD'!$AI$5*1000</f>
        <v>15134.411764705883</v>
      </c>
      <c r="E23" s="283">
        <f t="shared" si="13"/>
        <v>6.266241911010767E-2</v>
      </c>
      <c r="F23" s="282">
        <f>+'COL. CONS.$'!F23/'COLOMBIA USD'!$AI$4*1000</f>
        <v>10687.608166813807</v>
      </c>
      <c r="G23" s="283">
        <f t="shared" si="14"/>
        <v>5.629639279190058E-2</v>
      </c>
      <c r="H23" s="282">
        <f>+'COL. CONS.$'!H23/'COLOMBIA USD'!$AI$3*1000</f>
        <v>12937.77903505319</v>
      </c>
      <c r="I23" s="284">
        <f t="shared" si="15"/>
        <v>6.209681609087226E-2</v>
      </c>
      <c r="J23" s="285">
        <f t="shared" si="6"/>
        <v>0.85485840059041229</v>
      </c>
      <c r="K23" s="285">
        <f t="shared" si="7"/>
        <v>0.21054017261096927</v>
      </c>
      <c r="L23" s="282">
        <f>+'COL. CONS.$'!L23/'COLOMBIA USD'!$AI$5*1000</f>
        <v>75230.588235294126</v>
      </c>
      <c r="M23" s="283">
        <f t="shared" si="16"/>
        <v>6.2565186337530693E-2</v>
      </c>
      <c r="N23" s="282">
        <f>+'COL. CONS.$'!N23/'COLOMBIA USD'!$AI$4*1000</f>
        <v>56087.955284662254</v>
      </c>
      <c r="O23" s="283">
        <f t="shared" si="17"/>
        <v>6.3884431459452357E-2</v>
      </c>
      <c r="P23" s="282">
        <f>+'COL. CONS.$'!P23/'COLOMBIA USD'!$AI$3*1000</f>
        <v>62594.458490315257</v>
      </c>
      <c r="Q23" s="284">
        <f t="shared" si="18"/>
        <v>6.2013773585803698E-2</v>
      </c>
      <c r="R23" s="285">
        <f t="shared" si="8"/>
        <v>0.83203468108666634</v>
      </c>
      <c r="S23" s="285">
        <f t="shared" si="9"/>
        <v>0.11600535574225621</v>
      </c>
      <c r="T23" s="286"/>
      <c r="U23" s="287">
        <f t="shared" si="19"/>
        <v>1.047028622593329</v>
      </c>
      <c r="V23" s="288" t="s">
        <v>122</v>
      </c>
      <c r="X23" s="289"/>
      <c r="Y23" s="289"/>
      <c r="Z23" s="289"/>
      <c r="AA23" s="289"/>
      <c r="AB23" s="289"/>
      <c r="AC23" s="289"/>
      <c r="AD23" s="289"/>
      <c r="AE23" s="289"/>
      <c r="AF23" s="289"/>
    </row>
    <row r="24" spans="1:35" s="139" customFormat="1" x14ac:dyDescent="0.25">
      <c r="A24" s="139" t="s">
        <v>104</v>
      </c>
      <c r="B24" s="139" t="s">
        <v>105</v>
      </c>
      <c r="C24" s="281" t="s">
        <v>71</v>
      </c>
      <c r="D24" s="282">
        <f>+'COL. CONS.$'!D24/'COLOMBIA USD'!$AI$5*1000</f>
        <v>49525</v>
      </c>
      <c r="E24" s="283">
        <f t="shared" si="13"/>
        <v>0.20505298485833764</v>
      </c>
      <c r="F24" s="282">
        <f>+'COL. CONS.$'!F24/'COLOMBIA USD'!$AI$4*1000</f>
        <v>39546.340544992578</v>
      </c>
      <c r="G24" s="283">
        <f t="shared" si="14"/>
        <v>0.20830819076209414</v>
      </c>
      <c r="H24" s="282">
        <f>+'COL. CONS.$'!H24/'COLOMBIA USD'!$AI$3*1000</f>
        <v>41477.321973550352</v>
      </c>
      <c r="I24" s="284">
        <f t="shared" si="15"/>
        <v>0.19907664426445831</v>
      </c>
      <c r="J24" s="285">
        <f t="shared" si="6"/>
        <v>0.83750271526603437</v>
      </c>
      <c r="K24" s="285">
        <f t="shared" si="7"/>
        <v>4.8828321456466039E-2</v>
      </c>
      <c r="L24" s="282">
        <f>+'COL. CONS.$'!L24/'COLOMBIA USD'!$AI$5*1000</f>
        <v>266294.11764705885</v>
      </c>
      <c r="M24" s="283">
        <f t="shared" si="16"/>
        <v>0.22146232645513517</v>
      </c>
      <c r="N24" s="282">
        <f>+'COL. CONS.$'!N24/'COLOMBIA USD'!$AI$4*1000</f>
        <v>207375.40597209361</v>
      </c>
      <c r="O24" s="283">
        <f t="shared" si="17"/>
        <v>0.23620151317627228</v>
      </c>
      <c r="P24" s="282">
        <f>+'COL. CONS.$'!P24/'COLOMBIA USD'!$AI$3*1000</f>
        <v>221862.54912916565</v>
      </c>
      <c r="Q24" s="284">
        <f t="shared" si="18"/>
        <v>0.21980434403780449</v>
      </c>
      <c r="R24" s="285">
        <f t="shared" si="8"/>
        <v>0.83314851672096657</v>
      </c>
      <c r="S24" s="285">
        <f t="shared" si="9"/>
        <v>6.9859504742918133E-2</v>
      </c>
      <c r="T24" s="286"/>
      <c r="U24" s="283">
        <f t="shared" si="19"/>
        <v>0.52526434307856673</v>
      </c>
      <c r="V24" s="288" t="s">
        <v>123</v>
      </c>
      <c r="X24" s="289"/>
      <c r="Y24" s="289"/>
      <c r="Z24" s="289"/>
      <c r="AA24" s="289"/>
      <c r="AB24" s="289"/>
      <c r="AC24" s="289"/>
      <c r="AD24" s="289"/>
      <c r="AE24" s="289"/>
      <c r="AF24" s="289"/>
    </row>
    <row r="25" spans="1:35" s="139" customFormat="1" ht="15.75" thickBot="1" x14ac:dyDescent="0.3">
      <c r="C25" s="290" t="s">
        <v>72</v>
      </c>
      <c r="D25" s="291">
        <f>SUM(D23:D24)</f>
        <v>64659.411764705881</v>
      </c>
      <c r="E25" s="292">
        <f t="shared" si="13"/>
        <v>0.26771540396844529</v>
      </c>
      <c r="F25" s="291">
        <f>SUM(F23:F24)</f>
        <v>50233.948711806384</v>
      </c>
      <c r="G25" s="292">
        <f t="shared" si="14"/>
        <v>0.26460458355399474</v>
      </c>
      <c r="H25" s="291">
        <f>SUM(H23:H24)</f>
        <v>54415.101008603539</v>
      </c>
      <c r="I25" s="293">
        <f t="shared" si="15"/>
        <v>0.26117346035533057</v>
      </c>
      <c r="J25" s="294">
        <f t="shared" si="6"/>
        <v>0.84156504866791626</v>
      </c>
      <c r="K25" s="294">
        <f t="shared" si="7"/>
        <v>8.3233598074970092E-2</v>
      </c>
      <c r="L25" s="291">
        <f>SUM(L23:L24)</f>
        <v>341524.70588235301</v>
      </c>
      <c r="M25" s="292">
        <f t="shared" si="16"/>
        <v>0.28402751279266586</v>
      </c>
      <c r="N25" s="291">
        <f>SUM(N23:N24)</f>
        <v>263463.36125675589</v>
      </c>
      <c r="O25" s="292">
        <f t="shared" si="17"/>
        <v>0.30008594463572469</v>
      </c>
      <c r="P25" s="291">
        <f>SUM(P23:P24)</f>
        <v>284457.00761948089</v>
      </c>
      <c r="Q25" s="293">
        <f t="shared" si="18"/>
        <v>0.2818181176236082</v>
      </c>
      <c r="R25" s="294">
        <f t="shared" si="8"/>
        <v>0.83290316255325159</v>
      </c>
      <c r="S25" s="294">
        <f t="shared" si="9"/>
        <v>7.9683361901186078E-2</v>
      </c>
      <c r="T25" s="286"/>
      <c r="U25" s="283">
        <f t="shared" si="19"/>
        <v>1.0992340825903855</v>
      </c>
      <c r="V25" s="295"/>
      <c r="X25" s="289"/>
      <c r="Y25" s="289"/>
      <c r="Z25" s="289"/>
      <c r="AA25" s="289"/>
      <c r="AB25" s="289"/>
      <c r="AC25" s="289"/>
      <c r="AD25" s="289"/>
    </row>
    <row r="26" spans="1:35" s="139" customFormat="1" ht="15.75" thickBot="1" x14ac:dyDescent="0.3">
      <c r="C26" s="290" t="s">
        <v>74</v>
      </c>
      <c r="D26" s="291">
        <f>+D22+D25</f>
        <v>209828.82352941178</v>
      </c>
      <c r="E26" s="292">
        <f t="shared" si="13"/>
        <v>0.86877388337242356</v>
      </c>
      <c r="F26" s="291">
        <f>+F22+F25</f>
        <v>168104.57075913524</v>
      </c>
      <c r="G26" s="292">
        <f t="shared" si="14"/>
        <v>0.88548165294419079</v>
      </c>
      <c r="H26" s="291">
        <f>+H22+H25</f>
        <v>174337.38299585413</v>
      </c>
      <c r="I26" s="293">
        <f t="shared" si="15"/>
        <v>0.83675848693399846</v>
      </c>
      <c r="J26" s="294">
        <f t="shared" si="6"/>
        <v>0.83085526603744797</v>
      </c>
      <c r="K26" s="294">
        <f t="shared" si="7"/>
        <v>3.7076994447994116E-2</v>
      </c>
      <c r="L26" s="291">
        <f>+L22+L25</f>
        <v>1037039.411764706</v>
      </c>
      <c r="M26" s="292">
        <f t="shared" si="16"/>
        <v>0.86244924515933352</v>
      </c>
      <c r="N26" s="291">
        <f>+N22+N25</f>
        <v>862083.44056706352</v>
      </c>
      <c r="O26" s="292">
        <f t="shared" si="17"/>
        <v>0.98191688735523996</v>
      </c>
      <c r="P26" s="291">
        <f>+P22+P25</f>
        <v>881250.82570788823</v>
      </c>
      <c r="Q26" s="293">
        <f t="shared" si="18"/>
        <v>0.87307551652047677</v>
      </c>
      <c r="R26" s="294">
        <f t="shared" si="8"/>
        <v>0.8497756360178097</v>
      </c>
      <c r="S26" s="294">
        <f t="shared" si="9"/>
        <v>2.2233793434446137E-2</v>
      </c>
      <c r="T26" s="286"/>
      <c r="U26" s="287">
        <f t="shared" si="19"/>
        <v>0.98851529971210272</v>
      </c>
      <c r="V26" s="296"/>
      <c r="W26" s="139" t="s">
        <v>73</v>
      </c>
      <c r="X26" s="289"/>
      <c r="Y26" s="289"/>
      <c r="Z26" s="289"/>
      <c r="AA26" s="289"/>
      <c r="AB26" s="289"/>
      <c r="AC26" s="289"/>
      <c r="AD26" s="289"/>
    </row>
    <row r="27" spans="1:35" ht="15.75" thickBot="1" x14ac:dyDescent="0.3">
      <c r="B27" s="11"/>
      <c r="C27" s="73" t="s">
        <v>75</v>
      </c>
      <c r="D27" s="141">
        <f>D19-D26</f>
        <v>9899.4117647058738</v>
      </c>
      <c r="E27" s="142">
        <f t="shared" si="13"/>
        <v>4.0987459478943625E-2</v>
      </c>
      <c r="F27" s="141">
        <f>F19-F26</f>
        <v>13336.718680691643</v>
      </c>
      <c r="G27" s="142">
        <f t="shared" si="14"/>
        <v>7.025043786079653E-2</v>
      </c>
      <c r="H27" s="141">
        <f>H19-H26</f>
        <v>10364.967464484187</v>
      </c>
      <c r="I27" s="143">
        <f t="shared" si="15"/>
        <v>4.9748220052770672E-2</v>
      </c>
      <c r="J27" s="144">
        <f t="shared" si="6"/>
        <v>1.047028622593329</v>
      </c>
      <c r="K27" s="144">
        <f t="shared" si="7"/>
        <v>-0.222824765773146</v>
      </c>
      <c r="L27" s="141">
        <f>L19-L26</f>
        <v>66169.70588235301</v>
      </c>
      <c r="M27" s="142">
        <f t="shared" si="16"/>
        <v>5.502974355963882E-2</v>
      </c>
      <c r="N27" s="141">
        <f>N19-N26</f>
        <v>-35759.223100277595</v>
      </c>
      <c r="O27" s="227">
        <f t="shared" si="17"/>
        <v>-4.0729914749052271E-2</v>
      </c>
      <c r="P27" s="141">
        <f>P19-P26</f>
        <v>43993.370701421634</v>
      </c>
      <c r="Q27" s="145">
        <f t="shared" si="18"/>
        <v>4.3585246933263322E-2</v>
      </c>
      <c r="R27" s="146">
        <f t="shared" si="8"/>
        <v>0.66485667594835651</v>
      </c>
      <c r="S27" s="147">
        <f t="shared" si="9"/>
        <v>2.2302664008682034</v>
      </c>
      <c r="T27" s="199"/>
      <c r="U27" s="199">
        <f t="shared" si="19"/>
        <v>1.0944093675140834</v>
      </c>
      <c r="V27" s="199"/>
      <c r="AG27" s="12"/>
      <c r="AH27" s="12"/>
      <c r="AI27" s="15"/>
    </row>
    <row r="28" spans="1:35" ht="15.75" thickBot="1" x14ac:dyDescent="0.3">
      <c r="B28" s="11" t="s">
        <v>106</v>
      </c>
      <c r="C28" s="81" t="s">
        <v>76</v>
      </c>
      <c r="D28" s="83">
        <f>+'COL. CONS.$'!D28/'COLOMBIA USD'!$AI$5*1000</f>
        <v>188.23529411764704</v>
      </c>
      <c r="E28" s="126">
        <f t="shared" si="13"/>
        <v>7.7936817596184981E-4</v>
      </c>
      <c r="F28" s="83">
        <f>+'COL. CONS.$'!F28/'COLOMBIA USD'!$AI$4*1000</f>
        <v>890.99721420727371</v>
      </c>
      <c r="G28" s="126">
        <f t="shared" si="14"/>
        <v>4.6932792037842419E-3</v>
      </c>
      <c r="H28" s="83">
        <f>+'COL. CONS.$'!H28/'COLOMBIA USD'!$AI$3*1000</f>
        <v>98.873288108906678</v>
      </c>
      <c r="I28" s="127">
        <f t="shared" si="15"/>
        <v>4.7455721506480057E-4</v>
      </c>
      <c r="J28" s="128">
        <f t="shared" si="6"/>
        <v>0.52526434307856684</v>
      </c>
      <c r="K28" s="128">
        <f t="shared" si="7"/>
        <v>-0.88903075505474516</v>
      </c>
      <c r="L28" s="83">
        <f>+'COL. CONS.$'!L28/'COLOMBIA USD'!$AI$5*1000</f>
        <v>941.17647058823525</v>
      </c>
      <c r="M28" s="126">
        <f t="shared" si="16"/>
        <v>7.8272525365190239E-4</v>
      </c>
      <c r="N28" s="83">
        <f>+'COL. CONS.$'!N28/'COLOMBIA USD'!$AI$4*1000</f>
        <v>43967.232413169397</v>
      </c>
      <c r="O28" s="126">
        <f t="shared" si="17"/>
        <v>5.007887399897834E-2</v>
      </c>
      <c r="P28" s="83">
        <f>+'COL. CONS.$'!P28/'COLOMBIA USD'!$AI$3*1000</f>
        <v>2182.5166089859263</v>
      </c>
      <c r="Q28" s="127">
        <f t="shared" si="18"/>
        <v>2.1622695379312261E-3</v>
      </c>
      <c r="R28" s="148">
        <f t="shared" si="8"/>
        <v>2.3189238970475472</v>
      </c>
      <c r="S28" s="148">
        <f t="shared" si="9"/>
        <v>-0.9503603822847807</v>
      </c>
      <c r="T28" s="115"/>
      <c r="U28" s="77">
        <f t="shared" si="19"/>
        <v>1.7152145532716103</v>
      </c>
      <c r="V28" s="297"/>
      <c r="X28" s="236"/>
      <c r="Y28" s="236"/>
      <c r="Z28" s="236"/>
      <c r="AA28" s="236"/>
      <c r="AB28" s="236"/>
      <c r="AC28" s="236"/>
      <c r="AD28" s="236"/>
      <c r="AE28" s="236"/>
      <c r="AF28" s="236"/>
    </row>
    <row r="29" spans="1:35" ht="15.75" thickBot="1" x14ac:dyDescent="0.3">
      <c r="B29" s="11" t="s">
        <v>107</v>
      </c>
      <c r="C29" s="81" t="s">
        <v>77</v>
      </c>
      <c r="D29" s="83">
        <f>+'COL. CONS.$'!D29/'COLOMBIA USD'!$AI$5*1000</f>
        <v>4444.1176470588234</v>
      </c>
      <c r="E29" s="126">
        <f t="shared" si="13"/>
        <v>1.84003955293493E-2</v>
      </c>
      <c r="F29" s="83">
        <f>+'COL. CONS.$'!F29/'COLOMBIA USD'!$AI$4*1000</f>
        <v>3935.8046984345729</v>
      </c>
      <c r="G29" s="126">
        <f t="shared" si="14"/>
        <v>2.0731636470663718E-2</v>
      </c>
      <c r="H29" s="83">
        <f>+'COL. CONS.$'!H29/'COLOMBIA USD'!$AI$3*1000</f>
        <v>4885.1255846884478</v>
      </c>
      <c r="I29" s="127">
        <f t="shared" si="15"/>
        <v>2.344689487981862E-2</v>
      </c>
      <c r="J29" s="128">
        <f t="shared" si="6"/>
        <v>1.0992340825903855</v>
      </c>
      <c r="K29" s="128">
        <f t="shared" si="7"/>
        <v>0.24120121779199508</v>
      </c>
      <c r="L29" s="83">
        <f>+'COL. CONS.$'!L29/'COLOMBIA USD'!$AI$5*1000</f>
        <v>22715</v>
      </c>
      <c r="M29" s="126">
        <f t="shared" si="16"/>
        <v>1.8890829395246899E-2</v>
      </c>
      <c r="N29" s="83">
        <f>+'COL. CONS.$'!N29/'COLOMBIA USD'!$AI$4*1000</f>
        <v>37632.717875907052</v>
      </c>
      <c r="O29" s="126">
        <f t="shared" si="17"/>
        <v>4.2863833662228838E-2</v>
      </c>
      <c r="P29" s="83">
        <f>+'COL. CONS.$'!P29/'COLOMBIA USD'!$AI$3*1000</f>
        <v>22773.062607033127</v>
      </c>
      <c r="Q29" s="127">
        <f t="shared" si="18"/>
        <v>2.2561798319357458E-2</v>
      </c>
      <c r="R29" s="148">
        <f t="shared" si="8"/>
        <v>1.0025561350223697</v>
      </c>
      <c r="S29" s="148">
        <f t="shared" si="9"/>
        <v>-0.39486000766336538</v>
      </c>
      <c r="T29" s="115"/>
      <c r="U29" s="77">
        <f t="shared" si="19"/>
        <v>1.0076396936683121</v>
      </c>
      <c r="V29" s="297"/>
      <c r="X29" s="236"/>
      <c r="Y29" s="236"/>
      <c r="Z29" s="236"/>
      <c r="AA29" s="236"/>
      <c r="AB29" s="236"/>
      <c r="AC29" s="236"/>
      <c r="AD29" s="236"/>
    </row>
    <row r="30" spans="1:35" ht="15.75" thickBot="1" x14ac:dyDescent="0.3">
      <c r="B30" s="11"/>
      <c r="C30" s="73" t="s">
        <v>78</v>
      </c>
      <c r="D30" s="141">
        <f>+D27+D28-D29</f>
        <v>5643.5294117646972</v>
      </c>
      <c r="E30" s="142">
        <f t="shared" si="13"/>
        <v>2.3366432125556176E-2</v>
      </c>
      <c r="F30" s="141">
        <f>+F27+F28-F29</f>
        <v>10291.911196464343</v>
      </c>
      <c r="G30" s="142">
        <f t="shared" si="14"/>
        <v>5.421208059391705E-2</v>
      </c>
      <c r="H30" s="141">
        <f>H27+H28-H29</f>
        <v>5578.7151679046465</v>
      </c>
      <c r="I30" s="143">
        <f t="shared" si="15"/>
        <v>2.6775882388016852E-2</v>
      </c>
      <c r="J30" s="144">
        <f t="shared" si="6"/>
        <v>0.98851529971210272</v>
      </c>
      <c r="K30" s="144">
        <f t="shared" si="7"/>
        <v>-0.45795148622919096</v>
      </c>
      <c r="L30" s="141">
        <f>L27+L28-L29</f>
        <v>44395.882352941248</v>
      </c>
      <c r="M30" s="142">
        <f t="shared" si="16"/>
        <v>3.6921639418043828E-2</v>
      </c>
      <c r="N30" s="141">
        <f>N27+N28-N29</f>
        <v>-29424.708563015251</v>
      </c>
      <c r="O30" s="142">
        <f t="shared" si="17"/>
        <v>-3.3514874412302768E-2</v>
      </c>
      <c r="P30" s="141">
        <f>P27+P28-P29</f>
        <v>23402.824703374434</v>
      </c>
      <c r="Q30" s="143">
        <f t="shared" si="18"/>
        <v>2.3185718151837089E-2</v>
      </c>
      <c r="R30" s="144">
        <f t="shared" si="8"/>
        <v>0.52713953328655916</v>
      </c>
      <c r="S30" s="144">
        <f t="shared" si="9"/>
        <v>1.7953460151782135</v>
      </c>
      <c r="T30" s="115"/>
      <c r="U30" s="298">
        <f t="shared" si="19"/>
        <v>0.78817335888655538</v>
      </c>
      <c r="V30" s="297"/>
    </row>
    <row r="31" spans="1:35" ht="15.75" thickBot="1" x14ac:dyDescent="0.3">
      <c r="B31" s="11" t="s">
        <v>108</v>
      </c>
      <c r="C31" s="81" t="s">
        <v>62</v>
      </c>
      <c r="D31" s="83">
        <f>+'COL. CONS.$'!D31/'COLOMBIA USD'!$AI$5*1000</f>
        <v>6606.1764705882351</v>
      </c>
      <c r="E31" s="126">
        <f t="shared" si="13"/>
        <v>2.735216968793611E-2</v>
      </c>
      <c r="F31" s="83">
        <f>+'COL. CONS.$'!F31/'COLOMBIA USD'!$AI$4*1000</f>
        <v>3489.901703236364</v>
      </c>
      <c r="G31" s="126">
        <f t="shared" si="14"/>
        <v>1.838286677655105E-2</v>
      </c>
      <c r="H31" s="83">
        <f>+'COL. CONS.$'!H31/'COLOMBIA USD'!$AI$3*1000</f>
        <v>7229.8614128628906</v>
      </c>
      <c r="I31" s="127">
        <f t="shared" si="15"/>
        <v>3.4700807093757495E-2</v>
      </c>
      <c r="J31" s="128">
        <f t="shared" si="6"/>
        <v>1.0944093675140834</v>
      </c>
      <c r="K31" s="128">
        <f t="shared" si="7"/>
        <v>1.07165187665838</v>
      </c>
      <c r="L31" s="83">
        <f>+'COL. CONS.$'!L31/'COLOMBIA USD'!$AI$5*1000</f>
        <v>38740.294117647063</v>
      </c>
      <c r="M31" s="126">
        <f t="shared" si="16"/>
        <v>3.2218194448521136E-2</v>
      </c>
      <c r="N31" s="83">
        <f>+'COL. CONS.$'!N31/'COLOMBIA USD'!$AI$4*1000</f>
        <v>39528.432850283156</v>
      </c>
      <c r="O31" s="126">
        <f t="shared" si="17"/>
        <v>4.502306148097418E-2</v>
      </c>
      <c r="P31" s="83">
        <f>+'COL. CONS.$'!P31/'COLOMBIA USD'!$AI$3*1000</f>
        <v>34249.484962963346</v>
      </c>
      <c r="Q31" s="127">
        <f t="shared" si="18"/>
        <v>3.3931754617738528E-2</v>
      </c>
      <c r="R31" s="148">
        <f t="shared" si="8"/>
        <v>0.88407911563484864</v>
      </c>
      <c r="S31" s="148">
        <f t="shared" si="9"/>
        <v>-0.133548119838553</v>
      </c>
      <c r="T31" s="115"/>
    </row>
    <row r="32" spans="1:35" ht="15.75" thickBot="1" x14ac:dyDescent="0.3">
      <c r="B32" s="11"/>
      <c r="C32" s="73" t="s">
        <v>79</v>
      </c>
      <c r="D32" s="141">
        <f>D30-D31</f>
        <v>-962.64705882353792</v>
      </c>
      <c r="E32" s="142">
        <f t="shared" si="13"/>
        <v>-3.985737562379933E-3</v>
      </c>
      <c r="F32" s="141">
        <f>F30-F31</f>
        <v>6802.009493227979</v>
      </c>
      <c r="G32" s="142">
        <f t="shared" si="14"/>
        <v>3.5829213817365993E-2</v>
      </c>
      <c r="H32" s="141">
        <f>H30-H31</f>
        <v>-1651.1462449582441</v>
      </c>
      <c r="I32" s="143">
        <f t="shared" si="15"/>
        <v>-7.9249247057406446E-3</v>
      </c>
      <c r="J32" s="144">
        <f t="shared" si="6"/>
        <v>0.28478544672838979</v>
      </c>
      <c r="K32" s="144">
        <f t="shared" si="7"/>
        <v>-1.2427438901110195</v>
      </c>
      <c r="L32" s="141">
        <f>L30-L31</f>
        <v>5655.5882352941844</v>
      </c>
      <c r="M32" s="142">
        <f t="shared" si="16"/>
        <v>4.7034449695226906E-3</v>
      </c>
      <c r="N32" s="141">
        <f>N30-N31</f>
        <v>-68953.141413298406</v>
      </c>
      <c r="O32" s="142">
        <f t="shared" si="17"/>
        <v>-7.8537935893276942E-2</v>
      </c>
      <c r="P32" s="141">
        <f>P30-P31</f>
        <v>-10846.660259588913</v>
      </c>
      <c r="Q32" s="143">
        <f t="shared" si="18"/>
        <v>-1.0746036465901438E-2</v>
      </c>
      <c r="R32" s="144">
        <f t="shared" si="8"/>
        <v>-1.9178659775652331</v>
      </c>
      <c r="S32" s="144">
        <f t="shared" si="9"/>
        <v>0.84269519796675996</v>
      </c>
      <c r="T32" s="115"/>
    </row>
    <row r="33" spans="2:29" ht="15.75" thickBot="1" x14ac:dyDescent="0.3">
      <c r="B33" s="11"/>
      <c r="C33" s="73" t="s">
        <v>81</v>
      </c>
      <c r="D33" s="141">
        <f>+'COL. CONS.$'!D33/'COLOMBIA USD'!$AI$5*1000</f>
        <v>34565</v>
      </c>
      <c r="E33" s="142">
        <f t="shared" si="13"/>
        <v>0.14311269907376961</v>
      </c>
      <c r="F33" s="141">
        <f>+'COL. CONS.$'!F33/'COLOMBIA USD'!$AI$4*1000</f>
        <v>15155.500592149185</v>
      </c>
      <c r="G33" s="142">
        <f t="shared" si="14"/>
        <v>7.9830772327787222E-2</v>
      </c>
      <c r="H33" s="141">
        <f>+'COL. CONS.$'!H33/'COLOMBIA USD'!$AI$3*1000</f>
        <v>34829.066011645205</v>
      </c>
      <c r="I33" s="143">
        <f t="shared" si="15"/>
        <v>0.16716733999570046</v>
      </c>
      <c r="J33" s="144">
        <f t="shared" si="6"/>
        <v>1.0076396936683121</v>
      </c>
      <c r="K33" s="144">
        <f t="shared" si="7"/>
        <v>1.29811386300808</v>
      </c>
      <c r="L33" s="141">
        <f>+'COL. CONS.$'!L33/'COLOMBIA USD'!$AI$5*1000</f>
        <v>192199.11764705883</v>
      </c>
      <c r="M33" s="142">
        <f t="shared" si="16"/>
        <v>0.15984154705646383</v>
      </c>
      <c r="N33" s="141">
        <f>+'COL. CONS.$'!N33/'COLOMBIA USD'!$AI$4*1000</f>
        <v>162447.71548308595</v>
      </c>
      <c r="O33" s="142">
        <f t="shared" si="17"/>
        <v>0.18502867314119659</v>
      </c>
      <c r="P33" s="141">
        <f>+'COL. CONS.$'!P33/'COLOMBIA USD'!$AI$3*1000</f>
        <v>166032.3474493525</v>
      </c>
      <c r="Q33" s="143">
        <f t="shared" si="18"/>
        <v>0.16449207567210924</v>
      </c>
      <c r="R33" s="144">
        <f t="shared" si="8"/>
        <v>0.86385592963149205</v>
      </c>
      <c r="S33" s="144">
        <f t="shared" si="9"/>
        <v>2.2066373513512292E-2</v>
      </c>
      <c r="T33" s="115"/>
    </row>
    <row r="34" spans="2:29" ht="15.75" thickBot="1" x14ac:dyDescent="0.3">
      <c r="B34" s="11" t="s">
        <v>109</v>
      </c>
      <c r="C34" s="153" t="s">
        <v>45</v>
      </c>
      <c r="D34" s="158">
        <f>+'COL. CONS.$'!D34/'COLOMBIA USD'!$AI$5*1000</f>
        <v>109668.82352941176</v>
      </c>
      <c r="E34" s="155">
        <f t="shared" si="13"/>
        <v>0.45407207694312313</v>
      </c>
      <c r="F34" s="158">
        <f>+'COL. CONS.$'!F34/'COLOMBIA USD'!$AI$4*1000</f>
        <v>86389.261105488666</v>
      </c>
      <c r="G34" s="155">
        <f t="shared" si="14"/>
        <v>0.45505071857874152</v>
      </c>
      <c r="H34" s="158">
        <f>+'COL. CONS.$'!H34/'COLOMBIA USD'!$AI$3*1000</f>
        <v>86438.045006313361</v>
      </c>
      <c r="I34" s="156">
        <f t="shared" si="15"/>
        <v>0.41487239575424645</v>
      </c>
      <c r="J34" s="157">
        <f t="shared" si="6"/>
        <v>0.78817335888655538</v>
      </c>
      <c r="K34" s="157">
        <f t="shared" si="7"/>
        <v>5.6469866972384776E-4</v>
      </c>
      <c r="L34" s="158">
        <f>+'COL. CONS.$'!L34/'COLOMBIA USD'!$AI$5*1000</f>
        <v>523231.76470588235</v>
      </c>
      <c r="M34" s="155">
        <f t="shared" si="16"/>
        <v>0.43514338548240328</v>
      </c>
      <c r="N34" s="158">
        <f>+'COL. CONS.$'!N34/'COLOMBIA USD'!$AI$4*1000</f>
        <v>429515.06373678427</v>
      </c>
      <c r="O34" s="155">
        <f t="shared" si="17"/>
        <v>0.48921957505550984</v>
      </c>
      <c r="P34" s="158">
        <f>+'COL. CONS.$'!P34/'COLOMBIA USD'!$AI$3*1000</f>
        <v>434443.84383770323</v>
      </c>
      <c r="Q34" s="159">
        <f t="shared" si="18"/>
        <v>0.43041353527590676</v>
      </c>
      <c r="R34" s="160">
        <f t="shared" si="8"/>
        <v>0.83030861874739514</v>
      </c>
      <c r="S34" s="160">
        <f t="shared" si="9"/>
        <v>1.1475220584904598E-2</v>
      </c>
      <c r="Z34" s="149"/>
      <c r="AA34" s="149"/>
      <c r="AB34" s="149"/>
      <c r="AC34" s="149"/>
    </row>
    <row r="35" spans="2:29" s="138" customFormat="1" ht="11.25" customHeight="1" x14ac:dyDescent="0.25">
      <c r="C35" s="299" t="s">
        <v>73</v>
      </c>
      <c r="D35" s="300">
        <f>+('COLOMB$ '!D32+'PROY SAT$'!D32)/$AI$5*1000</f>
        <v>11630</v>
      </c>
      <c r="E35" s="15"/>
      <c r="F35" s="15">
        <f>+('COLOMB$ '!F32+'PROY SAT$'!F32)/$AI$4*1000</f>
        <v>6802.0094932279744</v>
      </c>
      <c r="G35" s="15"/>
      <c r="H35" s="15">
        <f>+('COLOMB$ '!H32+'PROY SAT$'!H32)/$AI$3*1000</f>
        <v>11786.41618570983</v>
      </c>
      <c r="I35" s="15" t="e">
        <f>+('COLOMB$ '!I32+'PROY SAT$'!I32)/$AI$3*1000</f>
        <v>#DIV/0!</v>
      </c>
      <c r="J35" s="15"/>
      <c r="K35" s="15"/>
      <c r="L35" s="15">
        <f>+('COLOMB$ '!L32+'PROY SAT$'!L32)/$AI$5*1000</f>
        <v>68872.352941176476</v>
      </c>
      <c r="M35" s="15">
        <f>+('COLOMB$ '!M32+'PROY SAT$'!M32)/$AI$3*1000</f>
        <v>-8.1788888247494806E-2</v>
      </c>
      <c r="N35" s="15">
        <f>+('COLOMB$ '!N32+'PROY SAT$'!N32)/$AI$4*1000</f>
        <v>80761.833231950091</v>
      </c>
      <c r="O35" s="15">
        <f>+('COLOMB$ '!O32+'PROY SAT$'!O32)/$AI$3*1000</f>
        <v>-8.9331754368085239</v>
      </c>
      <c r="P35" s="15">
        <f>+('COLOMB$ '!P32+'PROY SAT$'!P32)/$AI$3*1000</f>
        <v>55900.047593000505</v>
      </c>
      <c r="Q35" s="15" t="e">
        <f>+('COLOMB$ '!Q32+'PROY SAT$'!Q32)/$AI$3*1000</f>
        <v>#DIV/0!</v>
      </c>
      <c r="R35" s="15">
        <f>+('COLOMB$ '!R32+'PROY SAT$'!R32)/$AI$3*1000</f>
        <v>-2.6606448207923941</v>
      </c>
      <c r="S35" s="15">
        <f>+('COLOMB$ '!S32+'PROY SAT$'!S32)/$AI$3*1000</f>
        <v>-0.26431772879931897</v>
      </c>
      <c r="T35" s="15"/>
    </row>
    <row r="36" spans="2:29" s="138" customFormat="1" x14ac:dyDescent="0.25">
      <c r="C36" s="20"/>
      <c r="D36" s="224">
        <f>+('COLOMB$ '!D33+'PROY SAT$'!D33)/$AI$5*1000</f>
        <v>34565</v>
      </c>
      <c r="E36" s="20"/>
      <c r="F36" s="20">
        <f>+('COLOMB$ '!F33+'PROY SAT$'!F33)/$AI$4*1000</f>
        <v>15155.500592149185</v>
      </c>
      <c r="G36" s="20"/>
      <c r="H36" s="20">
        <f>+('COLOMB$ '!H33+'PROY SAT$'!H33)/$AI$3*1000</f>
        <v>34829.066011645205</v>
      </c>
      <c r="I36" s="20" t="e">
        <f>+('COLOMB$ '!I33+'PROY SAT$'!I33)/$AI$3*1000</f>
        <v>#DIV/0!</v>
      </c>
      <c r="J36" s="20"/>
      <c r="K36" s="20"/>
      <c r="L36" s="15">
        <f>+('COLOMB$ '!L33+'PROY SAT$'!L33)/$AI$5*1000</f>
        <v>192199.11764705883</v>
      </c>
      <c r="M36" s="15">
        <f>+('COLOMB$ '!M33+'PROY SAT$'!M33)/$AI$3*1000</f>
        <v>-0.11130761954030768</v>
      </c>
      <c r="N36" s="15">
        <f>+('COLOMB$ '!N33+'PROY SAT$'!N33)/$AI$4*1000</f>
        <v>162447.71548308595</v>
      </c>
      <c r="O36" s="15">
        <f>+('COLOMB$ '!O33+'PROY SAT$'!O33)/$AI$3*1000</f>
        <v>-0.34210991400794988</v>
      </c>
      <c r="P36" s="15">
        <f>+('COLOMB$ '!P33+'PROY SAT$'!P33)/$AI$3*1000</f>
        <v>166032.3474493525</v>
      </c>
      <c r="Q36" s="15" t="e">
        <f>+('COLOMB$ '!Q33+'PROY SAT$'!Q33)/$AI$3*1000</f>
        <v>#DIV/0!</v>
      </c>
      <c r="R36" s="15">
        <f>+('COLOMB$ '!R33+'PROY SAT$'!R33)/$AI$3*1000</f>
        <v>0.18016438226552792</v>
      </c>
      <c r="S36" s="15">
        <f>+('COLOMB$ '!S33+'PROY SAT$'!S33)/$AI$3*1000</f>
        <v>-2.6424961998121281</v>
      </c>
      <c r="T36" s="15"/>
    </row>
    <row r="37" spans="2:29" s="138" customFormat="1" x14ac:dyDescent="0.25">
      <c r="C37" s="20"/>
      <c r="D37" s="224">
        <f>+('COLOMB$ '!D34+'PROY SAT$'!D34)/$AI$5*1000</f>
        <v>109668.82352941176</v>
      </c>
      <c r="E37" s="20"/>
      <c r="F37" s="20">
        <f>+('COLOMB$ '!F34+'PROY SAT$'!F34)/$AI$4*1000</f>
        <v>86389.261105488666</v>
      </c>
      <c r="G37" s="20"/>
      <c r="H37" s="20">
        <f>+('COLOMB$ '!H34+'PROY SAT$'!H34)/$AI$3*1000</f>
        <v>86438.045006313361</v>
      </c>
      <c r="I37" s="20" t="e">
        <f>+('COLOMB$ '!I34+'PROY SAT$'!I34)/$AI$3*1000</f>
        <v>#DIV/0!</v>
      </c>
      <c r="J37" s="20"/>
      <c r="K37" s="20"/>
      <c r="L37" s="15">
        <f>+('COLOMB$ '!L34+'PROY SAT$'!L34)/$AI$5*1000</f>
        <v>523231.76470588235</v>
      </c>
      <c r="M37" s="15">
        <f>+('COLOMB$ '!M34+'PROY SAT$'!M34)/$AI$3*1000</f>
        <v>0.10582903436805031</v>
      </c>
      <c r="N37" s="15">
        <f>+('COLOMB$ '!N34+'PROY SAT$'!N34)/$AI$4*1000</f>
        <v>429515.06373678427</v>
      </c>
      <c r="O37" s="15">
        <f>+('COLOMB$ '!O34+'PROY SAT$'!O34)/$AI$3*1000</f>
        <v>0.10684274728969309</v>
      </c>
      <c r="P37" s="15">
        <f>+('COLOMB$ '!P34+'PROY SAT$'!P34)/$AI$3*1000</f>
        <v>434443.84383770323</v>
      </c>
      <c r="Q37" s="15" t="e">
        <f>+('COLOMB$ '!Q34+'PROY SAT$'!Q34)/$AI$3*1000</f>
        <v>#DIV/0!</v>
      </c>
      <c r="R37" s="15" t="e">
        <f>+('COLOMB$ '!R34+'PROY SAT$'!R34)/$AI$3*1000</f>
        <v>#VALUE!</v>
      </c>
      <c r="S37" s="15" t="e">
        <f>+('COLOMB$ '!S34+'PROY SAT$'!S34)/$AI$3*1000</f>
        <v>#VALUE!</v>
      </c>
      <c r="T37" s="15"/>
    </row>
    <row r="38" spans="2:29" s="191" customFormat="1" x14ac:dyDescent="0.25">
      <c r="C38" s="20"/>
      <c r="D38" s="20"/>
      <c r="E38" s="20"/>
      <c r="F38" s="20"/>
      <c r="G38" s="20"/>
      <c r="H38" s="20"/>
      <c r="I38" s="20"/>
      <c r="J38" s="20"/>
      <c r="K38" s="20"/>
      <c r="L38" s="12"/>
      <c r="M38" s="12"/>
      <c r="N38" s="12"/>
      <c r="O38" s="12"/>
      <c r="P38" s="12"/>
      <c r="Q38" s="12"/>
      <c r="R38" s="12"/>
      <c r="S38" s="12"/>
      <c r="T38" s="12"/>
    </row>
    <row r="39" spans="2:29" s="12" customFormat="1" x14ac:dyDescent="0.25">
      <c r="C39" s="20"/>
      <c r="D39" s="20"/>
      <c r="E39" s="20"/>
      <c r="F39" s="20"/>
      <c r="G39" s="20"/>
      <c r="H39" s="20"/>
      <c r="I39" s="20"/>
      <c r="J39" s="20"/>
      <c r="K39" s="20"/>
    </row>
    <row r="40" spans="2:29" s="12" customFormat="1" x14ac:dyDescent="0.25">
      <c r="N40" s="301"/>
      <c r="O40" s="302"/>
    </row>
    <row r="41" spans="2:29" s="20" customFormat="1" x14ac:dyDescent="0.25">
      <c r="C41" s="15"/>
      <c r="D41" s="300"/>
      <c r="E41" s="15"/>
      <c r="F41" s="15"/>
      <c r="G41" s="15"/>
      <c r="H41" s="15"/>
      <c r="I41" s="15"/>
      <c r="J41" s="15"/>
      <c r="K41" s="15"/>
      <c r="L41" s="12"/>
      <c r="M41" s="15"/>
      <c r="N41" s="15"/>
      <c r="O41" s="15"/>
      <c r="P41" s="15"/>
      <c r="Q41" s="15"/>
      <c r="R41" s="15"/>
      <c r="S41" s="15"/>
    </row>
    <row r="44" spans="2:29" x14ac:dyDescent="0.25">
      <c r="B44" s="10" t="s">
        <v>82</v>
      </c>
      <c r="D44" s="303"/>
      <c r="E44" s="303"/>
      <c r="F44" s="304"/>
      <c r="G44" s="303"/>
      <c r="H44" s="303"/>
      <c r="I44" s="303"/>
      <c r="J44" s="303"/>
      <c r="K44" s="303"/>
      <c r="L44" s="303"/>
      <c r="M44" s="303"/>
      <c r="O44" s="303"/>
      <c r="P44" s="303"/>
    </row>
    <row r="47" spans="2:29" x14ac:dyDescent="0.25">
      <c r="N47" s="304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E2E3A-A218-4DD9-8027-2ED59E6FB659}">
  <sheetPr>
    <tabColor rgb="FFFF0000"/>
  </sheetPr>
  <dimension ref="A1:AN73"/>
  <sheetViews>
    <sheetView topLeftCell="B4" zoomScale="88" zoomScaleNormal="88" workbookViewId="0">
      <selection activeCell="C35" sqref="C35:T52"/>
    </sheetView>
  </sheetViews>
  <sheetFormatPr baseColWidth="10" defaultRowHeight="12.75" x14ac:dyDescent="0.2"/>
  <cols>
    <col min="1" max="1" width="4.28515625" style="35" hidden="1" customWidth="1"/>
    <col min="2" max="2" width="12.42578125" style="35" customWidth="1"/>
    <col min="3" max="3" width="36.140625" style="35" customWidth="1"/>
    <col min="4" max="4" width="10.140625" style="35" customWidth="1"/>
    <col min="5" max="5" width="10.7109375" style="35" customWidth="1"/>
    <col min="6" max="6" width="9.7109375" style="35" customWidth="1"/>
    <col min="7" max="7" width="7.85546875" style="35" customWidth="1"/>
    <col min="8" max="8" width="10.85546875" style="35" customWidth="1"/>
    <col min="9" max="9" width="7.28515625" style="35" customWidth="1"/>
    <col min="10" max="10" width="7.140625" style="35" customWidth="1"/>
    <col min="11" max="11" width="9.85546875" style="35" customWidth="1"/>
    <col min="12" max="12" width="10.85546875" style="35" customWidth="1"/>
    <col min="13" max="13" width="6.140625" style="35" customWidth="1"/>
    <col min="14" max="14" width="10.140625" style="310" customWidth="1"/>
    <col min="15" max="15" width="6.85546875" style="35" customWidth="1"/>
    <col min="16" max="16" width="12.28515625" style="35" customWidth="1"/>
    <col min="17" max="17" width="7.28515625" style="35" customWidth="1"/>
    <col min="18" max="19" width="8.140625" style="35" customWidth="1"/>
    <col min="20" max="22" width="10.7109375" style="311" customWidth="1"/>
    <col min="23" max="23" width="34.42578125" style="35" customWidth="1"/>
    <col min="24" max="24" width="10.140625" style="35" customWidth="1"/>
    <col min="25" max="25" width="9.85546875" style="35" customWidth="1"/>
    <col min="26" max="26" width="10.42578125" style="35" customWidth="1"/>
    <col min="27" max="29" width="11.5703125" style="35" customWidth="1"/>
    <col min="30" max="30" width="9.28515625" style="35" customWidth="1"/>
    <col min="31" max="31" width="10.28515625" style="35" customWidth="1"/>
    <col min="32" max="32" width="7.140625" style="35" customWidth="1"/>
    <col min="33" max="35" width="11.5703125" style="162" customWidth="1"/>
    <col min="36" max="16384" width="11.42578125" style="35"/>
  </cols>
  <sheetData>
    <row r="1" spans="1:40" s="1" customFormat="1" ht="26.25" hidden="1" thickBot="1" x14ac:dyDescent="0.25">
      <c r="D1" s="1" t="s">
        <v>1</v>
      </c>
      <c r="F1" s="1" t="s">
        <v>2</v>
      </c>
      <c r="H1" s="1" t="s">
        <v>3</v>
      </c>
      <c r="L1" s="1" t="s">
        <v>5</v>
      </c>
      <c r="N1" s="305" t="s">
        <v>6</v>
      </c>
      <c r="P1" s="1" t="s">
        <v>7</v>
      </c>
      <c r="T1" s="306" t="s">
        <v>5</v>
      </c>
      <c r="U1" s="306" t="s">
        <v>6</v>
      </c>
      <c r="V1" s="306" t="s">
        <v>7</v>
      </c>
      <c r="AG1" s="307"/>
      <c r="AH1" s="307"/>
      <c r="AI1" s="307"/>
    </row>
    <row r="2" spans="1:40" ht="51.75" hidden="1" thickBot="1" x14ac:dyDescent="0.25">
      <c r="A2" s="1" t="s">
        <v>8</v>
      </c>
      <c r="B2" s="308">
        <v>201301</v>
      </c>
      <c r="D2" s="309">
        <f>B2</f>
        <v>201301</v>
      </c>
      <c r="F2" s="35" t="str">
        <f>CONCATENATE(LEFT(B2,4)-1,RIGHT(B2,2))</f>
        <v>201201</v>
      </c>
      <c r="H2" s="309">
        <f>B2</f>
        <v>201301</v>
      </c>
      <c r="L2" s="309" t="str">
        <f>CONCATENATE(LEFT(D2,4),"01")</f>
        <v>201301</v>
      </c>
      <c r="N2" s="310" t="str">
        <f>+F2</f>
        <v>201201</v>
      </c>
      <c r="P2" s="309">
        <f>D2</f>
        <v>201301</v>
      </c>
      <c r="T2" s="311" t="s">
        <v>10</v>
      </c>
      <c r="U2" s="311" t="s">
        <v>83</v>
      </c>
      <c r="V2" s="311">
        <v>201301</v>
      </c>
      <c r="AA2" s="312"/>
      <c r="AB2" s="312"/>
      <c r="AC2" s="312"/>
    </row>
    <row r="3" spans="1:40" ht="13.5" hidden="1" thickBot="1" x14ac:dyDescent="0.25">
      <c r="A3" s="35" t="s">
        <v>124</v>
      </c>
      <c r="B3" s="35">
        <v>2</v>
      </c>
      <c r="C3" s="313" t="s">
        <v>125</v>
      </c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4"/>
      <c r="W3" s="315" t="str">
        <f>+C3</f>
        <v>MUSICAR S.A. EL SALVADOR</v>
      </c>
      <c r="X3" s="315"/>
      <c r="Y3" s="315"/>
      <c r="Z3" s="315"/>
      <c r="AA3" s="315"/>
      <c r="AB3" s="315"/>
      <c r="AC3" s="315"/>
      <c r="AD3" s="315"/>
      <c r="AE3" s="315"/>
      <c r="AF3" s="315"/>
    </row>
    <row r="4" spans="1:40" ht="13.5" thickBot="1" x14ac:dyDescent="0.25">
      <c r="A4" s="9"/>
      <c r="B4" s="151" t="s">
        <v>126</v>
      </c>
      <c r="C4" s="21"/>
      <c r="D4" s="316">
        <f>+'COLOMB$ '!D4:K4</f>
        <v>44712</v>
      </c>
      <c r="E4" s="317"/>
      <c r="F4" s="317"/>
      <c r="G4" s="317"/>
      <c r="H4" s="318"/>
      <c r="I4" s="318"/>
      <c r="J4" s="318"/>
      <c r="K4" s="319"/>
      <c r="L4" s="316" t="s">
        <v>12</v>
      </c>
      <c r="M4" s="317"/>
      <c r="N4" s="317"/>
      <c r="O4" s="317"/>
      <c r="P4" s="318"/>
      <c r="Q4" s="318"/>
      <c r="R4" s="318"/>
      <c r="S4" s="319"/>
      <c r="T4" s="320" t="s">
        <v>12</v>
      </c>
      <c r="W4" s="312"/>
      <c r="X4" s="321" t="str">
        <f>+'COLOMB$ '!X4:Z4</f>
        <v>MAYO</v>
      </c>
      <c r="Y4" s="322"/>
      <c r="Z4" s="322"/>
      <c r="AA4" s="323" t="str">
        <f>+'COLOMB$ '!AA4:AC4</f>
        <v>ACUM  MAYO</v>
      </c>
      <c r="AB4" s="324"/>
      <c r="AC4" s="325"/>
      <c r="AG4" s="326" t="s">
        <v>127</v>
      </c>
      <c r="AH4" s="327"/>
      <c r="AI4" s="327"/>
      <c r="AJ4" s="162"/>
      <c r="AK4" s="328"/>
      <c r="AL4" s="328"/>
    </row>
    <row r="5" spans="1:40" ht="15.75" thickBot="1" x14ac:dyDescent="0.3">
      <c r="A5" s="9"/>
      <c r="B5" s="9"/>
      <c r="C5" s="36" t="s">
        <v>111</v>
      </c>
      <c r="D5" s="329" t="str">
        <f>+'COLOMB$ '!D5:E5</f>
        <v>Ppto 2022</v>
      </c>
      <c r="E5" s="330"/>
      <c r="F5" s="329" t="str">
        <f>+'COLOMB$ '!F5:G5</f>
        <v>Real 2021</v>
      </c>
      <c r="G5" s="330"/>
      <c r="H5" s="331" t="str">
        <f>+'COLOMB$ '!H5:I5</f>
        <v>real 2022</v>
      </c>
      <c r="I5" s="332"/>
      <c r="J5" s="333" t="s">
        <v>19</v>
      </c>
      <c r="K5" s="334" t="s">
        <v>20</v>
      </c>
      <c r="L5" s="329" t="str">
        <f>+D5</f>
        <v>Ppto 2022</v>
      </c>
      <c r="M5" s="330"/>
      <c r="N5" s="329" t="str">
        <f>+F5</f>
        <v>Real 2021</v>
      </c>
      <c r="O5" s="330"/>
      <c r="P5" s="331" t="str">
        <f>+H5</f>
        <v>real 2022</v>
      </c>
      <c r="Q5" s="332"/>
      <c r="R5" s="333" t="s">
        <v>19</v>
      </c>
      <c r="S5" s="335" t="s">
        <v>20</v>
      </c>
      <c r="T5" s="336" t="s">
        <v>128</v>
      </c>
      <c r="U5" s="337" t="s">
        <v>129</v>
      </c>
      <c r="V5" s="337" t="s">
        <v>130</v>
      </c>
      <c r="W5" s="338" t="s">
        <v>111</v>
      </c>
      <c r="X5" s="209" t="str">
        <f>+D5</f>
        <v>Ppto 2022</v>
      </c>
      <c r="Y5" s="209" t="str">
        <f>+F5</f>
        <v>Real 2021</v>
      </c>
      <c r="Z5" s="210" t="str">
        <f>+P5</f>
        <v>real 2022</v>
      </c>
      <c r="AA5" s="339" t="str">
        <f>+X5</f>
        <v>Ppto 2022</v>
      </c>
      <c r="AB5" s="339" t="str">
        <f>+Y5</f>
        <v>Real 2021</v>
      </c>
      <c r="AC5" s="340" t="str">
        <f>+Z5</f>
        <v>real 2022</v>
      </c>
      <c r="AD5" s="47" t="s">
        <v>23</v>
      </c>
      <c r="AE5" s="47" t="s">
        <v>19</v>
      </c>
      <c r="AF5" s="47" t="s">
        <v>20</v>
      </c>
      <c r="AG5" s="162" t="s">
        <v>16</v>
      </c>
      <c r="AH5" s="162" t="s">
        <v>17</v>
      </c>
      <c r="AI5" s="162" t="s">
        <v>18</v>
      </c>
      <c r="AJ5" s="162"/>
      <c r="AK5" s="328"/>
      <c r="AL5" s="328"/>
    </row>
    <row r="6" spans="1:40" ht="13.5" thickBot="1" x14ac:dyDescent="0.25">
      <c r="A6" s="9"/>
      <c r="B6" s="9"/>
      <c r="C6" s="341" t="s">
        <v>25</v>
      </c>
      <c r="D6" s="59" t="s">
        <v>26</v>
      </c>
      <c r="E6" s="342" t="s">
        <v>27</v>
      </c>
      <c r="F6" s="59" t="s">
        <v>26</v>
      </c>
      <c r="G6" s="342" t="s">
        <v>27</v>
      </c>
      <c r="H6" s="343" t="s">
        <v>26</v>
      </c>
      <c r="I6" s="343" t="s">
        <v>27</v>
      </c>
      <c r="J6" s="58" t="s">
        <v>28</v>
      </c>
      <c r="K6" s="342" t="s">
        <v>28</v>
      </c>
      <c r="L6" s="59" t="s">
        <v>26</v>
      </c>
      <c r="M6" s="342" t="s">
        <v>27</v>
      </c>
      <c r="N6" s="59" t="s">
        <v>26</v>
      </c>
      <c r="O6" s="342" t="s">
        <v>27</v>
      </c>
      <c r="P6" s="343" t="s">
        <v>26</v>
      </c>
      <c r="Q6" s="343" t="s">
        <v>27</v>
      </c>
      <c r="R6" s="59" t="s">
        <v>28</v>
      </c>
      <c r="S6" s="344" t="s">
        <v>28</v>
      </c>
      <c r="T6" s="336" t="s">
        <v>26</v>
      </c>
      <c r="U6" s="345" t="s">
        <v>26</v>
      </c>
      <c r="V6" s="345" t="s">
        <v>26</v>
      </c>
      <c r="W6" s="346" t="str">
        <f>+'COLOMB$ '!W6</f>
        <v xml:space="preserve">Flujo de Caja </v>
      </c>
      <c r="X6" s="63"/>
      <c r="Y6" s="63"/>
      <c r="Z6" s="59"/>
      <c r="AA6" s="347" t="s">
        <v>12</v>
      </c>
      <c r="AB6" s="253"/>
      <c r="AC6" s="348"/>
      <c r="AD6" s="62" t="s">
        <v>30</v>
      </c>
      <c r="AE6" s="63" t="s">
        <v>28</v>
      </c>
      <c r="AF6" s="349" t="s">
        <v>28</v>
      </c>
      <c r="AJ6" s="162"/>
      <c r="AK6" s="328"/>
      <c r="AL6" s="328"/>
    </row>
    <row r="7" spans="1:40" ht="13.5" thickBot="1" x14ac:dyDescent="0.25">
      <c r="A7" s="9"/>
      <c r="B7" s="151" t="s">
        <v>131</v>
      </c>
      <c r="C7" s="65" t="str">
        <f>+'COLOMB$ '!C7</f>
        <v>Fact. Musical Experience  (Ambiental)</v>
      </c>
      <c r="D7" s="66">
        <v>6746</v>
      </c>
      <c r="E7" s="102">
        <f>+D7/$D$17</f>
        <v>0.75470684908212371</v>
      </c>
      <c r="F7" s="66">
        <v>7080.41</v>
      </c>
      <c r="G7" s="102">
        <f>+F7/$F$17</f>
        <v>0.87490562563868746</v>
      </c>
      <c r="H7" s="66">
        <v>6545.52</v>
      </c>
      <c r="I7" s="350">
        <f>+H7/$H$17</f>
        <v>0.86806235229524242</v>
      </c>
      <c r="J7" s="351">
        <f>IF(D7=0,"",(H7-D7)/ABS(D7)+1)</f>
        <v>0.9702816483842277</v>
      </c>
      <c r="K7" s="351">
        <f>IF(F7=0,"",(H7-F7)/ABS(F7))</f>
        <v>-7.5545060243686374E-2</v>
      </c>
      <c r="L7" s="66">
        <v>33989</v>
      </c>
      <c r="M7" s="102">
        <f>+L7/$L$17</f>
        <v>0.74706270873697855</v>
      </c>
      <c r="N7" s="66">
        <v>36102.720000000001</v>
      </c>
      <c r="O7" s="102">
        <f>+N7/$N$17</f>
        <v>0.79502269607779452</v>
      </c>
      <c r="P7" s="66">
        <v>33850.49</v>
      </c>
      <c r="Q7" s="350">
        <f>+P7/$P$17</f>
        <v>0.79610804052778017</v>
      </c>
      <c r="R7" s="350">
        <f>IF(L7=0,"",(P7-L7)/ABS(L7)+1)</f>
        <v>0.99592485804230779</v>
      </c>
      <c r="S7" s="351">
        <f>IF(N7=0,"",(P7-N7)/ABS(N7))</f>
        <v>-6.2383942262522134E-2</v>
      </c>
      <c r="T7" s="352">
        <v>88030.69</v>
      </c>
      <c r="U7" s="353">
        <v>95743.62</v>
      </c>
      <c r="V7" s="354">
        <v>85598.94</v>
      </c>
      <c r="W7" s="355" t="s">
        <v>34</v>
      </c>
      <c r="X7" s="95">
        <v>15027.332179594448</v>
      </c>
      <c r="Y7" s="95">
        <v>26906</v>
      </c>
      <c r="Z7" s="95">
        <v>16528.11</v>
      </c>
      <c r="AA7" s="95">
        <v>24475</v>
      </c>
      <c r="AB7" s="95">
        <v>14944</v>
      </c>
      <c r="AC7" s="95">
        <v>24475</v>
      </c>
      <c r="AD7" s="76">
        <f>+AC7-AA7</f>
        <v>0</v>
      </c>
      <c r="AE7" s="77">
        <f>IF(AA7=0,"",(AC7-AA7)/ABS(AA7)+1)</f>
        <v>1</v>
      </c>
      <c r="AF7" s="77">
        <f>IF(Y7=0,"",(AC7-AB7)/ABS(AB7))</f>
        <v>0.63778104925053536</v>
      </c>
      <c r="AG7" s="356">
        <v>24475</v>
      </c>
      <c r="AH7" s="356">
        <v>14944</v>
      </c>
      <c r="AI7" s="356">
        <v>24475</v>
      </c>
      <c r="AJ7" s="162"/>
      <c r="AL7" s="328"/>
    </row>
    <row r="8" spans="1:40" x14ac:dyDescent="0.2">
      <c r="A8" s="9"/>
      <c r="B8" s="151" t="s">
        <v>132</v>
      </c>
      <c r="C8" s="65" t="str">
        <f>+'COLOMB$ '!C8</f>
        <v>Instalaciones</v>
      </c>
      <c r="D8" s="66">
        <v>589.67999999999995</v>
      </c>
      <c r="E8" s="102">
        <f>+D8/$D$17</f>
        <v>6.5970283837347571E-2</v>
      </c>
      <c r="F8" s="66">
        <v>50</v>
      </c>
      <c r="G8" s="102">
        <f>+F8/$F$17</f>
        <v>6.1783542594192106E-3</v>
      </c>
      <c r="H8" s="66">
        <v>0</v>
      </c>
      <c r="I8" s="350">
        <f>+H8/$H$17</f>
        <v>0</v>
      </c>
      <c r="J8" s="351">
        <f t="shared" ref="J8:J34" si="0">IF(D8=0,"",(H8-D8)/ABS(D8)+1)</f>
        <v>0</v>
      </c>
      <c r="K8" s="351">
        <f t="shared" ref="K8:K34" si="1">IF(F8=0,"",(H8-F8)/ABS(F8))</f>
        <v>-1</v>
      </c>
      <c r="L8" s="66">
        <v>1916.46</v>
      </c>
      <c r="M8" s="102">
        <f>+L8/$L$17</f>
        <v>4.2122916201890903E-2</v>
      </c>
      <c r="N8" s="66">
        <v>1710</v>
      </c>
      <c r="O8" s="102">
        <f>+N8/$N$17</f>
        <v>3.7656132565441841E-2</v>
      </c>
      <c r="P8" s="66">
        <v>958.23</v>
      </c>
      <c r="Q8" s="350">
        <f>+P8/$P$17</f>
        <v>2.2535998967073589E-2</v>
      </c>
      <c r="R8" s="350">
        <f t="shared" ref="R8:R34" si="2">IF(L8=0,"",(P8-L8)/ABS(L8)+1)</f>
        <v>0.5</v>
      </c>
      <c r="S8" s="351">
        <f t="shared" ref="S8:S34" si="3">IF(N8=0,"",(P8-N8)/ABS(N8))</f>
        <v>-0.43963157894736843</v>
      </c>
      <c r="T8" s="352">
        <v>14218.42</v>
      </c>
      <c r="U8" s="353">
        <v>7405</v>
      </c>
      <c r="V8" s="354">
        <v>3745.8</v>
      </c>
      <c r="W8" s="357" t="s">
        <v>37</v>
      </c>
      <c r="X8" s="90">
        <v>9839.5129177777744</v>
      </c>
      <c r="Y8" s="90">
        <v>8434.4</v>
      </c>
      <c r="Z8" s="91">
        <v>7426</v>
      </c>
      <c r="AA8" s="358">
        <f t="shared" ref="AA8:AA12" si="4">+AG8+X8</f>
        <v>51590.136162222218</v>
      </c>
      <c r="AB8" s="90">
        <v>57737.5</v>
      </c>
      <c r="AC8" s="359">
        <f>+Z8+AI8</f>
        <v>48238.400000000001</v>
      </c>
      <c r="AD8" s="85">
        <f>+AC8-AA8</f>
        <v>-3351.7361622222161</v>
      </c>
      <c r="AE8" s="86">
        <f>IF(AA8=0,"",(AC8-AA8)/ABS(AA8)+1)</f>
        <v>0.93503145346073768</v>
      </c>
      <c r="AF8" s="86">
        <f>IF(AB8=0,"",(AC8-AB8)/ABS(AB8))</f>
        <v>-0.16452219095042214</v>
      </c>
      <c r="AG8" s="356">
        <v>41750.623244444447</v>
      </c>
      <c r="AH8" s="356">
        <v>49303.1</v>
      </c>
      <c r="AI8" s="356">
        <v>40812.400000000001</v>
      </c>
      <c r="AJ8" s="162"/>
      <c r="AL8" s="328"/>
    </row>
    <row r="9" spans="1:40" x14ac:dyDescent="0.2">
      <c r="A9" s="9"/>
      <c r="B9" s="151">
        <v>4155950000</v>
      </c>
      <c r="C9" s="65" t="str">
        <f>+'COLOMB$ '!C9</f>
        <v>Fact.Voice Experience (Publihold)</v>
      </c>
      <c r="D9" s="66">
        <v>1107.19</v>
      </c>
      <c r="E9" s="102">
        <f>+D9/$D$17</f>
        <v>0.12386656926107865</v>
      </c>
      <c r="F9" s="66">
        <v>962.36</v>
      </c>
      <c r="G9" s="102">
        <f>+F9/$F$17</f>
        <v>0.11891602010189342</v>
      </c>
      <c r="H9" s="66">
        <v>994.86</v>
      </c>
      <c r="I9" s="350">
        <f>+H9/$H$17</f>
        <v>0.13193764770475758</v>
      </c>
      <c r="J9" s="351">
        <f t="shared" si="0"/>
        <v>0.89854496518212768</v>
      </c>
      <c r="K9" s="351">
        <f t="shared" si="1"/>
        <v>3.3771145932914914E-2</v>
      </c>
      <c r="L9" s="66">
        <v>6078.87</v>
      </c>
      <c r="M9" s="102">
        <f>+L9/$L$17</f>
        <v>0.13361078843919963</v>
      </c>
      <c r="N9" s="66">
        <v>4864.21</v>
      </c>
      <c r="O9" s="102">
        <f>+N9/$N$17</f>
        <v>0.10711540151236718</v>
      </c>
      <c r="P9" s="66">
        <v>5705.25</v>
      </c>
      <c r="Q9" s="350">
        <f>+P9/$P$17</f>
        <v>0.13417812853583858</v>
      </c>
      <c r="R9" s="350">
        <f t="shared" si="2"/>
        <v>0.93853791905403472</v>
      </c>
      <c r="S9" s="351">
        <f t="shared" si="3"/>
        <v>0.17290371920620204</v>
      </c>
      <c r="T9" s="352">
        <v>9822.7199999999993</v>
      </c>
      <c r="U9" s="353">
        <v>11846.35</v>
      </c>
      <c r="V9" s="354">
        <v>9286.82</v>
      </c>
      <c r="W9" s="357" t="s">
        <v>40</v>
      </c>
      <c r="X9" s="90">
        <v>787</v>
      </c>
      <c r="Y9" s="90">
        <v>21</v>
      </c>
      <c r="Z9" s="91"/>
      <c r="AA9" s="358">
        <f t="shared" si="4"/>
        <v>15061</v>
      </c>
      <c r="AB9" s="90">
        <v>94</v>
      </c>
      <c r="AC9" s="359">
        <f t="shared" ref="AC9:AC12" si="5">+Z9+AI9</f>
        <v>11995.8</v>
      </c>
      <c r="AD9" s="85">
        <f>+AA9-AC9</f>
        <v>3065.2000000000007</v>
      </c>
      <c r="AE9" s="86">
        <f>IF(AA9=0,"",(AC9-AA9)/ABS(AA9)+1)</f>
        <v>0.79648097735874113</v>
      </c>
      <c r="AF9" s="360">
        <f t="shared" ref="AF9:AF22" si="6">IF(AB9=0,"",(AC9-AB9)/ABS(AB9))</f>
        <v>126.61489361702127</v>
      </c>
      <c r="AG9" s="356">
        <v>14274</v>
      </c>
      <c r="AH9" s="356">
        <v>73</v>
      </c>
      <c r="AI9" s="356">
        <v>11995.8</v>
      </c>
      <c r="AJ9" s="162"/>
      <c r="AK9" s="328"/>
      <c r="AL9" s="328"/>
      <c r="AM9" s="328"/>
      <c r="AN9" s="328"/>
    </row>
    <row r="10" spans="1:40" x14ac:dyDescent="0.2">
      <c r="A10" s="9"/>
      <c r="B10" s="151">
        <v>4135950900</v>
      </c>
      <c r="C10" s="65" t="str">
        <f>+'COLOMB$ '!C10</f>
        <v>Fact. Service &amp; Equipment Experience</v>
      </c>
      <c r="D10" s="66">
        <v>429.7</v>
      </c>
      <c r="E10" s="102">
        <f t="shared" ref="E10:E12" si="7">+D10/$D$17</f>
        <v>4.8072566417223329E-2</v>
      </c>
      <c r="F10" s="66">
        <v>0</v>
      </c>
      <c r="G10" s="102"/>
      <c r="H10" s="66">
        <v>0</v>
      </c>
      <c r="I10" s="350"/>
      <c r="J10" s="351">
        <f>IF(D10=0,"",(H10-D10)/ABS(D10)+1)</f>
        <v>0</v>
      </c>
      <c r="K10" s="351" t="str">
        <f>IF(F10=0,"",(H10-F10)/ABS(F10))</f>
        <v/>
      </c>
      <c r="L10" s="66">
        <v>1716.52</v>
      </c>
      <c r="M10" s="102">
        <f>+L10/$L$17</f>
        <v>3.7728326246762138E-2</v>
      </c>
      <c r="N10" s="66">
        <v>430</v>
      </c>
      <c r="O10" s="102"/>
      <c r="P10" s="66">
        <v>350</v>
      </c>
      <c r="Q10" s="350">
        <f>+P10/$P$17</f>
        <v>8.2314263156817846E-3</v>
      </c>
      <c r="R10" s="350">
        <f>IF(L10=0,"",(P10-L10)/ABS(L10)+1)</f>
        <v>0.20390091580639902</v>
      </c>
      <c r="S10" s="351">
        <f>IF(N10=0,"",(P10-N10)/ABS(N10))</f>
        <v>-0.18604651162790697</v>
      </c>
      <c r="T10" s="352">
        <v>14484.96</v>
      </c>
      <c r="U10" s="353">
        <v>12306.03</v>
      </c>
      <c r="V10" s="354">
        <v>5336.48</v>
      </c>
      <c r="W10" s="357" t="s">
        <v>43</v>
      </c>
      <c r="X10" s="90"/>
      <c r="Y10" s="90"/>
      <c r="Z10" s="91"/>
      <c r="AA10" s="358">
        <f t="shared" si="4"/>
        <v>0</v>
      </c>
      <c r="AB10" s="90">
        <v>0</v>
      </c>
      <c r="AC10" s="359">
        <f t="shared" si="5"/>
        <v>0</v>
      </c>
      <c r="AD10" s="85">
        <f>+AA10-AC10</f>
        <v>0</v>
      </c>
      <c r="AE10" s="86" t="str">
        <f t="shared" ref="AE10:AE21" si="8">IF(AA10=0,"",(AC10-AA10)/ABS(AA10)+1)</f>
        <v/>
      </c>
      <c r="AF10" s="86" t="str">
        <f t="shared" si="6"/>
        <v/>
      </c>
      <c r="AG10" s="356">
        <v>0</v>
      </c>
      <c r="AH10" s="356">
        <v>0</v>
      </c>
      <c r="AI10" s="356">
        <v>0</v>
      </c>
      <c r="AJ10" s="162"/>
      <c r="AK10" s="328"/>
      <c r="AL10" s="328"/>
      <c r="AM10" s="328"/>
      <c r="AN10" s="328"/>
    </row>
    <row r="11" spans="1:40" x14ac:dyDescent="0.2">
      <c r="A11" s="9"/>
      <c r="B11" s="151"/>
      <c r="C11" s="65" t="str">
        <f>+'COLOMB$ '!C11</f>
        <v>POP Satelital</v>
      </c>
      <c r="D11" s="66"/>
      <c r="E11" s="102"/>
      <c r="F11" s="66"/>
      <c r="G11" s="102"/>
      <c r="H11" s="66"/>
      <c r="I11" s="350"/>
      <c r="J11" s="351"/>
      <c r="K11" s="351"/>
      <c r="L11" s="66">
        <f t="shared" ref="L11:L14" si="9">+T11+D11</f>
        <v>0</v>
      </c>
      <c r="M11" s="102"/>
      <c r="N11" s="66">
        <f t="shared" ref="N11:N16" si="10">+U11+F11</f>
        <v>0</v>
      </c>
      <c r="O11" s="102"/>
      <c r="P11" s="66">
        <f t="shared" ref="P11:P16" si="11">+V11+H11</f>
        <v>0</v>
      </c>
      <c r="Q11" s="350"/>
      <c r="R11" s="350"/>
      <c r="S11" s="351" t="str">
        <f t="shared" ref="S11:S14" si="12">IF(N11=0,"",(P11-N11)/ABS(N11))</f>
        <v/>
      </c>
      <c r="T11" s="352">
        <v>0</v>
      </c>
      <c r="U11" s="353">
        <v>0</v>
      </c>
      <c r="V11" s="354">
        <v>0</v>
      </c>
      <c r="W11" s="357" t="s">
        <v>45</v>
      </c>
      <c r="X11" s="90">
        <v>6051.5290193499995</v>
      </c>
      <c r="Y11" s="90">
        <v>5305.9</v>
      </c>
      <c r="Z11" s="91">
        <v>8303.2000000000007</v>
      </c>
      <c r="AA11" s="358">
        <f t="shared" si="4"/>
        <v>30418.116077400002</v>
      </c>
      <c r="AB11" s="90">
        <v>26031.300000000003</v>
      </c>
      <c r="AC11" s="359">
        <f t="shared" si="5"/>
        <v>28904.99</v>
      </c>
      <c r="AD11" s="85">
        <f>+AA11-AC11</f>
        <v>1513.1260774000002</v>
      </c>
      <c r="AE11" s="86">
        <f t="shared" si="8"/>
        <v>0.95025575964172815</v>
      </c>
      <c r="AF11" s="86">
        <f t="shared" si="6"/>
        <v>0.11039364150080858</v>
      </c>
      <c r="AG11" s="356">
        <v>24366.587058050001</v>
      </c>
      <c r="AH11" s="356">
        <v>20725.400000000001</v>
      </c>
      <c r="AI11" s="356">
        <v>20601.79</v>
      </c>
      <c r="AJ11" s="162"/>
      <c r="AK11" s="328"/>
      <c r="AL11" s="328"/>
      <c r="AM11" s="328"/>
      <c r="AN11" s="328"/>
    </row>
    <row r="12" spans="1:40" x14ac:dyDescent="0.2">
      <c r="A12" s="9"/>
      <c r="B12" s="151">
        <v>4155950100</v>
      </c>
      <c r="C12" s="65" t="str">
        <f>+'COLOMB$ '!C12</f>
        <v xml:space="preserve"> Fact.Voice Experience (Audicóm)</v>
      </c>
      <c r="D12" s="66">
        <v>66</v>
      </c>
      <c r="E12" s="102">
        <f t="shared" si="7"/>
        <v>7.3837314022265291E-3</v>
      </c>
      <c r="F12" s="66">
        <v>0</v>
      </c>
      <c r="G12" s="102"/>
      <c r="H12" s="66">
        <v>0</v>
      </c>
      <c r="I12" s="350"/>
      <c r="J12" s="351">
        <f t="shared" si="0"/>
        <v>0</v>
      </c>
      <c r="K12" s="351" t="str">
        <f t="shared" si="1"/>
        <v/>
      </c>
      <c r="L12" s="66">
        <v>1796</v>
      </c>
      <c r="M12" s="102"/>
      <c r="N12" s="66">
        <v>2304</v>
      </c>
      <c r="O12" s="102"/>
      <c r="P12" s="66">
        <v>1656</v>
      </c>
      <c r="Q12" s="350"/>
      <c r="R12" s="350">
        <f t="shared" si="2"/>
        <v>0.92204899777282856</v>
      </c>
      <c r="S12" s="351">
        <f t="shared" si="12"/>
        <v>-0.28125</v>
      </c>
      <c r="T12" s="352">
        <v>2885.1</v>
      </c>
      <c r="U12" s="353">
        <v>0</v>
      </c>
      <c r="V12" s="354">
        <v>2304</v>
      </c>
      <c r="W12" s="357" t="s">
        <v>48</v>
      </c>
      <c r="X12" s="90">
        <v>1243.855</v>
      </c>
      <c r="Y12" s="90">
        <v>1576.1</v>
      </c>
      <c r="Z12" s="91">
        <v>1226.8</v>
      </c>
      <c r="AA12" s="358">
        <f t="shared" si="4"/>
        <v>7527.9749999999985</v>
      </c>
      <c r="AB12" s="90">
        <v>9809.7000000000007</v>
      </c>
      <c r="AC12" s="359">
        <f t="shared" si="5"/>
        <v>9639.9</v>
      </c>
      <c r="AD12" s="85">
        <f>+AA12-AC12</f>
        <v>-2111.9250000000011</v>
      </c>
      <c r="AE12" s="86">
        <f t="shared" si="8"/>
        <v>1.2805435724746697</v>
      </c>
      <c r="AF12" s="86">
        <f t="shared" si="6"/>
        <v>-1.7309397840912677E-2</v>
      </c>
      <c r="AG12" s="356">
        <v>6284.119999999999</v>
      </c>
      <c r="AH12" s="356">
        <v>8233.6</v>
      </c>
      <c r="AI12" s="356">
        <v>8413.1</v>
      </c>
      <c r="AJ12" s="162"/>
      <c r="AK12" s="328"/>
      <c r="AL12" s="328"/>
      <c r="AM12" s="328"/>
      <c r="AN12" s="328"/>
    </row>
    <row r="13" spans="1:40" ht="13.5" thickBot="1" x14ac:dyDescent="0.25">
      <c r="A13" s="9"/>
      <c r="B13" s="9"/>
      <c r="C13" s="65" t="str">
        <f>+'COLOMB$ '!C13</f>
        <v>Fact. Servicio Satelital</v>
      </c>
      <c r="D13" s="66"/>
      <c r="E13" s="102"/>
      <c r="F13" s="66"/>
      <c r="G13" s="102"/>
      <c r="H13" s="66"/>
      <c r="I13" s="350"/>
      <c r="J13" s="351"/>
      <c r="K13" s="351"/>
      <c r="L13" s="66">
        <f t="shared" si="9"/>
        <v>0</v>
      </c>
      <c r="M13" s="102"/>
      <c r="N13" s="66">
        <f t="shared" si="10"/>
        <v>0</v>
      </c>
      <c r="O13" s="102"/>
      <c r="P13" s="66">
        <f t="shared" si="11"/>
        <v>0</v>
      </c>
      <c r="Q13" s="350"/>
      <c r="R13" s="350"/>
      <c r="S13" s="351" t="str">
        <f t="shared" si="12"/>
        <v/>
      </c>
      <c r="T13" s="361">
        <v>0</v>
      </c>
      <c r="U13" s="311">
        <v>0</v>
      </c>
      <c r="V13" s="311">
        <v>0</v>
      </c>
      <c r="W13" s="357" t="s">
        <v>50</v>
      </c>
      <c r="X13" s="90">
        <f>SUM(X9:X12)</f>
        <v>8082.38401935</v>
      </c>
      <c r="Y13" s="90">
        <v>6903</v>
      </c>
      <c r="Z13" s="90">
        <f>SUM(Z9:Z12)</f>
        <v>9530</v>
      </c>
      <c r="AA13" s="90">
        <f>SUM(AA9:AA12)</f>
        <v>53007.0910774</v>
      </c>
      <c r="AB13" s="90">
        <v>35935</v>
      </c>
      <c r="AC13" s="90">
        <f>SUM(AC9:AC12)</f>
        <v>50540.69</v>
      </c>
      <c r="AD13" s="85">
        <f>+AC13-AA13</f>
        <v>-2466.401077399998</v>
      </c>
      <c r="AE13" s="86">
        <f t="shared" si="8"/>
        <v>0.95347035599824548</v>
      </c>
      <c r="AF13" s="86">
        <f t="shared" si="6"/>
        <v>0.40644747460692926</v>
      </c>
      <c r="AG13" s="356">
        <v>44924.70705805</v>
      </c>
      <c r="AH13" s="356">
        <v>29032</v>
      </c>
      <c r="AI13" s="356">
        <v>41010.69</v>
      </c>
      <c r="AJ13" s="162"/>
      <c r="AK13" s="328"/>
      <c r="AL13" s="328"/>
      <c r="AM13" s="328"/>
      <c r="AN13" s="328"/>
    </row>
    <row r="14" spans="1:40" ht="13.5" thickBot="1" x14ac:dyDescent="0.25">
      <c r="A14" s="9"/>
      <c r="B14" s="151">
        <v>4155951500</v>
      </c>
      <c r="C14" s="65" t="str">
        <f>+'COLOMB$ '!C14</f>
        <v>Fact. Visual Experience</v>
      </c>
      <c r="D14" s="66"/>
      <c r="E14" s="102"/>
      <c r="F14" s="66"/>
      <c r="G14" s="102"/>
      <c r="H14" s="66"/>
      <c r="I14" s="350"/>
      <c r="J14" s="351" t="str">
        <f t="shared" si="0"/>
        <v/>
      </c>
      <c r="K14" s="351" t="str">
        <f t="shared" si="1"/>
        <v/>
      </c>
      <c r="L14" s="66">
        <f t="shared" si="9"/>
        <v>0</v>
      </c>
      <c r="M14" s="102"/>
      <c r="N14" s="66">
        <f t="shared" si="10"/>
        <v>0</v>
      </c>
      <c r="O14" s="102"/>
      <c r="P14" s="66">
        <f t="shared" si="11"/>
        <v>0</v>
      </c>
      <c r="Q14" s="350"/>
      <c r="R14" s="350" t="str">
        <f t="shared" si="2"/>
        <v/>
      </c>
      <c r="S14" s="351" t="str">
        <f t="shared" si="12"/>
        <v/>
      </c>
      <c r="T14" s="352">
        <v>0</v>
      </c>
      <c r="U14" s="353">
        <v>0</v>
      </c>
      <c r="V14" s="354">
        <v>0</v>
      </c>
      <c r="W14" s="355" t="s">
        <v>52</v>
      </c>
      <c r="X14" s="75">
        <f>X8-X13</f>
        <v>1757.1288984277744</v>
      </c>
      <c r="Y14" s="75">
        <v>1531.3999999999996</v>
      </c>
      <c r="Z14" s="75">
        <f>Z8-Z13</f>
        <v>-2104</v>
      </c>
      <c r="AA14" s="75">
        <f>AA8-AA13</f>
        <v>-1416.9549151777828</v>
      </c>
      <c r="AB14" s="75">
        <v>21802.5</v>
      </c>
      <c r="AC14" s="75">
        <f>AC8-AC13</f>
        <v>-2302.2900000000009</v>
      </c>
      <c r="AD14" s="76">
        <f>+AC14-AA14</f>
        <v>-885.33508482221805</v>
      </c>
      <c r="AE14" s="77">
        <f t="shared" si="8"/>
        <v>0.37518471806060494</v>
      </c>
      <c r="AF14" s="77">
        <f t="shared" si="6"/>
        <v>-1.1055975232198143</v>
      </c>
      <c r="AG14" s="356">
        <v>-3174.0838136055536</v>
      </c>
      <c r="AH14" s="356">
        <v>20271.099999999999</v>
      </c>
      <c r="AI14" s="356">
        <v>-198.29000000000087</v>
      </c>
      <c r="AJ14" s="162"/>
      <c r="AK14" s="328"/>
      <c r="AL14" s="328"/>
      <c r="AM14" s="328"/>
      <c r="AN14" s="328"/>
    </row>
    <row r="15" spans="1:40" x14ac:dyDescent="0.2">
      <c r="A15" s="9"/>
      <c r="B15" s="151" t="s">
        <v>133</v>
      </c>
      <c r="C15" s="65" t="str">
        <f>+'COL. CONS.$'!C15</f>
        <v>Fac.   Olfa Experience</v>
      </c>
      <c r="D15" s="66">
        <v>0</v>
      </c>
      <c r="E15" s="102"/>
      <c r="F15" s="66"/>
      <c r="G15" s="102"/>
      <c r="H15" s="66"/>
      <c r="I15" s="350"/>
      <c r="J15" s="351"/>
      <c r="K15" s="351"/>
      <c r="L15" s="66">
        <v>0</v>
      </c>
      <c r="M15" s="102"/>
      <c r="N15" s="66">
        <f t="shared" si="10"/>
        <v>0</v>
      </c>
      <c r="O15" s="102"/>
      <c r="P15" s="66">
        <f t="shared" si="11"/>
        <v>0</v>
      </c>
      <c r="Q15" s="350"/>
      <c r="R15" s="350"/>
      <c r="S15" s="351"/>
      <c r="T15" s="352">
        <v>52</v>
      </c>
      <c r="U15" s="353">
        <v>0</v>
      </c>
      <c r="V15" s="354">
        <v>0</v>
      </c>
      <c r="W15" s="65"/>
      <c r="X15" s="101"/>
      <c r="Y15" s="101"/>
      <c r="Z15" s="270"/>
      <c r="AA15" s="362"/>
      <c r="AB15" s="362"/>
      <c r="AC15" s="363"/>
      <c r="AD15" s="103"/>
      <c r="AE15" s="102"/>
      <c r="AF15" s="102"/>
      <c r="AG15" s="356"/>
      <c r="AH15" s="356"/>
      <c r="AI15" s="356"/>
      <c r="AJ15" s="162"/>
      <c r="AK15" s="328"/>
      <c r="AL15" s="328"/>
      <c r="AM15" s="328"/>
      <c r="AN15" s="328"/>
    </row>
    <row r="16" spans="1:40" ht="13.5" thickBot="1" x14ac:dyDescent="0.25">
      <c r="A16" s="9"/>
      <c r="B16" s="9"/>
      <c r="C16" s="65" t="str">
        <f>+'COLOMB$ '!C16</f>
        <v>Facturacion Locutor virtual</v>
      </c>
      <c r="D16" s="66"/>
      <c r="E16" s="102"/>
      <c r="F16" s="66"/>
      <c r="G16" s="102"/>
      <c r="H16" s="66"/>
      <c r="I16" s="350"/>
      <c r="J16" s="351"/>
      <c r="K16" s="351"/>
      <c r="L16" s="66"/>
      <c r="M16" s="102"/>
      <c r="N16" s="66">
        <f t="shared" si="10"/>
        <v>0</v>
      </c>
      <c r="O16" s="102"/>
      <c r="P16" s="66">
        <f t="shared" si="11"/>
        <v>0</v>
      </c>
      <c r="Q16" s="350"/>
      <c r="R16" s="350"/>
      <c r="S16" s="351"/>
      <c r="T16" s="352"/>
      <c r="U16" s="353">
        <v>0</v>
      </c>
      <c r="V16" s="354">
        <v>0</v>
      </c>
      <c r="W16" s="65"/>
      <c r="X16" s="101"/>
      <c r="Y16" s="101"/>
      <c r="Z16" s="270"/>
      <c r="AA16" s="362">
        <f>+AG16+X16</f>
        <v>0</v>
      </c>
      <c r="AB16" s="362">
        <v>0</v>
      </c>
      <c r="AC16" s="363">
        <v>0</v>
      </c>
      <c r="AD16" s="103"/>
      <c r="AE16" s="102"/>
      <c r="AF16" s="102" t="str">
        <f t="shared" si="6"/>
        <v/>
      </c>
      <c r="AG16" s="356">
        <v>0</v>
      </c>
      <c r="AH16" s="356">
        <v>0</v>
      </c>
      <c r="AI16" s="356">
        <v>0</v>
      </c>
      <c r="AJ16" s="162"/>
      <c r="AK16" s="328"/>
      <c r="AL16" s="328"/>
      <c r="AM16" s="328"/>
      <c r="AN16" s="328"/>
    </row>
    <row r="17" spans="1:40" x14ac:dyDescent="0.2">
      <c r="A17" s="9"/>
      <c r="B17" s="9"/>
      <c r="C17" s="364" t="s">
        <v>57</v>
      </c>
      <c r="D17" s="105">
        <f>SUM(D7:D16)</f>
        <v>8938.5700000000015</v>
      </c>
      <c r="E17" s="106">
        <f t="shared" ref="E17:E34" si="13">+D17/$D$17</f>
        <v>1</v>
      </c>
      <c r="F17" s="105">
        <f>SUM(F7:F16)</f>
        <v>8092.7699999999995</v>
      </c>
      <c r="G17" s="106">
        <f t="shared" ref="G17:G34" si="14">+F17/$F$17</f>
        <v>1</v>
      </c>
      <c r="H17" s="105">
        <f>SUM(H7:H16)</f>
        <v>7540.38</v>
      </c>
      <c r="I17" s="107">
        <f t="shared" ref="I17:I34" si="15">+H17/$H$17</f>
        <v>1</v>
      </c>
      <c r="J17" s="108">
        <f t="shared" si="0"/>
        <v>0.84357788773819509</v>
      </c>
      <c r="K17" s="108">
        <f t="shared" si="1"/>
        <v>-6.8257222187211475E-2</v>
      </c>
      <c r="L17" s="105">
        <f>SUM(L7:L16)</f>
        <v>45496.85</v>
      </c>
      <c r="M17" s="106">
        <f t="shared" ref="M17:M34" si="16">+L17/$L$17</f>
        <v>1</v>
      </c>
      <c r="N17" s="105">
        <f>SUM(N7:N16)</f>
        <v>45410.93</v>
      </c>
      <c r="O17" s="106">
        <f t="shared" ref="O17:O34" si="17">+N17/$N$17</f>
        <v>1</v>
      </c>
      <c r="P17" s="105">
        <f>SUM(P7:P16)</f>
        <v>42519.97</v>
      </c>
      <c r="Q17" s="365">
        <f t="shared" ref="Q17:Q34" si="18">+P17/$P$17</f>
        <v>1</v>
      </c>
      <c r="R17" s="107">
        <f t="shared" si="2"/>
        <v>0.93456953613272131</v>
      </c>
      <c r="S17" s="108">
        <f t="shared" si="3"/>
        <v>-6.3662206433561241E-2</v>
      </c>
      <c r="T17" s="352">
        <v>129493.89000000001</v>
      </c>
      <c r="U17" s="353">
        <v>127301</v>
      </c>
      <c r="V17" s="354">
        <v>106272.04</v>
      </c>
      <c r="W17" s="357" t="s">
        <v>58</v>
      </c>
      <c r="X17" s="83">
        <f t="shared" ref="X17:AC17" si="19">+X7+X14</f>
        <v>16784.461078022221</v>
      </c>
      <c r="Y17" s="83">
        <v>28437.4</v>
      </c>
      <c r="Z17" s="83">
        <f t="shared" si="19"/>
        <v>14424.11</v>
      </c>
      <c r="AA17" s="358">
        <f t="shared" si="19"/>
        <v>23058.045084822217</v>
      </c>
      <c r="AB17" s="358">
        <v>36746.5</v>
      </c>
      <c r="AC17" s="83">
        <f t="shared" si="19"/>
        <v>22172.71</v>
      </c>
      <c r="AD17" s="85">
        <f>+AC17-AA17</f>
        <v>-885.33508482221805</v>
      </c>
      <c r="AE17" s="86">
        <f t="shared" si="8"/>
        <v>0.96160407000830339</v>
      </c>
      <c r="AF17" s="86">
        <f t="shared" si="6"/>
        <v>-0.39660348604629014</v>
      </c>
      <c r="AG17" s="356">
        <v>21300.916186394446</v>
      </c>
      <c r="AH17" s="356">
        <v>35215.1</v>
      </c>
      <c r="AI17" s="366">
        <v>24276.71</v>
      </c>
      <c r="AJ17" s="162"/>
      <c r="AK17" s="328"/>
      <c r="AL17" s="328"/>
      <c r="AM17" s="328"/>
      <c r="AN17" s="328"/>
    </row>
    <row r="18" spans="1:40" x14ac:dyDescent="0.2">
      <c r="A18" s="9"/>
      <c r="B18" s="151" t="s">
        <v>134</v>
      </c>
      <c r="C18" s="112" t="s">
        <v>59</v>
      </c>
      <c r="D18" s="114">
        <v>85.94</v>
      </c>
      <c r="E18" s="113">
        <f t="shared" si="13"/>
        <v>9.6145132834446652E-3</v>
      </c>
      <c r="F18" s="83">
        <v>0</v>
      </c>
      <c r="G18" s="113">
        <f t="shared" si="14"/>
        <v>0</v>
      </c>
      <c r="H18" s="83">
        <v>0</v>
      </c>
      <c r="I18" s="115">
        <f t="shared" si="15"/>
        <v>0</v>
      </c>
      <c r="J18" s="116">
        <f t="shared" si="0"/>
        <v>0</v>
      </c>
      <c r="K18" s="116" t="str">
        <f t="shared" si="1"/>
        <v/>
      </c>
      <c r="L18" s="117">
        <v>343.3</v>
      </c>
      <c r="M18" s="113">
        <f t="shared" si="16"/>
        <v>7.5455773311778728E-3</v>
      </c>
      <c r="N18" s="114">
        <v>40.56</v>
      </c>
      <c r="O18" s="113">
        <f t="shared" si="17"/>
        <v>8.931770390960943E-4</v>
      </c>
      <c r="P18" s="83">
        <v>0</v>
      </c>
      <c r="Q18" s="367">
        <f t="shared" si="18"/>
        <v>0</v>
      </c>
      <c r="R18" s="115">
        <f t="shared" si="2"/>
        <v>0</v>
      </c>
      <c r="S18" s="116">
        <f t="shared" si="3"/>
        <v>-1</v>
      </c>
      <c r="T18" s="352">
        <v>6453.92</v>
      </c>
      <c r="U18" s="353">
        <v>5560.1</v>
      </c>
      <c r="V18" s="354">
        <v>2009.82</v>
      </c>
      <c r="W18" s="357" t="s">
        <v>60</v>
      </c>
      <c r="X18" s="90"/>
      <c r="Y18" s="90"/>
      <c r="Z18" s="91"/>
      <c r="AA18" s="358">
        <f t="shared" ref="AA18:AA21" si="20">+AG18+X18</f>
        <v>0</v>
      </c>
      <c r="AB18" s="90">
        <v>0</v>
      </c>
      <c r="AC18" s="359">
        <f t="shared" ref="AC18:AC21" si="21">+Z18+AI18</f>
        <v>2797</v>
      </c>
      <c r="AD18" s="85">
        <f t="shared" ref="AD18:AD22" si="22">+AC18-AA18</f>
        <v>2797</v>
      </c>
      <c r="AE18" s="86" t="str">
        <f t="shared" si="8"/>
        <v/>
      </c>
      <c r="AF18" s="86" t="str">
        <f t="shared" si="6"/>
        <v/>
      </c>
      <c r="AG18" s="356">
        <v>0</v>
      </c>
      <c r="AH18" s="356">
        <v>0</v>
      </c>
      <c r="AI18" s="356">
        <v>2797</v>
      </c>
      <c r="AJ18" s="162"/>
      <c r="AK18" s="328"/>
      <c r="AL18" s="328"/>
      <c r="AM18" s="328"/>
      <c r="AN18" s="328"/>
    </row>
    <row r="19" spans="1:40" ht="13.5" thickBot="1" x14ac:dyDescent="0.25">
      <c r="A19" s="9"/>
      <c r="B19" s="9"/>
      <c r="C19" s="119" t="s">
        <v>61</v>
      </c>
      <c r="D19" s="368">
        <f>+D17-D18</f>
        <v>8852.630000000001</v>
      </c>
      <c r="E19" s="264">
        <f t="shared" si="13"/>
        <v>0.99038548671655524</v>
      </c>
      <c r="F19" s="368">
        <f>+F17-F18</f>
        <v>8092.7699999999995</v>
      </c>
      <c r="G19" s="264">
        <f t="shared" si="14"/>
        <v>1</v>
      </c>
      <c r="H19" s="368">
        <f>+H17-H18</f>
        <v>7540.38</v>
      </c>
      <c r="I19" s="369">
        <f t="shared" si="15"/>
        <v>1</v>
      </c>
      <c r="J19" s="124">
        <f t="shared" si="0"/>
        <v>0.85176721494064467</v>
      </c>
      <c r="K19" s="124">
        <f t="shared" si="1"/>
        <v>-6.8257222187211475E-2</v>
      </c>
      <c r="L19" s="368">
        <f>+L17-L18</f>
        <v>45153.549999999996</v>
      </c>
      <c r="M19" s="264">
        <f t="shared" si="16"/>
        <v>0.99245442266882211</v>
      </c>
      <c r="N19" s="368">
        <f>+N17-N18</f>
        <v>45370.37</v>
      </c>
      <c r="O19" s="264">
        <f t="shared" si="17"/>
        <v>0.99910682296090392</v>
      </c>
      <c r="P19" s="368">
        <f>+P17-P18</f>
        <v>42519.97</v>
      </c>
      <c r="Q19" s="350">
        <f t="shared" si="18"/>
        <v>1</v>
      </c>
      <c r="R19" s="350">
        <f t="shared" si="2"/>
        <v>0.94167501780037244</v>
      </c>
      <c r="S19" s="351">
        <f t="shared" si="3"/>
        <v>-6.2825143370001196E-2</v>
      </c>
      <c r="T19" s="352">
        <v>123039.97000000002</v>
      </c>
      <c r="U19" s="353">
        <v>121740.9</v>
      </c>
      <c r="V19" s="354">
        <v>104262.21999999999</v>
      </c>
      <c r="W19" s="357" t="s">
        <v>62</v>
      </c>
      <c r="X19" s="90">
        <v>1303.6804792</v>
      </c>
      <c r="Y19" s="90">
        <v>1343.9</v>
      </c>
      <c r="Z19" s="91">
        <v>1193.4000000000001</v>
      </c>
      <c r="AA19" s="358">
        <f t="shared" si="20"/>
        <v>7577.264486</v>
      </c>
      <c r="AB19" s="90">
        <v>9653.17</v>
      </c>
      <c r="AC19" s="359">
        <f t="shared" si="21"/>
        <v>6145</v>
      </c>
      <c r="AD19" s="85">
        <f t="shared" si="22"/>
        <v>-1432.264486</v>
      </c>
      <c r="AE19" s="86">
        <f t="shared" si="8"/>
        <v>0.81097868648424531</v>
      </c>
      <c r="AF19" s="86">
        <f t="shared" si="6"/>
        <v>-0.36342154960494844</v>
      </c>
      <c r="AG19" s="356">
        <v>6273.5840067999998</v>
      </c>
      <c r="AH19" s="356">
        <v>8309.27</v>
      </c>
      <c r="AI19" s="356">
        <v>4951.6000000000004</v>
      </c>
      <c r="AJ19" s="370"/>
      <c r="AK19" s="328"/>
      <c r="AL19" s="328"/>
      <c r="AM19" s="328"/>
      <c r="AN19" s="328"/>
    </row>
    <row r="20" spans="1:40" x14ac:dyDescent="0.2">
      <c r="A20" s="9"/>
      <c r="B20" s="9"/>
      <c r="C20" s="81" t="s">
        <v>63</v>
      </c>
      <c r="D20" s="83">
        <v>840.87</v>
      </c>
      <c r="E20" s="126">
        <f t="shared" si="13"/>
        <v>9.4072094305912457E-2</v>
      </c>
      <c r="F20" s="83">
        <v>655.38</v>
      </c>
      <c r="G20" s="126">
        <f t="shared" si="14"/>
        <v>8.0983396290763246E-2</v>
      </c>
      <c r="H20" s="83">
        <v>520.14</v>
      </c>
      <c r="I20" s="127">
        <f t="shared" si="15"/>
        <v>6.8980608404350968E-2</v>
      </c>
      <c r="J20" s="148">
        <f t="shared" si="0"/>
        <v>0.61857362017910023</v>
      </c>
      <c r="K20" s="148">
        <f t="shared" si="1"/>
        <v>-0.20635356587018219</v>
      </c>
      <c r="L20" s="83">
        <v>5079.3500000000004</v>
      </c>
      <c r="M20" s="126">
        <f t="shared" si="16"/>
        <v>0.11164179498141082</v>
      </c>
      <c r="N20" s="83">
        <v>4287.33</v>
      </c>
      <c r="O20" s="126">
        <f t="shared" si="17"/>
        <v>9.4411851948418585E-2</v>
      </c>
      <c r="P20" s="83">
        <v>3827.99</v>
      </c>
      <c r="Q20" s="371">
        <f t="shared" si="18"/>
        <v>9.0028050349047747E-2</v>
      </c>
      <c r="R20" s="372">
        <f t="shared" si="2"/>
        <v>0.7536377686121255</v>
      </c>
      <c r="S20" s="128">
        <f t="shared" si="3"/>
        <v>-0.10713894195221739</v>
      </c>
      <c r="T20" s="352">
        <v>16962.52</v>
      </c>
      <c r="U20" s="353">
        <v>19404.259999999998</v>
      </c>
      <c r="V20" s="354">
        <v>12020.93</v>
      </c>
      <c r="W20" s="357" t="s">
        <v>64</v>
      </c>
      <c r="X20" s="90"/>
      <c r="Y20" s="90"/>
      <c r="Z20" s="91"/>
      <c r="AA20" s="358">
        <f t="shared" si="20"/>
        <v>0</v>
      </c>
      <c r="AB20" s="90">
        <v>0</v>
      </c>
      <c r="AC20" s="359">
        <f t="shared" si="21"/>
        <v>0</v>
      </c>
      <c r="AD20" s="85">
        <f t="shared" si="22"/>
        <v>0</v>
      </c>
      <c r="AE20" s="86" t="str">
        <f t="shared" si="8"/>
        <v/>
      </c>
      <c r="AF20" s="86" t="str">
        <f t="shared" si="6"/>
        <v/>
      </c>
      <c r="AG20" s="356">
        <v>0</v>
      </c>
      <c r="AH20" s="356">
        <v>0</v>
      </c>
      <c r="AI20" s="356">
        <v>0</v>
      </c>
      <c r="AJ20" s="162"/>
      <c r="AK20" s="328"/>
      <c r="AL20" s="328"/>
      <c r="AM20" s="328"/>
      <c r="AN20" s="328"/>
    </row>
    <row r="21" spans="1:40" ht="13.5" thickBot="1" x14ac:dyDescent="0.25">
      <c r="A21" s="9"/>
      <c r="B21" s="9"/>
      <c r="C21" s="81" t="s">
        <v>65</v>
      </c>
      <c r="D21" s="83">
        <v>1179.24</v>
      </c>
      <c r="E21" s="126">
        <f t="shared" si="13"/>
        <v>0.13192714270850928</v>
      </c>
      <c r="F21" s="83">
        <v>1175.68</v>
      </c>
      <c r="G21" s="126">
        <f t="shared" si="14"/>
        <v>0.14527535071427955</v>
      </c>
      <c r="H21" s="83">
        <v>1137.07</v>
      </c>
      <c r="I21" s="127">
        <f t="shared" si="15"/>
        <v>0.15079743991682115</v>
      </c>
      <c r="J21" s="148">
        <f t="shared" si="0"/>
        <v>0.96423967979376546</v>
      </c>
      <c r="K21" s="148">
        <f t="shared" si="1"/>
        <v>-3.2840568862275557E-2</v>
      </c>
      <c r="L21" s="83">
        <v>6356.2</v>
      </c>
      <c r="M21" s="126">
        <f t="shared" si="16"/>
        <v>0.13970637527653013</v>
      </c>
      <c r="N21" s="83">
        <v>5931.81</v>
      </c>
      <c r="O21" s="126">
        <f t="shared" si="17"/>
        <v>0.13062516006608982</v>
      </c>
      <c r="P21" s="83">
        <v>6621.68</v>
      </c>
      <c r="Q21" s="373">
        <f t="shared" si="18"/>
        <v>0.15573106001721074</v>
      </c>
      <c r="R21" s="127">
        <f t="shared" si="2"/>
        <v>1.0417670935464587</v>
      </c>
      <c r="S21" s="128">
        <f t="shared" si="3"/>
        <v>0.11630008378555615</v>
      </c>
      <c r="T21" s="352">
        <v>23628.9</v>
      </c>
      <c r="U21" s="353">
        <v>20022.25</v>
      </c>
      <c r="V21" s="354">
        <v>19512.080000000002</v>
      </c>
      <c r="W21" s="357" t="s">
        <v>66</v>
      </c>
      <c r="X21" s="90"/>
      <c r="Y21" s="90"/>
      <c r="Z21" s="91"/>
      <c r="AA21" s="358">
        <f t="shared" si="20"/>
        <v>0</v>
      </c>
      <c r="AB21" s="90">
        <v>0</v>
      </c>
      <c r="AC21" s="359">
        <f t="shared" si="21"/>
        <v>0</v>
      </c>
      <c r="AD21" s="85">
        <f t="shared" si="22"/>
        <v>0</v>
      </c>
      <c r="AE21" s="86" t="str">
        <f t="shared" si="8"/>
        <v/>
      </c>
      <c r="AF21" s="86" t="str">
        <f t="shared" si="6"/>
        <v/>
      </c>
      <c r="AG21" s="356">
        <v>0</v>
      </c>
      <c r="AH21" s="356">
        <v>0</v>
      </c>
      <c r="AI21" s="356">
        <v>0</v>
      </c>
      <c r="AJ21" s="162"/>
      <c r="AK21" s="328"/>
      <c r="AL21" s="328"/>
      <c r="AM21" s="328"/>
      <c r="AN21" s="328"/>
    </row>
    <row r="22" spans="1:40" ht="13.5" thickBot="1" x14ac:dyDescent="0.25">
      <c r="A22" s="9"/>
      <c r="B22" s="9"/>
      <c r="C22" s="112" t="s">
        <v>67</v>
      </c>
      <c r="D22" s="117">
        <f>SUM(D20:D21)</f>
        <v>2020.1100000000001</v>
      </c>
      <c r="E22" s="113">
        <f t="shared" si="13"/>
        <v>0.22599923701442173</v>
      </c>
      <c r="F22" s="117">
        <f>SUM(F20:F21)</f>
        <v>1831.06</v>
      </c>
      <c r="G22" s="113">
        <f t="shared" si="14"/>
        <v>0.22625874700504278</v>
      </c>
      <c r="H22" s="117">
        <f>SUM(H20:H21)</f>
        <v>1657.21</v>
      </c>
      <c r="I22" s="115">
        <f t="shared" si="15"/>
        <v>0.21977804832117215</v>
      </c>
      <c r="J22" s="374">
        <f t="shared" si="0"/>
        <v>0.82035631723024982</v>
      </c>
      <c r="K22" s="374">
        <f t="shared" si="1"/>
        <v>-9.4945004532893465E-2</v>
      </c>
      <c r="L22" s="117">
        <f>SUM(L20:L21)</f>
        <v>11435.55</v>
      </c>
      <c r="M22" s="263">
        <f t="shared" si="16"/>
        <v>0.25134817025794093</v>
      </c>
      <c r="N22" s="117">
        <f>SUM(N20:N21)</f>
        <v>10219.14</v>
      </c>
      <c r="O22" s="113">
        <f t="shared" si="17"/>
        <v>0.22503701201450838</v>
      </c>
      <c r="P22" s="375">
        <f>SUM(P20:P21)</f>
        <v>10449.67</v>
      </c>
      <c r="Q22" s="367">
        <f t="shared" si="18"/>
        <v>0.2457591103662585</v>
      </c>
      <c r="R22" s="367">
        <f t="shared" si="2"/>
        <v>0.91378814311511036</v>
      </c>
      <c r="S22" s="128">
        <f t="shared" si="3"/>
        <v>2.2558649749391892E-2</v>
      </c>
      <c r="T22" s="352">
        <v>40591.42</v>
      </c>
      <c r="U22" s="353">
        <v>39426.509999999995</v>
      </c>
      <c r="V22" s="354">
        <v>31533.010000000002</v>
      </c>
      <c r="W22" s="376" t="s">
        <v>68</v>
      </c>
      <c r="X22" s="75">
        <f t="shared" ref="X22:AC22" si="23">X17-X18-X19-X20-X21</f>
        <v>15480.780598822221</v>
      </c>
      <c r="Y22" s="75">
        <v>27093.5</v>
      </c>
      <c r="Z22" s="74">
        <f t="shared" si="23"/>
        <v>13230.710000000001</v>
      </c>
      <c r="AA22" s="75">
        <f t="shared" si="23"/>
        <v>15480.780598822217</v>
      </c>
      <c r="AB22" s="75">
        <v>27093.33</v>
      </c>
      <c r="AC22" s="74">
        <f t="shared" si="23"/>
        <v>13230.71</v>
      </c>
      <c r="AD22" s="76">
        <f t="shared" si="22"/>
        <v>-2250.070598822218</v>
      </c>
      <c r="AE22" s="77">
        <f t="shared" ref="AE22" si="24">IF(X22=0,"",(Z22-X22)/ABS(X22)+1)</f>
        <v>0.85465393140489276</v>
      </c>
      <c r="AF22" s="77">
        <f t="shared" si="6"/>
        <v>-0.51166172633633455</v>
      </c>
      <c r="AG22" s="356">
        <v>15027.332179594447</v>
      </c>
      <c r="AH22" s="356">
        <v>26905.829999999998</v>
      </c>
      <c r="AI22" s="356">
        <v>16528.11</v>
      </c>
      <c r="AJ22" s="162"/>
      <c r="AK22" s="328"/>
      <c r="AL22" s="328"/>
      <c r="AM22" s="328"/>
      <c r="AN22" s="328"/>
    </row>
    <row r="23" spans="1:40" x14ac:dyDescent="0.2">
      <c r="A23" s="9"/>
      <c r="B23" s="9"/>
      <c r="C23" s="81" t="s">
        <v>69</v>
      </c>
      <c r="D23" s="83">
        <v>6518.22</v>
      </c>
      <c r="E23" s="126">
        <f t="shared" si="13"/>
        <v>0.72922402576698497</v>
      </c>
      <c r="F23" s="83">
        <v>6074.93</v>
      </c>
      <c r="G23" s="126">
        <f t="shared" si="14"/>
        <v>0.75066139282347089</v>
      </c>
      <c r="H23" s="83">
        <v>5674.93</v>
      </c>
      <c r="I23" s="127">
        <f t="shared" si="15"/>
        <v>0.75260530636387024</v>
      </c>
      <c r="J23" s="128">
        <f t="shared" si="0"/>
        <v>0.87062572297344976</v>
      </c>
      <c r="K23" s="128">
        <f t="shared" si="1"/>
        <v>-6.5844380099852995E-2</v>
      </c>
      <c r="L23" s="83">
        <v>32268.1</v>
      </c>
      <c r="M23" s="126">
        <f t="shared" si="16"/>
        <v>0.70923811208907872</v>
      </c>
      <c r="N23" s="83">
        <v>30555.47</v>
      </c>
      <c r="O23" s="126">
        <f t="shared" si="17"/>
        <v>0.67286598182419965</v>
      </c>
      <c r="P23" s="83">
        <v>30129.78</v>
      </c>
      <c r="Q23" s="373">
        <f t="shared" si="18"/>
        <v>0.70860303993629337</v>
      </c>
      <c r="R23" s="127">
        <f t="shared" si="2"/>
        <v>0.93373269575834961</v>
      </c>
      <c r="S23" s="128">
        <f t="shared" si="3"/>
        <v>-1.3931711736065664E-2</v>
      </c>
      <c r="T23" s="352">
        <v>55531.88</v>
      </c>
      <c r="U23" s="353">
        <v>52897.59</v>
      </c>
      <c r="V23" s="354">
        <v>45889.11</v>
      </c>
      <c r="W23" s="370"/>
      <c r="X23" s="162" t="s">
        <v>135</v>
      </c>
      <c r="Y23" s="162" t="s">
        <v>70</v>
      </c>
      <c r="Z23" s="377" t="s">
        <v>135</v>
      </c>
      <c r="AA23" s="370" t="s">
        <v>135</v>
      </c>
      <c r="AB23" s="370" t="s">
        <v>70</v>
      </c>
      <c r="AC23" s="370" t="s">
        <v>135</v>
      </c>
      <c r="AD23" s="162"/>
      <c r="AE23" s="162"/>
      <c r="AF23" s="162"/>
      <c r="AG23" s="378" t="s">
        <v>70</v>
      </c>
      <c r="AH23" s="378" t="s">
        <v>70</v>
      </c>
      <c r="AI23" s="378" t="s">
        <v>70</v>
      </c>
      <c r="AJ23" s="162"/>
      <c r="AK23" s="162"/>
      <c r="AL23" s="162"/>
      <c r="AM23" s="328"/>
      <c r="AN23" s="328"/>
    </row>
    <row r="24" spans="1:40" x14ac:dyDescent="0.2">
      <c r="A24" s="9"/>
      <c r="B24" s="9"/>
      <c r="C24" s="81" t="s">
        <v>71</v>
      </c>
      <c r="D24" s="83">
        <v>0</v>
      </c>
      <c r="E24" s="126">
        <f t="shared" si="13"/>
        <v>0</v>
      </c>
      <c r="F24" s="83">
        <v>0</v>
      </c>
      <c r="G24" s="126">
        <f t="shared" si="14"/>
        <v>0</v>
      </c>
      <c r="H24" s="83">
        <v>0</v>
      </c>
      <c r="I24" s="127">
        <f t="shared" si="15"/>
        <v>0</v>
      </c>
      <c r="J24" s="128" t="str">
        <f t="shared" si="0"/>
        <v/>
      </c>
      <c r="K24" s="128" t="str">
        <f t="shared" si="1"/>
        <v/>
      </c>
      <c r="L24" s="83">
        <v>0</v>
      </c>
      <c r="M24" s="126">
        <f t="shared" si="16"/>
        <v>0</v>
      </c>
      <c r="N24" s="83">
        <v>0</v>
      </c>
      <c r="O24" s="126">
        <f t="shared" si="17"/>
        <v>0</v>
      </c>
      <c r="P24" s="83">
        <v>0</v>
      </c>
      <c r="Q24" s="373">
        <f t="shared" si="18"/>
        <v>0</v>
      </c>
      <c r="R24" s="127" t="str">
        <f t="shared" si="2"/>
        <v/>
      </c>
      <c r="S24" s="128" t="str">
        <f t="shared" si="3"/>
        <v/>
      </c>
      <c r="T24" s="352">
        <v>1507.68</v>
      </c>
      <c r="U24" s="353">
        <v>1338</v>
      </c>
      <c r="V24" s="354">
        <v>455</v>
      </c>
      <c r="W24" s="162"/>
      <c r="X24" s="370"/>
      <c r="Y24" s="162"/>
      <c r="Z24" s="370"/>
      <c r="AA24" s="162"/>
      <c r="AB24" s="162"/>
      <c r="AC24" s="370"/>
      <c r="AD24" s="162"/>
      <c r="AE24" s="162"/>
      <c r="AF24" s="162"/>
      <c r="AJ24" s="162"/>
      <c r="AK24" s="162"/>
      <c r="AL24" s="162"/>
      <c r="AM24" s="328"/>
      <c r="AN24" s="328"/>
    </row>
    <row r="25" spans="1:40" x14ac:dyDescent="0.2">
      <c r="A25" s="9"/>
      <c r="B25" s="9"/>
      <c r="C25" s="112" t="s">
        <v>72</v>
      </c>
      <c r="D25" s="117">
        <f>SUM(D23:D24)</f>
        <v>6518.22</v>
      </c>
      <c r="E25" s="263">
        <f t="shared" si="13"/>
        <v>0.72922402576698497</v>
      </c>
      <c r="F25" s="117">
        <f>SUM(F23:F24)</f>
        <v>6074.93</v>
      </c>
      <c r="G25" s="263">
        <f t="shared" si="14"/>
        <v>0.75066139282347089</v>
      </c>
      <c r="H25" s="117">
        <f>SUM(H23:H24)</f>
        <v>5674.93</v>
      </c>
      <c r="I25" s="367">
        <f t="shared" si="15"/>
        <v>0.75260530636387024</v>
      </c>
      <c r="J25" s="374">
        <f t="shared" si="0"/>
        <v>0.87062572297344976</v>
      </c>
      <c r="K25" s="374">
        <f t="shared" si="1"/>
        <v>-6.5844380099852995E-2</v>
      </c>
      <c r="L25" s="117">
        <f>SUM(L23:L24)</f>
        <v>32268.1</v>
      </c>
      <c r="M25" s="263">
        <f t="shared" si="16"/>
        <v>0.70923811208907872</v>
      </c>
      <c r="N25" s="379">
        <f>SUM(N23:N24)</f>
        <v>30555.47</v>
      </c>
      <c r="O25" s="263">
        <f t="shared" si="17"/>
        <v>0.67286598182419965</v>
      </c>
      <c r="P25" s="375">
        <f>SUM(P23:P24)</f>
        <v>30129.78</v>
      </c>
      <c r="Q25" s="367">
        <f t="shared" si="18"/>
        <v>0.70860303993629337</v>
      </c>
      <c r="R25" s="367">
        <f t="shared" si="2"/>
        <v>0.93373269575834961</v>
      </c>
      <c r="S25" s="128">
        <f t="shared" si="3"/>
        <v>-1.3931711736065664E-2</v>
      </c>
      <c r="T25" s="352">
        <v>57039.56</v>
      </c>
      <c r="U25" s="353">
        <v>54235.59</v>
      </c>
      <c r="V25" s="354">
        <v>46344.11</v>
      </c>
      <c r="W25" s="175" t="s">
        <v>136</v>
      </c>
      <c r="X25" s="380" t="s">
        <v>137</v>
      </c>
      <c r="Y25" s="380"/>
      <c r="Z25" s="380" t="s">
        <v>138</v>
      </c>
      <c r="AA25" s="378"/>
      <c r="AB25" s="378"/>
      <c r="AC25" s="378"/>
      <c r="AD25" s="162"/>
      <c r="AE25" s="162"/>
      <c r="AF25" s="162"/>
      <c r="AJ25" s="162"/>
      <c r="AK25" s="162"/>
      <c r="AL25" s="162"/>
      <c r="AM25" s="328"/>
      <c r="AN25" s="328"/>
    </row>
    <row r="26" spans="1:40" ht="13.5" thickBot="1" x14ac:dyDescent="0.25">
      <c r="A26" s="9"/>
      <c r="B26" s="9"/>
      <c r="C26" s="112" t="s">
        <v>74</v>
      </c>
      <c r="D26" s="117">
        <f>D22+D25</f>
        <v>8538.33</v>
      </c>
      <c r="E26" s="263">
        <f t="shared" si="13"/>
        <v>0.95522326278140668</v>
      </c>
      <c r="F26" s="117">
        <f>F22+F25</f>
        <v>7905.99</v>
      </c>
      <c r="G26" s="263">
        <f t="shared" si="14"/>
        <v>0.97692013982851367</v>
      </c>
      <c r="H26" s="117">
        <f>H22+H25</f>
        <v>7332.14</v>
      </c>
      <c r="I26" s="367">
        <f t="shared" si="15"/>
        <v>0.97238335468504244</v>
      </c>
      <c r="J26" s="374">
        <f t="shared" si="0"/>
        <v>0.85873232821875012</v>
      </c>
      <c r="K26" s="374">
        <f t="shared" si="1"/>
        <v>-7.2584205140659108E-2</v>
      </c>
      <c r="L26" s="117">
        <f>L22+L25</f>
        <v>43703.649999999994</v>
      </c>
      <c r="M26" s="263">
        <f t="shared" si="16"/>
        <v>0.96058628234701948</v>
      </c>
      <c r="N26" s="117">
        <f>N22+N25</f>
        <v>40774.61</v>
      </c>
      <c r="O26" s="263">
        <f t="shared" si="17"/>
        <v>0.89790299383870797</v>
      </c>
      <c r="P26" s="381">
        <f>P22+P25</f>
        <v>40579.449999999997</v>
      </c>
      <c r="Q26" s="382">
        <f t="shared" si="18"/>
        <v>0.95436215030255189</v>
      </c>
      <c r="R26" s="382">
        <f t="shared" si="2"/>
        <v>0.92851397995361951</v>
      </c>
      <c r="S26" s="128">
        <f t="shared" si="3"/>
        <v>-4.7863118739824486E-3</v>
      </c>
      <c r="T26" s="352">
        <v>97630.98</v>
      </c>
      <c r="U26" s="353">
        <v>93662.099999999991</v>
      </c>
      <c r="V26" s="354">
        <v>77877.119999999995</v>
      </c>
      <c r="W26" s="162" t="s">
        <v>139</v>
      </c>
      <c r="X26" s="370">
        <f>+X22</f>
        <v>15480.780598822221</v>
      </c>
      <c r="Y26" s="162"/>
      <c r="Z26" s="370">
        <f>+Z22</f>
        <v>13230.710000000001</v>
      </c>
      <c r="AA26" s="383">
        <f>+Z26/X26</f>
        <v>0.85465393140489276</v>
      </c>
      <c r="AB26" s="162"/>
      <c r="AC26" s="162"/>
      <c r="AD26" s="162"/>
      <c r="AE26" s="162"/>
      <c r="AF26" s="162"/>
      <c r="AJ26" s="162"/>
      <c r="AK26" s="162"/>
      <c r="AL26" s="162"/>
      <c r="AM26" s="328"/>
      <c r="AN26" s="328"/>
    </row>
    <row r="27" spans="1:40" ht="13.5" thickBot="1" x14ac:dyDescent="0.25">
      <c r="A27" s="9"/>
      <c r="B27" s="9"/>
      <c r="C27" s="73" t="s">
        <v>75</v>
      </c>
      <c r="D27" s="74">
        <f>D19-D26</f>
        <v>314.30000000000109</v>
      </c>
      <c r="E27" s="77">
        <f t="shared" si="13"/>
        <v>3.5162223935148576E-2</v>
      </c>
      <c r="F27" s="74">
        <f>F19-F26</f>
        <v>186.77999999999975</v>
      </c>
      <c r="G27" s="77">
        <f t="shared" si="14"/>
        <v>2.3079860171486371E-2</v>
      </c>
      <c r="H27" s="74">
        <f>H19-H26</f>
        <v>208.23999999999978</v>
      </c>
      <c r="I27" s="145">
        <f t="shared" si="15"/>
        <v>2.7616645314957573E-2</v>
      </c>
      <c r="J27" s="146">
        <f t="shared" si="0"/>
        <v>0.66255170219535175</v>
      </c>
      <c r="K27" s="146">
        <f t="shared" si="1"/>
        <v>0.11489452832209052</v>
      </c>
      <c r="L27" s="74">
        <f>L19-L26</f>
        <v>1449.9000000000015</v>
      </c>
      <c r="M27" s="77">
        <f t="shared" si="16"/>
        <v>3.1868140321802532E-2</v>
      </c>
      <c r="N27" s="74">
        <f>N19-N26</f>
        <v>4595.760000000002</v>
      </c>
      <c r="O27" s="77">
        <f t="shared" si="17"/>
        <v>0.10120382912219596</v>
      </c>
      <c r="P27" s="368">
        <f>P19-P26</f>
        <v>1940.5200000000041</v>
      </c>
      <c r="Q27" s="369">
        <f t="shared" si="18"/>
        <v>4.5637849697448142E-2</v>
      </c>
      <c r="R27" s="369">
        <f t="shared" si="2"/>
        <v>1.3383819573763722</v>
      </c>
      <c r="S27" s="124">
        <f t="shared" si="3"/>
        <v>-0.57775862969345593</v>
      </c>
      <c r="T27" s="352">
        <v>25408.99000000002</v>
      </c>
      <c r="U27" s="353">
        <v>28078.800000000003</v>
      </c>
      <c r="V27" s="354">
        <v>26385.099999999991</v>
      </c>
      <c r="W27" s="163" t="s">
        <v>140</v>
      </c>
      <c r="X27" s="384">
        <f>+'VENEZUELA USD'!X22</f>
        <v>258.78313358411339</v>
      </c>
      <c r="Y27" s="163"/>
      <c r="Z27" s="384">
        <f>+'VENEZUELA USD'!Z22</f>
        <v>13.2760257195346</v>
      </c>
      <c r="AA27" s="163"/>
      <c r="AB27" s="163"/>
      <c r="AC27" s="163"/>
      <c r="AD27" s="163"/>
      <c r="AE27" s="163"/>
      <c r="AF27" s="163"/>
      <c r="AG27" s="163"/>
      <c r="AJ27" s="162"/>
      <c r="AK27" s="162"/>
      <c r="AL27" s="162"/>
      <c r="AM27" s="328"/>
      <c r="AN27" s="328"/>
    </row>
    <row r="28" spans="1:40" x14ac:dyDescent="0.2">
      <c r="A28" s="9"/>
      <c r="B28" s="9"/>
      <c r="C28" s="81" t="s">
        <v>76</v>
      </c>
      <c r="D28" s="83">
        <v>0.76</v>
      </c>
      <c r="E28" s="126">
        <f t="shared" si="13"/>
        <v>8.5024785843820644E-5</v>
      </c>
      <c r="F28" s="83">
        <v>0</v>
      </c>
      <c r="G28" s="126">
        <f t="shared" si="14"/>
        <v>0</v>
      </c>
      <c r="H28" s="83">
        <v>0</v>
      </c>
      <c r="I28" s="127">
        <f t="shared" si="15"/>
        <v>0</v>
      </c>
      <c r="J28" s="128">
        <f t="shared" si="0"/>
        <v>0</v>
      </c>
      <c r="K28" s="128" t="str">
        <f t="shared" si="1"/>
        <v/>
      </c>
      <c r="L28" s="83">
        <v>3.8</v>
      </c>
      <c r="M28" s="126">
        <f t="shared" si="16"/>
        <v>8.3522265827194625E-5</v>
      </c>
      <c r="N28" s="83">
        <v>815.72</v>
      </c>
      <c r="O28" s="126">
        <f t="shared" si="17"/>
        <v>1.796307629022352E-2</v>
      </c>
      <c r="P28" s="83">
        <v>0</v>
      </c>
      <c r="Q28" s="127">
        <f t="shared" si="18"/>
        <v>0</v>
      </c>
      <c r="R28" s="127">
        <f t="shared" si="2"/>
        <v>0</v>
      </c>
      <c r="S28" s="128">
        <f t="shared" si="3"/>
        <v>-1</v>
      </c>
      <c r="T28" s="352">
        <v>164</v>
      </c>
      <c r="U28" s="353">
        <v>96</v>
      </c>
      <c r="V28" s="354">
        <v>640.95000000000005</v>
      </c>
      <c r="W28" s="163" t="s">
        <v>141</v>
      </c>
      <c r="X28" s="384">
        <f>+'PANAMA USD'!X22</f>
        <v>0</v>
      </c>
      <c r="Y28" s="163"/>
      <c r="Z28" s="384">
        <f>+'PANAMA USD'!Z22</f>
        <v>0</v>
      </c>
      <c r="AA28" s="163"/>
      <c r="AB28" s="163"/>
      <c r="AC28" s="163"/>
      <c r="AD28" s="163"/>
      <c r="AE28" s="163"/>
      <c r="AF28" s="163"/>
      <c r="AG28" s="163"/>
      <c r="AJ28" s="162"/>
      <c r="AK28" s="162"/>
      <c r="AL28" s="162"/>
      <c r="AM28" s="328"/>
      <c r="AN28" s="328"/>
    </row>
    <row r="29" spans="1:40" ht="13.5" thickBot="1" x14ac:dyDescent="0.25">
      <c r="A29" s="9"/>
      <c r="B29" s="9"/>
      <c r="C29" s="81" t="s">
        <v>77</v>
      </c>
      <c r="D29" s="83">
        <v>63.02</v>
      </c>
      <c r="E29" s="126">
        <f t="shared" si="13"/>
        <v>7.0503447419441806E-3</v>
      </c>
      <c r="F29" s="83">
        <v>8.59</v>
      </c>
      <c r="G29" s="126">
        <f t="shared" si="14"/>
        <v>1.0614412617682204E-3</v>
      </c>
      <c r="H29" s="83">
        <v>3.01</v>
      </c>
      <c r="I29" s="127">
        <f t="shared" si="15"/>
        <v>3.9918412599895494E-4</v>
      </c>
      <c r="J29" s="128">
        <f t="shared" si="0"/>
        <v>4.7762615042843515E-2</v>
      </c>
      <c r="K29" s="128">
        <f t="shared" si="1"/>
        <v>-0.64959254947613509</v>
      </c>
      <c r="L29" s="83">
        <v>315.10000000000002</v>
      </c>
      <c r="M29" s="126">
        <f t="shared" si="16"/>
        <v>6.9257542005655348E-3</v>
      </c>
      <c r="N29" s="83">
        <v>52.6</v>
      </c>
      <c r="O29" s="126">
        <f t="shared" si="17"/>
        <v>1.1583114461650532E-3</v>
      </c>
      <c r="P29" s="83">
        <v>82.07</v>
      </c>
      <c r="Q29" s="127">
        <f t="shared" si="18"/>
        <v>1.9301518792228685E-3</v>
      </c>
      <c r="R29" s="127">
        <f t="shared" si="2"/>
        <v>0.26045699777848297</v>
      </c>
      <c r="S29" s="128">
        <f t="shared" si="3"/>
        <v>0.56026615969581728</v>
      </c>
      <c r="T29" s="352">
        <v>805.6</v>
      </c>
      <c r="U29" s="353">
        <v>5503.56</v>
      </c>
      <c r="V29" s="354">
        <v>284.18</v>
      </c>
      <c r="W29" s="176" t="s">
        <v>142</v>
      </c>
      <c r="X29" s="385">
        <f>SUM(X26:X28)</f>
        <v>15739.563732406334</v>
      </c>
      <c r="Y29" s="176"/>
      <c r="Z29" s="385">
        <f>SUM(Z26:Z28)</f>
        <v>13243.986025719536</v>
      </c>
      <c r="AA29" s="163" t="s">
        <v>143</v>
      </c>
      <c r="AB29" s="163"/>
      <c r="AC29" s="163"/>
      <c r="AD29" s="163"/>
      <c r="AE29" s="163"/>
      <c r="AF29" s="163"/>
      <c r="AG29" s="163"/>
      <c r="AJ29" s="162"/>
      <c r="AK29" s="162"/>
      <c r="AL29" s="162"/>
      <c r="AM29" s="328"/>
      <c r="AN29" s="328"/>
    </row>
    <row r="30" spans="1:40" ht="13.5" thickBot="1" x14ac:dyDescent="0.25">
      <c r="A30" s="9"/>
      <c r="B30" s="9"/>
      <c r="C30" s="73" t="s">
        <v>78</v>
      </c>
      <c r="D30" s="74">
        <f>D27+D28-D29</f>
        <v>252.04000000000107</v>
      </c>
      <c r="E30" s="77">
        <f t="shared" si="13"/>
        <v>2.8196903979048216E-2</v>
      </c>
      <c r="F30" s="74">
        <f>F27+F28-F29</f>
        <v>178.18999999999974</v>
      </c>
      <c r="G30" s="77">
        <f t="shared" si="14"/>
        <v>2.2018418909718149E-2</v>
      </c>
      <c r="H30" s="74">
        <f>H27+H28-H29</f>
        <v>205.22999999999979</v>
      </c>
      <c r="I30" s="145">
        <f t="shared" si="15"/>
        <v>2.7217461188958618E-2</v>
      </c>
      <c r="J30" s="146">
        <f t="shared" si="0"/>
        <v>0.81427551182351576</v>
      </c>
      <c r="K30" s="146">
        <f t="shared" si="1"/>
        <v>0.15174813401425494</v>
      </c>
      <c r="L30" s="74">
        <f>L27+L28-L29</f>
        <v>1138.6000000000013</v>
      </c>
      <c r="M30" s="77">
        <f t="shared" si="16"/>
        <v>2.5025908387064189E-2</v>
      </c>
      <c r="N30" s="74">
        <f>N27+N28-N29</f>
        <v>5358.8800000000019</v>
      </c>
      <c r="O30" s="77">
        <f t="shared" si="17"/>
        <v>0.11800859396625442</v>
      </c>
      <c r="P30" s="74">
        <f>P27+P28-P29</f>
        <v>1858.4500000000041</v>
      </c>
      <c r="Q30" s="145">
        <f t="shared" si="18"/>
        <v>4.3707697818225276E-2</v>
      </c>
      <c r="R30" s="145">
        <f t="shared" si="2"/>
        <v>1.6322237835938891</v>
      </c>
      <c r="S30" s="146">
        <f t="shared" si="3"/>
        <v>-0.65320178843340326</v>
      </c>
      <c r="T30" s="352">
        <v>24767.390000000021</v>
      </c>
      <c r="U30" s="311">
        <v>22671.24</v>
      </c>
      <c r="V30" s="311">
        <v>26741.869999999992</v>
      </c>
      <c r="W30" s="163" t="s">
        <v>144</v>
      </c>
      <c r="X30" s="384">
        <f>+X29-X27</f>
        <v>15480.780598822221</v>
      </c>
      <c r="Y30" s="163"/>
      <c r="Z30" s="384">
        <f>+Z29-Z27</f>
        <v>13230.710000000001</v>
      </c>
      <c r="AA30" s="386">
        <f>+Z30/X30</f>
        <v>0.85465393140489276</v>
      </c>
      <c r="AB30" s="163"/>
      <c r="AC30" s="163"/>
      <c r="AD30" s="163"/>
      <c r="AE30" s="163"/>
      <c r="AF30" s="163"/>
      <c r="AG30" s="163"/>
      <c r="AJ30" s="162"/>
      <c r="AK30" s="162"/>
      <c r="AL30" s="162"/>
      <c r="AM30" s="328"/>
      <c r="AN30" s="328"/>
    </row>
    <row r="31" spans="1:40" ht="13.5" thickBot="1" x14ac:dyDescent="0.25">
      <c r="A31" s="9"/>
      <c r="B31" s="151" t="s">
        <v>145</v>
      </c>
      <c r="C31" s="81" t="s">
        <v>62</v>
      </c>
      <c r="D31" s="83">
        <v>105.6</v>
      </c>
      <c r="E31" s="126">
        <f t="shared" si="13"/>
        <v>1.1813970243562446E-2</v>
      </c>
      <c r="F31" s="83">
        <v>44.55</v>
      </c>
      <c r="G31" s="126">
        <f t="shared" si="14"/>
        <v>5.504913645142516E-3</v>
      </c>
      <c r="H31" s="83">
        <v>50.31</v>
      </c>
      <c r="I31" s="127">
        <f t="shared" si="15"/>
        <v>6.6720775345539621E-3</v>
      </c>
      <c r="J31" s="128">
        <f t="shared" si="0"/>
        <v>0.47642045454545456</v>
      </c>
      <c r="K31" s="128">
        <f t="shared" si="1"/>
        <v>0.1292929292929294</v>
      </c>
      <c r="L31" s="83">
        <v>131.31</v>
      </c>
      <c r="M31" s="126">
        <f t="shared" si="16"/>
        <v>2.8861338752023493E-3</v>
      </c>
      <c r="N31" s="83">
        <v>1340.42</v>
      </c>
      <c r="O31" s="126">
        <f t="shared" si="17"/>
        <v>2.9517563282672257E-2</v>
      </c>
      <c r="P31" s="83">
        <v>478.13</v>
      </c>
      <c r="Q31" s="373">
        <f t="shared" si="18"/>
        <v>1.1244833898048376E-2</v>
      </c>
      <c r="R31" s="127">
        <f t="shared" si="2"/>
        <v>3.6412306755007235</v>
      </c>
      <c r="S31" s="128">
        <f t="shared" si="3"/>
        <v>-0.64329836916787275</v>
      </c>
      <c r="T31" s="352">
        <v>7430.21</v>
      </c>
      <c r="U31" s="311">
        <v>5823.17</v>
      </c>
      <c r="V31" s="311">
        <v>7527.85</v>
      </c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J31" s="162"/>
      <c r="AK31" s="162"/>
      <c r="AL31" s="162"/>
      <c r="AM31" s="328"/>
      <c r="AN31" s="328"/>
    </row>
    <row r="32" spans="1:40" ht="13.5" thickBot="1" x14ac:dyDescent="0.25">
      <c r="A32" s="9"/>
      <c r="B32" s="9"/>
      <c r="C32" s="73" t="s">
        <v>79</v>
      </c>
      <c r="D32" s="141">
        <f>D30-D31</f>
        <v>146.44000000000108</v>
      </c>
      <c r="E32" s="142">
        <f t="shared" si="13"/>
        <v>1.6382933735485772E-2</v>
      </c>
      <c r="F32" s="141">
        <f>F30-F31</f>
        <v>133.63999999999976</v>
      </c>
      <c r="G32" s="142">
        <f t="shared" si="14"/>
        <v>1.6513505264575637E-2</v>
      </c>
      <c r="H32" s="141">
        <f>H30-H31</f>
        <v>154.91999999999979</v>
      </c>
      <c r="I32" s="143">
        <f t="shared" si="15"/>
        <v>2.0545383654404656E-2</v>
      </c>
      <c r="J32" s="144">
        <f t="shared" si="0"/>
        <v>1.0579076754984884</v>
      </c>
      <c r="K32" s="144">
        <f t="shared" si="1"/>
        <v>0.15923376234660333</v>
      </c>
      <c r="L32" s="141">
        <f>L30-L31</f>
        <v>1007.2900000000013</v>
      </c>
      <c r="M32" s="142">
        <f t="shared" si="16"/>
        <v>2.2139774511861839E-2</v>
      </c>
      <c r="N32" s="141">
        <f>N30-N31</f>
        <v>4018.4600000000019</v>
      </c>
      <c r="O32" s="142">
        <f t="shared" si="17"/>
        <v>8.8491030683582161E-2</v>
      </c>
      <c r="P32" s="141">
        <f>P30-P31</f>
        <v>1380.3200000000043</v>
      </c>
      <c r="Q32" s="143">
        <f t="shared" si="18"/>
        <v>3.2462863920176901E-2</v>
      </c>
      <c r="R32" s="143">
        <f t="shared" si="2"/>
        <v>1.3703302921700824</v>
      </c>
      <c r="S32" s="144">
        <f t="shared" si="3"/>
        <v>-0.65650522837106662</v>
      </c>
      <c r="T32" s="352">
        <v>17337.180000000022</v>
      </c>
      <c r="U32" s="311">
        <v>16848.07</v>
      </c>
      <c r="V32" s="311">
        <v>19214.01999999999</v>
      </c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J32" s="162"/>
      <c r="AK32" s="162"/>
      <c r="AL32" s="162"/>
      <c r="AM32" s="328"/>
      <c r="AN32" s="328"/>
    </row>
    <row r="33" spans="1:40" ht="13.5" thickBot="1" x14ac:dyDescent="0.25">
      <c r="A33" s="9"/>
      <c r="B33" s="151" t="s">
        <v>146</v>
      </c>
      <c r="C33" s="73" t="s">
        <v>81</v>
      </c>
      <c r="D33" s="141">
        <v>773.08000000000106</v>
      </c>
      <c r="E33" s="142">
        <f t="shared" si="13"/>
        <v>8.6488107158080196E-2</v>
      </c>
      <c r="F33" s="141">
        <v>583.06999999999971</v>
      </c>
      <c r="G33" s="142">
        <f t="shared" si="14"/>
        <v>7.204826036079115E-2</v>
      </c>
      <c r="H33" s="141">
        <v>559.27999999999975</v>
      </c>
      <c r="I33" s="143">
        <f t="shared" si="15"/>
        <v>7.417132823544699E-2</v>
      </c>
      <c r="J33" s="144">
        <f t="shared" si="0"/>
        <v>0.72344388679049909</v>
      </c>
      <c r="K33" s="144">
        <f t="shared" si="1"/>
        <v>-4.0801276004596321E-2</v>
      </c>
      <c r="L33" s="66">
        <v>3743.8000000000015</v>
      </c>
      <c r="M33" s="142">
        <f t="shared" si="16"/>
        <v>8.2287015474697731E-2</v>
      </c>
      <c r="N33" s="141">
        <v>6814.3800000000019</v>
      </c>
      <c r="O33" s="142">
        <f t="shared" si="17"/>
        <v>0.15006034890719044</v>
      </c>
      <c r="P33" s="141">
        <v>3679.310000000004</v>
      </c>
      <c r="Q33" s="143">
        <f t="shared" si="18"/>
        <v>8.6531340450146224E-2</v>
      </c>
      <c r="R33" s="143">
        <f t="shared" si="2"/>
        <v>0.98277418665527072</v>
      </c>
      <c r="S33" s="144">
        <f t="shared" si="3"/>
        <v>-0.46006679991429844</v>
      </c>
      <c r="T33" s="352">
        <v>32358.630000000019</v>
      </c>
      <c r="U33" s="311">
        <v>37688.950000000004</v>
      </c>
      <c r="V33" s="311">
        <v>31910.549999999992</v>
      </c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J33" s="162"/>
      <c r="AK33" s="162"/>
      <c r="AL33" s="162"/>
      <c r="AM33" s="328"/>
      <c r="AN33" s="328"/>
    </row>
    <row r="34" spans="1:40" ht="13.5" thickBot="1" x14ac:dyDescent="0.25">
      <c r="A34" s="9"/>
      <c r="B34" s="9"/>
      <c r="C34" s="387" t="s">
        <v>45</v>
      </c>
      <c r="D34" s="388">
        <v>6346.89</v>
      </c>
      <c r="E34" s="389">
        <f t="shared" si="13"/>
        <v>0.71005653029511429</v>
      </c>
      <c r="F34" s="388">
        <v>5859.84</v>
      </c>
      <c r="G34" s="389">
        <f t="shared" si="14"/>
        <v>0.72408334847030131</v>
      </c>
      <c r="H34" s="388">
        <v>5420.95</v>
      </c>
      <c r="I34" s="390">
        <f t="shared" si="15"/>
        <v>0.71892265376546005</v>
      </c>
      <c r="J34" s="391">
        <f t="shared" si="0"/>
        <v>0.85411122612807211</v>
      </c>
      <c r="K34" s="391">
        <f t="shared" si="1"/>
        <v>-7.4897949432066457E-2</v>
      </c>
      <c r="L34" s="117">
        <v>30534.45</v>
      </c>
      <c r="M34" s="389">
        <f t="shared" si="16"/>
        <v>0.67113327625978503</v>
      </c>
      <c r="N34" s="388">
        <v>28859.7</v>
      </c>
      <c r="O34" s="389">
        <f t="shared" si="17"/>
        <v>0.63552320994086664</v>
      </c>
      <c r="P34" s="388">
        <v>28421.77</v>
      </c>
      <c r="Q34" s="392">
        <f t="shared" si="18"/>
        <v>0.66843344433215734</v>
      </c>
      <c r="R34" s="390">
        <f t="shared" si="2"/>
        <v>0.93080995400277389</v>
      </c>
      <c r="S34" s="391">
        <f t="shared" si="3"/>
        <v>-1.5174447412828279E-2</v>
      </c>
      <c r="T34" s="361">
        <v>49825.919999999998</v>
      </c>
      <c r="U34" s="311">
        <v>50822.77</v>
      </c>
      <c r="V34" s="311">
        <v>43201.47</v>
      </c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J34" s="162"/>
      <c r="AK34" s="162"/>
      <c r="AL34" s="162"/>
      <c r="AM34" s="328"/>
      <c r="AN34" s="328"/>
    </row>
    <row r="35" spans="1:40" s="162" customFormat="1" x14ac:dyDescent="0.2">
      <c r="A35" s="163"/>
      <c r="B35" s="9"/>
      <c r="C35" s="393"/>
      <c r="D35" s="163"/>
      <c r="E35" s="163"/>
      <c r="F35" s="163" t="s">
        <v>70</v>
      </c>
      <c r="G35" s="163"/>
      <c r="H35" s="163" t="s">
        <v>70</v>
      </c>
      <c r="I35" s="163"/>
      <c r="J35" s="163"/>
      <c r="K35" s="163"/>
      <c r="L35" s="163"/>
      <c r="M35" s="163"/>
      <c r="N35" s="163" t="s">
        <v>70</v>
      </c>
      <c r="O35" s="163"/>
      <c r="P35" s="163" t="s">
        <v>70</v>
      </c>
      <c r="Q35" s="163"/>
      <c r="R35" s="163"/>
      <c r="S35" s="163"/>
      <c r="AM35" s="35"/>
      <c r="AN35" s="35"/>
    </row>
    <row r="36" spans="1:40" s="162" customFormat="1" x14ac:dyDescent="0.2">
      <c r="A36" s="163"/>
      <c r="B36" s="163"/>
      <c r="F36" s="370"/>
      <c r="AM36" s="35"/>
      <c r="AN36" s="35"/>
    </row>
    <row r="37" spans="1:40" s="162" customFormat="1" x14ac:dyDescent="0.2">
      <c r="C37" s="175" t="s">
        <v>147</v>
      </c>
      <c r="D37" s="370" t="s">
        <v>148</v>
      </c>
      <c r="H37" s="370" t="s">
        <v>149</v>
      </c>
      <c r="L37" s="370" t="s">
        <v>150</v>
      </c>
      <c r="P37" s="370" t="s">
        <v>151</v>
      </c>
      <c r="AM37" s="35"/>
      <c r="AN37" s="35"/>
    </row>
    <row r="38" spans="1:40" s="162" customFormat="1" x14ac:dyDescent="0.2">
      <c r="C38" s="162" t="s">
        <v>152</v>
      </c>
      <c r="D38" s="370">
        <f>+D27</f>
        <v>314.30000000000109</v>
      </c>
      <c r="H38" s="370">
        <f>+H27</f>
        <v>208.23999999999978</v>
      </c>
      <c r="L38" s="370">
        <f>+L27</f>
        <v>1449.9000000000015</v>
      </c>
      <c r="P38" s="370">
        <f>+P27</f>
        <v>1940.5200000000041</v>
      </c>
      <c r="AM38" s="35"/>
      <c r="AN38" s="35"/>
    </row>
    <row r="39" spans="1:40" s="162" customFormat="1" x14ac:dyDescent="0.2">
      <c r="C39" s="162" t="s">
        <v>140</v>
      </c>
      <c r="D39" s="370">
        <f>+'VENEZUELA USD'!D27</f>
        <v>0</v>
      </c>
      <c r="H39" s="370">
        <f>+'VENEZUELA USD'!H27</f>
        <v>-0.50303997900446262</v>
      </c>
      <c r="L39" s="370">
        <f>+'VENEZUELA USD'!L27</f>
        <v>0</v>
      </c>
      <c r="P39" s="370">
        <f>+'VENEZUELA USD'!P27</f>
        <v>-0.78900577377307002</v>
      </c>
      <c r="AM39" s="35"/>
      <c r="AN39" s="35"/>
    </row>
    <row r="40" spans="1:40" s="162" customFormat="1" x14ac:dyDescent="0.2">
      <c r="C40" s="162" t="s">
        <v>141</v>
      </c>
      <c r="D40" s="370">
        <f>+'PANAMA USD'!D27</f>
        <v>0</v>
      </c>
      <c r="H40" s="370">
        <f>+'PANAMA USD'!H27</f>
        <v>0</v>
      </c>
      <c r="L40" s="370">
        <f>+'PANAMA USD'!L27</f>
        <v>-3795</v>
      </c>
      <c r="P40" s="370">
        <f>+'PANAMA USD'!P27</f>
        <v>-3795</v>
      </c>
      <c r="AM40" s="35"/>
      <c r="AN40" s="35"/>
    </row>
    <row r="41" spans="1:40" s="162" customFormat="1" x14ac:dyDescent="0.2">
      <c r="C41" s="175" t="s">
        <v>153</v>
      </c>
      <c r="D41" s="394">
        <f>SUM(D38:D40)</f>
        <v>314.30000000000109</v>
      </c>
      <c r="E41" s="175"/>
      <c r="F41" s="175"/>
      <c r="G41" s="175"/>
      <c r="H41" s="394">
        <f>SUM(H38:H40)</f>
        <v>207.73696002099533</v>
      </c>
      <c r="L41" s="370">
        <f>SUM(L38:L40)</f>
        <v>-2345.0999999999985</v>
      </c>
      <c r="P41" s="370">
        <f>SUM(P38:P40)</f>
        <v>-1855.2690057737691</v>
      </c>
      <c r="U41" s="328"/>
      <c r="V41" s="328"/>
      <c r="AA41" s="163"/>
      <c r="AC41" s="163"/>
      <c r="AM41" s="35"/>
      <c r="AN41" s="35"/>
    </row>
    <row r="42" spans="1:40" s="162" customFormat="1" x14ac:dyDescent="0.2">
      <c r="C42" s="162" t="s">
        <v>154</v>
      </c>
      <c r="D42" s="370">
        <f>+D41-D39</f>
        <v>314.30000000000109</v>
      </c>
      <c r="H42" s="370">
        <f>+H41-H39</f>
        <v>208.23999999999978</v>
      </c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  <c r="AH42" s="328"/>
      <c r="AJ42" s="35"/>
      <c r="AK42" s="35"/>
      <c r="AL42" s="35"/>
      <c r="AM42" s="35"/>
      <c r="AN42" s="35"/>
    </row>
    <row r="43" spans="1:40" s="162" customFormat="1" x14ac:dyDescent="0.2">
      <c r="C43" s="175" t="s">
        <v>155</v>
      </c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  <c r="AH43" s="328"/>
      <c r="AJ43" s="35"/>
      <c r="AK43" s="35"/>
      <c r="AL43" s="35"/>
      <c r="AM43" s="35"/>
      <c r="AN43" s="35"/>
    </row>
    <row r="44" spans="1:40" s="162" customFormat="1" x14ac:dyDescent="0.2">
      <c r="C44" s="162" t="s">
        <v>156</v>
      </c>
      <c r="D44" s="370">
        <f>+D32</f>
        <v>146.44000000000108</v>
      </c>
      <c r="H44" s="370">
        <f>+H32</f>
        <v>154.91999999999979</v>
      </c>
      <c r="I44" s="162">
        <f>+H44/D44</f>
        <v>1.0579076754984884</v>
      </c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J44" s="35"/>
      <c r="AK44" s="35"/>
      <c r="AL44" s="35"/>
      <c r="AM44" s="35"/>
      <c r="AN44" s="35"/>
    </row>
    <row r="45" spans="1:40" s="162" customFormat="1" x14ac:dyDescent="0.2">
      <c r="C45" s="162" t="s">
        <v>157</v>
      </c>
      <c r="D45" s="370">
        <f>+'VENEZUELA USD'!D32</f>
        <v>0</v>
      </c>
      <c r="H45" s="370">
        <f>+'VENEZUELA USD'!H32</f>
        <v>-0.81469250284314687</v>
      </c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J45" s="35"/>
      <c r="AK45" s="35"/>
      <c r="AL45" s="35"/>
      <c r="AM45" s="35"/>
      <c r="AN45" s="35"/>
    </row>
    <row r="46" spans="1:40" x14ac:dyDescent="0.2">
      <c r="B46" s="162"/>
      <c r="C46" s="162" t="s">
        <v>158</v>
      </c>
      <c r="D46" s="370">
        <f>+'PANAMA USD'!D32</f>
        <v>0</v>
      </c>
      <c r="E46" s="162"/>
      <c r="F46" s="162"/>
      <c r="G46" s="162"/>
      <c r="H46" s="370">
        <f>+'PANAMA USD'!H32</f>
        <v>0</v>
      </c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</row>
    <row r="47" spans="1:40" x14ac:dyDescent="0.2">
      <c r="B47" s="162"/>
      <c r="C47" s="175" t="s">
        <v>159</v>
      </c>
      <c r="D47" s="394">
        <f>SUM(D44:D46)</f>
        <v>146.44000000000108</v>
      </c>
      <c r="E47" s="175"/>
      <c r="F47" s="175"/>
      <c r="G47" s="175"/>
      <c r="H47" s="394">
        <f>SUM(H44:H46)</f>
        <v>154.10530749715664</v>
      </c>
      <c r="I47" s="162" t="s">
        <v>160</v>
      </c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U47" s="395"/>
      <c r="V47" s="395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</row>
    <row r="48" spans="1:40" x14ac:dyDescent="0.2">
      <c r="B48" s="162"/>
      <c r="C48" s="162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U48" s="395"/>
      <c r="V48" s="395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</row>
    <row r="49" spans="2:35" x14ac:dyDescent="0.2">
      <c r="B49" s="162"/>
      <c r="C49" s="175" t="s">
        <v>161</v>
      </c>
      <c r="D49" s="394">
        <f>+D47-D45</f>
        <v>146.44000000000108</v>
      </c>
      <c r="E49" s="175"/>
      <c r="F49" s="175"/>
      <c r="G49" s="175"/>
      <c r="H49" s="394">
        <f>+H47-H45</f>
        <v>154.91999999999979</v>
      </c>
      <c r="I49" s="162" t="s">
        <v>162</v>
      </c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U49" s="395"/>
      <c r="V49" s="395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  <c r="AH49" s="328"/>
    </row>
    <row r="50" spans="2:35" x14ac:dyDescent="0.2">
      <c r="B50" s="162"/>
      <c r="C50" s="162"/>
      <c r="D50" s="162"/>
      <c r="E50" s="162"/>
      <c r="F50" s="162"/>
      <c r="G50" s="162"/>
      <c r="H50" s="383">
        <f>+H49/D49</f>
        <v>1.0579076754984884</v>
      </c>
      <c r="I50" s="162"/>
      <c r="J50" s="162">
        <f>+H49/D49</f>
        <v>1.0579076754984884</v>
      </c>
      <c r="K50" s="162"/>
      <c r="L50" s="162"/>
      <c r="M50" s="162"/>
      <c r="N50" s="162"/>
      <c r="O50" s="162"/>
      <c r="P50" s="162"/>
      <c r="Q50" s="162"/>
      <c r="R50" s="162"/>
      <c r="S50" s="162"/>
      <c r="U50" s="395"/>
      <c r="V50" s="395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</row>
    <row r="51" spans="2:35" x14ac:dyDescent="0.2">
      <c r="B51" s="162"/>
      <c r="C51" s="162"/>
      <c r="D51" s="370"/>
      <c r="E51" s="162"/>
      <c r="F51" s="162"/>
      <c r="G51" s="162"/>
      <c r="H51" s="370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U51" s="395"/>
      <c r="V51" s="395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</row>
    <row r="52" spans="2:35" x14ac:dyDescent="0.2">
      <c r="B52" s="162"/>
      <c r="C52" s="162"/>
      <c r="D52" s="162"/>
      <c r="E52" s="162"/>
      <c r="F52" s="162"/>
      <c r="G52" s="162"/>
      <c r="H52" s="162"/>
      <c r="I52" s="162"/>
      <c r="J52" s="162"/>
      <c r="K52" s="162"/>
      <c r="L52" s="162"/>
      <c r="M52" s="162"/>
      <c r="N52" s="162"/>
      <c r="O52" s="162"/>
      <c r="P52" s="162"/>
      <c r="Q52" s="162"/>
      <c r="R52" s="162"/>
      <c r="S52" s="162"/>
      <c r="U52" s="395"/>
      <c r="V52" s="395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</row>
    <row r="53" spans="2:35" x14ac:dyDescent="0.2">
      <c r="B53" s="162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95"/>
      <c r="U53" s="395"/>
      <c r="V53" s="395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5"/>
    </row>
    <row r="54" spans="2:35" x14ac:dyDescent="0.2">
      <c r="B54" s="162"/>
      <c r="C54" s="328"/>
      <c r="D54" s="328"/>
      <c r="E54" s="328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95"/>
      <c r="U54" s="395"/>
      <c r="V54" s="395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5"/>
    </row>
    <row r="55" spans="2:35" x14ac:dyDescent="0.2">
      <c r="B55" s="162"/>
      <c r="C55" s="328"/>
      <c r="D55" s="328"/>
      <c r="E55" s="328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95"/>
      <c r="U55" s="395"/>
      <c r="V55" s="395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5"/>
    </row>
    <row r="56" spans="2:35" x14ac:dyDescent="0.2">
      <c r="B56" s="162"/>
      <c r="C56" s="328"/>
      <c r="D56" s="328"/>
      <c r="E56" s="328"/>
      <c r="F56" s="328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95"/>
      <c r="U56" s="395"/>
      <c r="V56" s="395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</row>
    <row r="57" spans="2:35" x14ac:dyDescent="0.2">
      <c r="B57" s="162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95"/>
      <c r="U57" s="395"/>
      <c r="V57" s="395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</row>
    <row r="58" spans="2:35" x14ac:dyDescent="0.2"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95"/>
      <c r="U58" s="395"/>
      <c r="V58" s="395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</row>
    <row r="59" spans="2:35" x14ac:dyDescent="0.2">
      <c r="C59" s="328"/>
      <c r="D59" s="328"/>
      <c r="E59" s="328"/>
      <c r="F59" s="328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95"/>
      <c r="U59" s="395"/>
      <c r="V59" s="395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</row>
    <row r="60" spans="2:35" x14ac:dyDescent="0.2"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95"/>
      <c r="U60" s="395"/>
      <c r="V60" s="395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  <c r="AG60" s="328"/>
      <c r="AH60" s="328"/>
    </row>
    <row r="61" spans="2:35" x14ac:dyDescent="0.2">
      <c r="C61" s="328"/>
      <c r="D61" s="328"/>
      <c r="E61" s="328"/>
      <c r="F61" s="328"/>
      <c r="G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95"/>
      <c r="U61" s="395"/>
      <c r="V61" s="395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</row>
    <row r="62" spans="2:35" x14ac:dyDescent="0.2"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95"/>
      <c r="U62" s="395"/>
      <c r="V62" s="395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</row>
    <row r="63" spans="2:35" x14ac:dyDescent="0.2"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95"/>
      <c r="U63" s="395"/>
      <c r="V63" s="395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</row>
    <row r="64" spans="2:35" x14ac:dyDescent="0.2">
      <c r="N64" s="35"/>
      <c r="T64" s="396"/>
      <c r="U64" s="396"/>
      <c r="V64" s="396"/>
    </row>
    <row r="65" spans="14:22" x14ac:dyDescent="0.2">
      <c r="N65" s="35"/>
      <c r="T65" s="396"/>
      <c r="U65" s="396"/>
      <c r="V65" s="396"/>
    </row>
    <row r="66" spans="14:22" x14ac:dyDescent="0.2">
      <c r="N66" s="35"/>
      <c r="T66" s="396"/>
      <c r="U66" s="396"/>
      <c r="V66" s="396"/>
    </row>
    <row r="67" spans="14:22" x14ac:dyDescent="0.2">
      <c r="N67" s="35"/>
      <c r="T67" s="396"/>
      <c r="U67" s="396"/>
      <c r="V67" s="396"/>
    </row>
    <row r="68" spans="14:22" x14ac:dyDescent="0.2">
      <c r="N68" s="35"/>
      <c r="T68" s="396"/>
      <c r="U68" s="396"/>
      <c r="V68" s="396"/>
    </row>
    <row r="69" spans="14:22" x14ac:dyDescent="0.2">
      <c r="N69" s="35"/>
      <c r="T69" s="396"/>
      <c r="U69" s="396"/>
      <c r="V69" s="396"/>
    </row>
    <row r="70" spans="14:22" x14ac:dyDescent="0.2">
      <c r="N70" s="35"/>
      <c r="T70" s="396"/>
      <c r="U70" s="396"/>
      <c r="V70" s="396"/>
    </row>
    <row r="71" spans="14:22" x14ac:dyDescent="0.2">
      <c r="N71" s="35"/>
      <c r="T71" s="396"/>
      <c r="U71" s="396"/>
      <c r="V71" s="396"/>
    </row>
    <row r="72" spans="14:22" x14ac:dyDescent="0.2">
      <c r="N72" s="35"/>
      <c r="T72" s="396"/>
      <c r="U72" s="396"/>
      <c r="V72" s="396"/>
    </row>
    <row r="73" spans="14:22" x14ac:dyDescent="0.2">
      <c r="N73" s="35"/>
      <c r="T73" s="396"/>
      <c r="U73" s="396"/>
      <c r="V73" s="396"/>
    </row>
  </sheetData>
  <mergeCells count="14">
    <mergeCell ref="AA6:AC6"/>
    <mergeCell ref="AG4:AI4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FD5AC-B57B-4126-B65C-C2869CDF57E9}">
  <dimension ref="A1:AM53"/>
  <sheetViews>
    <sheetView topLeftCell="C4" zoomScale="82" zoomScaleNormal="82" workbookViewId="0">
      <pane xSplit="1" ySplit="3" topLeftCell="D7" activePane="bottomRight" state="frozen"/>
      <selection activeCell="C4" sqref="C4"/>
      <selection pane="topRight" activeCell="D4" sqref="D4"/>
      <selection pane="bottomLeft" activeCell="C7" sqref="C7"/>
      <selection pane="bottomRight" activeCell="T4" sqref="T4:V6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5.28515625" style="10" bestFit="1" customWidth="1"/>
    <col min="5" max="5" width="6.140625" style="10" customWidth="1"/>
    <col min="6" max="6" width="14.7109375" style="20" customWidth="1"/>
    <col min="7" max="7" width="7.7109375" style="10" customWidth="1"/>
    <col min="8" max="8" width="15.42578125" style="10" customWidth="1"/>
    <col min="9" max="9" width="7" style="10" customWidth="1"/>
    <col min="10" max="10" width="11.140625" style="10" customWidth="1"/>
    <col min="11" max="11" width="8.140625" style="10" customWidth="1"/>
    <col min="12" max="12" width="18.42578125" style="12" customWidth="1"/>
    <col min="13" max="13" width="6.5703125" style="10" customWidth="1"/>
    <col min="14" max="14" width="13.7109375" style="401" customWidth="1"/>
    <col min="15" max="15" width="9.28515625" style="10" customWidth="1"/>
    <col min="16" max="16" width="15.85546875" style="10" customWidth="1"/>
    <col min="17" max="17" width="5.7109375" style="10" customWidth="1"/>
    <col min="18" max="18" width="10.140625" style="10" customWidth="1"/>
    <col min="19" max="19" width="8.85546875" style="10" customWidth="1"/>
    <col min="20" max="20" width="14.140625" style="399" customWidth="1"/>
    <col min="21" max="21" width="13.140625" style="138" customWidth="1"/>
    <col min="22" max="22" width="14.85546875" style="138" customWidth="1"/>
    <col min="23" max="23" width="34.140625" style="10" customWidth="1"/>
    <col min="24" max="24" width="11.42578125" style="10"/>
    <col min="25" max="25" width="14.28515625" style="10" customWidth="1"/>
    <col min="26" max="26" width="14.42578125" style="10" customWidth="1"/>
    <col min="27" max="27" width="11.42578125" style="10"/>
    <col min="28" max="28" width="13.85546875" style="10" customWidth="1"/>
    <col min="29" max="29" width="14.5703125" style="10" customWidth="1"/>
    <col min="30" max="30" width="16.5703125" style="10" customWidth="1"/>
    <col min="31" max="31" width="10" style="10" customWidth="1"/>
    <col min="32" max="32" width="9.42578125" style="10" customWidth="1"/>
    <col min="33" max="34" width="13.140625" style="15" customWidth="1"/>
    <col min="35" max="35" width="18.5703125" style="15" customWidth="1"/>
    <col min="36" max="16384" width="11.42578125" style="10"/>
  </cols>
  <sheetData>
    <row r="1" spans="1:38" s="4" customFormat="1" ht="30.75" hidden="1" thickBot="1" x14ac:dyDescent="0.3">
      <c r="C1" s="3" t="s">
        <v>0</v>
      </c>
      <c r="D1" s="4" t="s">
        <v>1</v>
      </c>
      <c r="F1" s="397" t="s">
        <v>2</v>
      </c>
      <c r="H1" s="4" t="s">
        <v>3</v>
      </c>
      <c r="K1" s="4" t="s">
        <v>4</v>
      </c>
      <c r="L1" s="5" t="s">
        <v>5</v>
      </c>
      <c r="N1" s="398" t="s">
        <v>6</v>
      </c>
      <c r="P1" s="4" t="s">
        <v>7</v>
      </c>
      <c r="T1" s="399" t="s">
        <v>5</v>
      </c>
      <c r="U1" s="400" t="s">
        <v>6</v>
      </c>
      <c r="V1" s="400" t="s">
        <v>7</v>
      </c>
      <c r="AG1" s="8"/>
      <c r="AH1" s="8"/>
      <c r="AI1" s="8"/>
    </row>
    <row r="2" spans="1:38" ht="31.5" hidden="1" thickBot="1" x14ac:dyDescent="0.35">
      <c r="A2" s="4" t="s">
        <v>8</v>
      </c>
      <c r="B2" s="195">
        <v>201301</v>
      </c>
      <c r="D2" s="10">
        <f>B2</f>
        <v>201301</v>
      </c>
      <c r="F2" s="20" t="str">
        <f>CONCATENATE(LEFT(B2,4)-1,RIGHT(B2,2))</f>
        <v>201201</v>
      </c>
      <c r="H2" s="10">
        <f>B2</f>
        <v>201301</v>
      </c>
      <c r="L2" s="12" t="s">
        <v>10</v>
      </c>
      <c r="N2" s="401" t="str">
        <f>+F2</f>
        <v>201201</v>
      </c>
      <c r="P2" s="11">
        <f>D2</f>
        <v>201301</v>
      </c>
      <c r="T2" s="399" t="s">
        <v>10</v>
      </c>
      <c r="U2" s="138" t="s">
        <v>83</v>
      </c>
      <c r="V2" s="138">
        <v>201301</v>
      </c>
      <c r="Z2" s="14"/>
      <c r="AA2" s="14"/>
      <c r="AB2" s="14"/>
      <c r="AC2" s="14"/>
    </row>
    <row r="3" spans="1:38" ht="19.5" hidden="1" thickBot="1" x14ac:dyDescent="0.35">
      <c r="B3" s="10">
        <v>1000</v>
      </c>
      <c r="C3" s="17" t="s">
        <v>163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8" ht="19.5" thickBot="1" x14ac:dyDescent="0.35">
      <c r="A4" s="10" t="s">
        <v>93</v>
      </c>
      <c r="B4" s="10">
        <v>1</v>
      </c>
      <c r="C4" s="21"/>
      <c r="D4" s="182">
        <f>+'COLOMB$ '!D4:K4</f>
        <v>44712</v>
      </c>
      <c r="E4" s="26"/>
      <c r="F4" s="26"/>
      <c r="G4" s="26"/>
      <c r="H4" s="27"/>
      <c r="I4" s="27"/>
      <c r="J4" s="402"/>
      <c r="K4" s="403"/>
      <c r="L4" s="25" t="s">
        <v>12</v>
      </c>
      <c r="M4" s="26"/>
      <c r="N4" s="26"/>
      <c r="O4" s="26"/>
      <c r="P4" s="27"/>
      <c r="Q4" s="27"/>
      <c r="R4" s="27"/>
      <c r="S4" s="27"/>
      <c r="T4" s="404" t="s">
        <v>127</v>
      </c>
      <c r="W4" s="14"/>
      <c r="X4" s="201" t="str">
        <f>+'COLOMB$ '!X4:Z4</f>
        <v>MAYO</v>
      </c>
      <c r="Y4" s="202"/>
      <c r="Z4" s="202"/>
      <c r="AA4" s="405" t="str">
        <f>+'EL SALVADOR USD'!AA4:AC4</f>
        <v>ACUM  MAYO</v>
      </c>
      <c r="AB4" s="406"/>
      <c r="AC4" s="407"/>
      <c r="AD4" s="10" t="s">
        <v>23</v>
      </c>
      <c r="AE4" s="10" t="s">
        <v>19</v>
      </c>
      <c r="AF4" s="10" t="s">
        <v>20</v>
      </c>
      <c r="AG4" s="20"/>
      <c r="AH4" s="20"/>
      <c r="AI4" s="20"/>
      <c r="AJ4" s="15"/>
      <c r="AK4" s="15"/>
      <c r="AL4" s="15"/>
    </row>
    <row r="5" spans="1:38" ht="15.75" customHeight="1" thickBot="1" x14ac:dyDescent="0.3">
      <c r="A5" s="10" t="s">
        <v>94</v>
      </c>
      <c r="B5" s="10" t="s">
        <v>95</v>
      </c>
      <c r="C5" s="36" t="s">
        <v>164</v>
      </c>
      <c r="D5" s="184" t="str">
        <f>+'COL. CONS.$'!D5:E5</f>
        <v>Ppto 2022</v>
      </c>
      <c r="E5" s="185"/>
      <c r="F5" s="184" t="str">
        <f>+'COL. CONS.$'!F5:G5</f>
        <v>Real 2021</v>
      </c>
      <c r="G5" s="185"/>
      <c r="H5" s="184" t="str">
        <f>+'COL. CONS.$'!H5:I5</f>
        <v>real 2022</v>
      </c>
      <c r="I5" s="408"/>
      <c r="J5" s="409" t="s">
        <v>19</v>
      </c>
      <c r="K5" s="409" t="s">
        <v>20</v>
      </c>
      <c r="L5" s="410" t="str">
        <f>+D5</f>
        <v>Ppto 2022</v>
      </c>
      <c r="M5" s="206"/>
      <c r="N5" s="410" t="str">
        <f>+F5</f>
        <v>Real 2021</v>
      </c>
      <c r="O5" s="206"/>
      <c r="P5" s="410" t="str">
        <f>+H5</f>
        <v>real 2022</v>
      </c>
      <c r="Q5" s="206"/>
      <c r="R5" s="411" t="s">
        <v>19</v>
      </c>
      <c r="S5" s="412" t="s">
        <v>20</v>
      </c>
      <c r="T5" s="336" t="s">
        <v>165</v>
      </c>
      <c r="U5" s="337" t="s">
        <v>166</v>
      </c>
      <c r="V5" s="337" t="s">
        <v>167</v>
      </c>
      <c r="W5" s="338" t="s">
        <v>164</v>
      </c>
      <c r="X5" s="43" t="str">
        <f>+D5</f>
        <v>Ppto 2022</v>
      </c>
      <c r="Y5" s="43" t="str">
        <f>+F5</f>
        <v>Real 2021</v>
      </c>
      <c r="Z5" s="210" t="str">
        <f>+P5</f>
        <v>real 2022</v>
      </c>
      <c r="AA5" s="413" t="str">
        <f>+X5</f>
        <v>Ppto 2022</v>
      </c>
      <c r="AB5" s="413" t="str">
        <f>+Y5</f>
        <v>Real 2021</v>
      </c>
      <c r="AC5" s="414" t="str">
        <f t="shared" ref="AC5" si="0">+Z5</f>
        <v>real 2022</v>
      </c>
      <c r="AD5" s="47" t="s">
        <v>23</v>
      </c>
      <c r="AE5" s="47" t="s">
        <v>19</v>
      </c>
      <c r="AF5" s="47" t="s">
        <v>20</v>
      </c>
      <c r="AG5" s="415" t="s">
        <v>127</v>
      </c>
      <c r="AH5" s="416"/>
      <c r="AI5" s="416"/>
      <c r="AJ5" s="15"/>
      <c r="AK5" s="15"/>
      <c r="AL5" s="15"/>
    </row>
    <row r="6" spans="1:38" ht="15.75" thickBot="1" x14ac:dyDescent="0.3">
      <c r="C6" s="50" t="s">
        <v>25</v>
      </c>
      <c r="D6" s="186" t="s">
        <v>26</v>
      </c>
      <c r="E6" s="52" t="s">
        <v>27</v>
      </c>
      <c r="F6" s="186" t="s">
        <v>26</v>
      </c>
      <c r="G6" s="53" t="s">
        <v>27</v>
      </c>
      <c r="H6" s="186" t="s">
        <v>26</v>
      </c>
      <c r="I6" s="54" t="s">
        <v>27</v>
      </c>
      <c r="J6" s="417" t="s">
        <v>28</v>
      </c>
      <c r="K6" s="417" t="s">
        <v>28</v>
      </c>
      <c r="L6" s="186" t="s">
        <v>26</v>
      </c>
      <c r="M6" s="52" t="s">
        <v>27</v>
      </c>
      <c r="N6" s="186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4" t="s">
        <v>28</v>
      </c>
      <c r="T6" s="336" t="s">
        <v>26</v>
      </c>
      <c r="U6" s="345" t="s">
        <v>26</v>
      </c>
      <c r="V6" s="345" t="s">
        <v>26</v>
      </c>
      <c r="W6" s="346" t="str">
        <f>+'COLOMB$ '!W6</f>
        <v xml:space="preserve">Flujo de Caja </v>
      </c>
      <c r="X6" s="58"/>
      <c r="Y6" s="58"/>
      <c r="Z6" s="59"/>
      <c r="AA6" s="347" t="s">
        <v>30</v>
      </c>
      <c r="AB6" s="253"/>
      <c r="AC6" s="348"/>
      <c r="AD6" s="62" t="s">
        <v>168</v>
      </c>
      <c r="AE6" s="63" t="s">
        <v>28</v>
      </c>
      <c r="AF6" s="349" t="s">
        <v>28</v>
      </c>
      <c r="AG6" s="10" t="s">
        <v>16</v>
      </c>
      <c r="AH6" s="10" t="s">
        <v>167</v>
      </c>
      <c r="AI6" s="10" t="s">
        <v>18</v>
      </c>
      <c r="AJ6" s="15"/>
      <c r="AK6" s="15"/>
      <c r="AL6" s="15"/>
    </row>
    <row r="7" spans="1:38" ht="15.75" thickBot="1" x14ac:dyDescent="0.3">
      <c r="B7" s="11" t="s">
        <v>96</v>
      </c>
      <c r="C7" s="65" t="str">
        <f>+'COLOMB$ '!C7</f>
        <v>Fact. Musical Experience  (Ambiental)</v>
      </c>
      <c r="D7" s="66"/>
      <c r="E7" s="67" t="e">
        <f t="shared" ref="E7:E12" si="1">+D7/$D$17</f>
        <v>#DIV/0!</v>
      </c>
      <c r="F7" s="66">
        <v>2819322440</v>
      </c>
      <c r="G7" s="67">
        <f t="shared" ref="G7:G12" si="2">+F7/$F$17</f>
        <v>0.43797631041626972</v>
      </c>
      <c r="H7" s="66">
        <v>10709</v>
      </c>
      <c r="I7" s="68">
        <f t="shared" ref="I7:I12" si="3">+H7/$H$17</f>
        <v>0.54246955605535629</v>
      </c>
      <c r="J7" s="418" t="str">
        <f>IF(D7=0,"",(H7-D7)/ABS(D7)+1)</f>
        <v/>
      </c>
      <c r="K7" s="418">
        <f>IF(F7=0,"",(H7-F7)/ABS(F7))</f>
        <v>-0.99999620156962254</v>
      </c>
      <c r="L7" s="66"/>
      <c r="M7" s="67" t="e">
        <f t="shared" ref="M7:M12" si="4">+L7/$L$17</f>
        <v>#DIV/0!</v>
      </c>
      <c r="N7" s="66">
        <v>8075583754</v>
      </c>
      <c r="O7" s="67">
        <f t="shared" ref="O7:O12" si="5">+N7/$N$17</f>
        <v>0.46605508895082715</v>
      </c>
      <c r="P7" s="66">
        <v>40566</v>
      </c>
      <c r="Q7" s="68">
        <f t="shared" ref="Q7:Q12" si="6">+P7/$P$17</f>
        <v>0.2872392243337209</v>
      </c>
      <c r="R7" s="69" t="str">
        <f>IF(L7=0,"",(P7-L7)/ABS(L7)+1)</f>
        <v/>
      </c>
      <c r="S7" s="351">
        <f>IF(N7=0,"",(P7-N7)/ABS(N7))</f>
        <v>-0.99999497670989046</v>
      </c>
      <c r="T7" s="419"/>
      <c r="U7" s="419"/>
      <c r="V7" s="419"/>
      <c r="W7" s="73" t="s">
        <v>34</v>
      </c>
      <c r="X7" s="75">
        <v>236652</v>
      </c>
      <c r="Y7" s="75">
        <v>718053916.06000018</v>
      </c>
      <c r="Z7" s="74">
        <v>8223</v>
      </c>
      <c r="AA7" s="420">
        <v>236652</v>
      </c>
      <c r="AB7" s="75">
        <v>458570656.94</v>
      </c>
      <c r="AC7" s="74">
        <v>14767</v>
      </c>
      <c r="AD7" s="76">
        <f>+AC7-AA7</f>
        <v>-221885</v>
      </c>
      <c r="AE7" s="77">
        <f>IF(AA7=0,"",(AC7-AA7)/ABS(AA7)+1)</f>
        <v>6.2399641667934325E-2</v>
      </c>
      <c r="AF7" s="77">
        <f>IF(Y7=0,"",(AC7-AB7)/ABS(AB7))</f>
        <v>-0.99996779776512845</v>
      </c>
      <c r="AG7" s="220"/>
      <c r="AH7" s="220"/>
      <c r="AI7" s="220">
        <v>14767</v>
      </c>
      <c r="AJ7" s="79"/>
      <c r="AK7" s="15"/>
      <c r="AL7" s="15"/>
    </row>
    <row r="8" spans="1:38" x14ac:dyDescent="0.25">
      <c r="B8" s="11" t="s">
        <v>97</v>
      </c>
      <c r="C8" s="65" t="str">
        <f>+'COLOMB$ '!C8</f>
        <v>Instalaciones</v>
      </c>
      <c r="D8" s="66"/>
      <c r="E8" s="67" t="e">
        <f t="shared" si="1"/>
        <v>#DIV/0!</v>
      </c>
      <c r="F8" s="66">
        <v>1991064041.3</v>
      </c>
      <c r="G8" s="67">
        <f t="shared" si="2"/>
        <v>0.3093079635868401</v>
      </c>
      <c r="H8" s="66">
        <v>1433.2</v>
      </c>
      <c r="I8" s="68">
        <f t="shared" si="3"/>
        <v>7.2599436711040868E-2</v>
      </c>
      <c r="J8" s="418" t="str">
        <f t="shared" ref="J8:J33" si="7">IF(D8=0,"",(H8-D8)/ABS(D8)+1)</f>
        <v/>
      </c>
      <c r="K8" s="418">
        <f t="shared" ref="K8:K33" si="8">IF(F8=0,"",(H8-F8)/ABS(F8))</f>
        <v>-0.9999992801838764</v>
      </c>
      <c r="L8" s="66"/>
      <c r="M8" s="67" t="e">
        <f t="shared" si="4"/>
        <v>#DIV/0!</v>
      </c>
      <c r="N8" s="66">
        <v>3352810590</v>
      </c>
      <c r="O8" s="67">
        <f t="shared" si="5"/>
        <v>0.19349615895986969</v>
      </c>
      <c r="P8" s="66">
        <v>11403.75</v>
      </c>
      <c r="Q8" s="68">
        <f t="shared" si="6"/>
        <v>8.0747530062014239E-2</v>
      </c>
      <c r="R8" s="69" t="str">
        <f t="shared" ref="R8:R34" si="9">IF(L8=0,"",(P8-L8)/ABS(L8)+1)</f>
        <v/>
      </c>
      <c r="S8" s="351">
        <f t="shared" ref="S8:S34" si="10">IF(N8=0,"",(P8-N8)/ABS(N8))</f>
        <v>-0.99999659874911095</v>
      </c>
      <c r="T8" s="419"/>
      <c r="U8" s="419"/>
      <c r="V8" s="419"/>
      <c r="W8" s="81" t="s">
        <v>37</v>
      </c>
      <c r="X8" s="90"/>
      <c r="Y8" s="90">
        <v>6296997658.5600004</v>
      </c>
      <c r="Z8" s="91">
        <v>18032.32</v>
      </c>
      <c r="AA8" s="358">
        <f>+AG8+X8</f>
        <v>0</v>
      </c>
      <c r="AB8" s="90">
        <v>15447725070.09</v>
      </c>
      <c r="AC8" s="359">
        <f>+Z8+AI8</f>
        <v>135231.32</v>
      </c>
      <c r="AD8" s="85">
        <f>+AC8-AA8</f>
        <v>135231.32</v>
      </c>
      <c r="AE8" s="86" t="str">
        <f>IF(AA8=0,"",(AC8-AA8)/ABS(AA8)+1)</f>
        <v/>
      </c>
      <c r="AF8" s="86">
        <f>IF(AB8=0,"",(AC8-AB8)/ABS(AB8))</f>
        <v>-0.99999124587475596</v>
      </c>
      <c r="AG8" s="220"/>
      <c r="AH8" s="220"/>
      <c r="AI8" s="220">
        <v>117199</v>
      </c>
      <c r="AJ8" s="79"/>
      <c r="AK8" s="79">
        <v>232.69962000000001</v>
      </c>
      <c r="AL8" s="15"/>
    </row>
    <row r="9" spans="1:38" x14ac:dyDescent="0.25">
      <c r="B9" s="11" t="s">
        <v>98</v>
      </c>
      <c r="C9" s="65" t="str">
        <f>+'COLOMB$ '!C9</f>
        <v>Fact.Voice Experience (Publihold)</v>
      </c>
      <c r="D9" s="66"/>
      <c r="E9" s="67" t="e">
        <f t="shared" si="1"/>
        <v>#DIV/0!</v>
      </c>
      <c r="F9" s="66">
        <v>676449148.29999995</v>
      </c>
      <c r="G9" s="67">
        <f t="shared" si="2"/>
        <v>0.10508507219793634</v>
      </c>
      <c r="H9" s="66">
        <v>3667.68</v>
      </c>
      <c r="I9" s="68">
        <f t="shared" si="3"/>
        <v>0.18578809798796425</v>
      </c>
      <c r="J9" s="418" t="str">
        <f t="shared" si="7"/>
        <v/>
      </c>
      <c r="K9" s="418">
        <f t="shared" si="8"/>
        <v>-0.99999457804033143</v>
      </c>
      <c r="L9" s="66"/>
      <c r="M9" s="67" t="e">
        <f t="shared" si="4"/>
        <v>#DIV/0!</v>
      </c>
      <c r="N9" s="66">
        <v>2780606667.9400001</v>
      </c>
      <c r="O9" s="67">
        <f t="shared" si="5"/>
        <v>0.16047333882484302</v>
      </c>
      <c r="P9" s="66">
        <v>16788.969999999998</v>
      </c>
      <c r="Q9" s="68">
        <f t="shared" si="6"/>
        <v>0.11887912833806906</v>
      </c>
      <c r="R9" s="69" t="str">
        <f t="shared" si="9"/>
        <v/>
      </c>
      <c r="S9" s="351">
        <f t="shared" si="10"/>
        <v>-0.99999396211978009</v>
      </c>
      <c r="T9" s="419"/>
      <c r="U9" s="419"/>
      <c r="V9" s="419"/>
      <c r="W9" s="81" t="s">
        <v>40</v>
      </c>
      <c r="X9" s="90"/>
      <c r="Y9" s="90"/>
      <c r="Z9" s="91"/>
      <c r="AA9" s="358">
        <f t="shared" ref="AA9:AA12" si="11">+AG9+X9</f>
        <v>0</v>
      </c>
      <c r="AB9" s="90">
        <v>0</v>
      </c>
      <c r="AC9" s="359">
        <f t="shared" ref="AC9:AC12" si="12">+Z9+AI9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2" si="13">IF(AB9=0,"",(AC9-AB9)/ABS(AB9))</f>
        <v/>
      </c>
      <c r="AG9" s="220"/>
      <c r="AH9" s="220"/>
      <c r="AI9" s="220">
        <v>0</v>
      </c>
      <c r="AJ9" s="79"/>
      <c r="AK9" s="79">
        <v>232.69962000000001</v>
      </c>
      <c r="AL9" s="15"/>
    </row>
    <row r="10" spans="1:38" x14ac:dyDescent="0.25">
      <c r="B10" s="219" t="s">
        <v>99</v>
      </c>
      <c r="C10" s="65" t="str">
        <f>+'COLOMB$ '!C10</f>
        <v>Fact. Service &amp; Equipment Experience</v>
      </c>
      <c r="D10" s="66"/>
      <c r="E10" s="67" t="e">
        <f t="shared" si="1"/>
        <v>#DIV/0!</v>
      </c>
      <c r="F10" s="66">
        <v>0</v>
      </c>
      <c r="G10" s="67">
        <f t="shared" si="2"/>
        <v>0</v>
      </c>
      <c r="H10" s="66">
        <v>0</v>
      </c>
      <c r="I10" s="68">
        <f t="shared" si="3"/>
        <v>0</v>
      </c>
      <c r="J10" s="418" t="str">
        <f>IF(D10=0,"",(H10-D10)/ABS(D10)+1)</f>
        <v/>
      </c>
      <c r="K10" s="418" t="str">
        <f>IF(F10=0,"",(H10-F10)/ABS(F10))</f>
        <v/>
      </c>
      <c r="L10" s="66"/>
      <c r="M10" s="67" t="e">
        <f t="shared" si="4"/>
        <v>#DIV/0!</v>
      </c>
      <c r="N10" s="66">
        <v>330235664</v>
      </c>
      <c r="O10" s="67">
        <f t="shared" si="5"/>
        <v>1.9058437934473989E-2</v>
      </c>
      <c r="P10" s="66">
        <v>57866.07</v>
      </c>
      <c r="Q10" s="68">
        <f t="shared" si="6"/>
        <v>0.40973734314551091</v>
      </c>
      <c r="R10" s="69" t="str">
        <f>IF(L10=0,"",(P10-L10)/ABS(L10)+1)</f>
        <v/>
      </c>
      <c r="S10" s="351">
        <f>IF(N10=0,"",(P10-N10)/ABS(N10))</f>
        <v>-0.99982477340787757</v>
      </c>
      <c r="T10" s="419"/>
      <c r="U10" s="419"/>
      <c r="V10" s="419"/>
      <c r="W10" s="81" t="s">
        <v>43</v>
      </c>
      <c r="X10" s="90"/>
      <c r="Y10" s="90">
        <v>0</v>
      </c>
      <c r="Z10" s="91">
        <v>0</v>
      </c>
      <c r="AA10" s="358">
        <f t="shared" si="11"/>
        <v>0</v>
      </c>
      <c r="AB10" s="90">
        <v>0</v>
      </c>
      <c r="AC10" s="359">
        <f t="shared" si="12"/>
        <v>0</v>
      </c>
      <c r="AD10" s="85">
        <f>+AA10-AC10</f>
        <v>0</v>
      </c>
      <c r="AE10" s="86" t="str">
        <f t="shared" ref="AE10:AE21" si="14">IF(AA10=0,"",(AC10-AA10)/ABS(AA10)+1)</f>
        <v/>
      </c>
      <c r="AF10" s="86" t="str">
        <f t="shared" si="13"/>
        <v/>
      </c>
      <c r="AG10" s="220"/>
      <c r="AH10" s="220"/>
      <c r="AI10" s="220">
        <v>0</v>
      </c>
      <c r="AJ10" s="79"/>
      <c r="AK10" s="79">
        <v>232.69962000000001</v>
      </c>
      <c r="AL10" s="15"/>
    </row>
    <row r="11" spans="1:38" ht="13.5" customHeight="1" x14ac:dyDescent="0.25">
      <c r="B11" s="11">
        <v>4170250500</v>
      </c>
      <c r="C11" s="65" t="str">
        <f>+'COLOMB$ '!C11</f>
        <v>POP Satelital</v>
      </c>
      <c r="D11" s="66"/>
      <c r="E11" s="67" t="e">
        <f t="shared" si="1"/>
        <v>#DIV/0!</v>
      </c>
      <c r="F11" s="66"/>
      <c r="G11" s="67">
        <f t="shared" si="2"/>
        <v>0</v>
      </c>
      <c r="H11" s="66"/>
      <c r="I11" s="68">
        <f t="shared" si="3"/>
        <v>0</v>
      </c>
      <c r="J11" s="418" t="str">
        <f>IF(D11=0,"",(H11-D11)/ABS(D11)+1)</f>
        <v/>
      </c>
      <c r="K11" s="418" t="str">
        <f>IF(F11=0,"",(H11-F11)/ABS(F11))</f>
        <v/>
      </c>
      <c r="L11" s="66"/>
      <c r="M11" s="67" t="e">
        <f t="shared" si="4"/>
        <v>#DIV/0!</v>
      </c>
      <c r="N11" s="66"/>
      <c r="O11" s="67">
        <f t="shared" si="5"/>
        <v>0</v>
      </c>
      <c r="P11" s="66"/>
      <c r="Q11" s="68">
        <f t="shared" si="6"/>
        <v>0</v>
      </c>
      <c r="R11" s="69" t="str">
        <f>IF(L11=0,"",(P11-L11)/ABS(L11)+1)</f>
        <v/>
      </c>
      <c r="S11" s="351" t="str">
        <f>IF(N11=0,"",(P11-N11)/ABS(N11))</f>
        <v/>
      </c>
      <c r="T11" s="419"/>
      <c r="U11" s="419"/>
      <c r="V11" s="419"/>
      <c r="W11" s="81" t="s">
        <v>45</v>
      </c>
      <c r="X11" s="90"/>
      <c r="Y11" s="90">
        <v>655587845.79999995</v>
      </c>
      <c r="Z11" s="91">
        <v>8445.6200000000008</v>
      </c>
      <c r="AA11" s="358">
        <f t="shared" si="11"/>
        <v>0</v>
      </c>
      <c r="AB11" s="90">
        <v>2469172501.5</v>
      </c>
      <c r="AC11" s="359">
        <f t="shared" si="12"/>
        <v>29932.620000000003</v>
      </c>
      <c r="AD11" s="85">
        <f>+AA11-AC11</f>
        <v>-29932.620000000003</v>
      </c>
      <c r="AE11" s="86" t="str">
        <f t="shared" si="14"/>
        <v/>
      </c>
      <c r="AF11" s="86">
        <f t="shared" si="13"/>
        <v>-0.99998787746907858</v>
      </c>
      <c r="AG11" s="220"/>
      <c r="AH11" s="220"/>
      <c r="AI11" s="220">
        <v>21487</v>
      </c>
      <c r="AJ11" s="79"/>
      <c r="AK11" s="79">
        <v>232.69962000000001</v>
      </c>
      <c r="AL11" s="15"/>
    </row>
    <row r="12" spans="1:38" x14ac:dyDescent="0.25">
      <c r="B12" s="11"/>
      <c r="C12" s="65" t="str">
        <f>+'COLOMB$ '!C12</f>
        <v xml:space="preserve"> Fact.Voice Experience (Audicóm)</v>
      </c>
      <c r="D12" s="66"/>
      <c r="E12" s="67" t="e">
        <f t="shared" si="1"/>
        <v>#DIV/0!</v>
      </c>
      <c r="F12" s="66">
        <v>950321753</v>
      </c>
      <c r="G12" s="67">
        <f t="shared" si="2"/>
        <v>0.14763065379895376</v>
      </c>
      <c r="H12" s="66">
        <v>3931.32</v>
      </c>
      <c r="I12" s="68">
        <f t="shared" si="3"/>
        <v>0.19914290924563857</v>
      </c>
      <c r="J12" s="418" t="str">
        <f t="shared" si="7"/>
        <v/>
      </c>
      <c r="K12" s="418">
        <f t="shared" si="8"/>
        <v>-0.99999586316951328</v>
      </c>
      <c r="L12" s="66"/>
      <c r="M12" s="67" t="e">
        <f t="shared" si="4"/>
        <v>#DIV/0!</v>
      </c>
      <c r="N12" s="66">
        <v>2788293793</v>
      </c>
      <c r="O12" s="67">
        <f t="shared" si="5"/>
        <v>0.16091697532998606</v>
      </c>
      <c r="P12" s="66">
        <v>14602.439999999999</v>
      </c>
      <c r="Q12" s="68">
        <f t="shared" si="6"/>
        <v>0.10339677412068478</v>
      </c>
      <c r="R12" s="69"/>
      <c r="S12" s="351">
        <f t="shared" si="10"/>
        <v>-0.99999476294785117</v>
      </c>
      <c r="T12" s="419"/>
      <c r="U12" s="419"/>
      <c r="V12" s="419"/>
      <c r="W12" s="81" t="s">
        <v>48</v>
      </c>
      <c r="X12" s="90"/>
      <c r="Y12" s="90">
        <v>3768356503.5999999</v>
      </c>
      <c r="Z12" s="266">
        <v>3932.95</v>
      </c>
      <c r="AA12" s="358">
        <f t="shared" si="11"/>
        <v>0</v>
      </c>
      <c r="AB12" s="90">
        <v>9956149212.1700001</v>
      </c>
      <c r="AC12" s="359">
        <f t="shared" si="12"/>
        <v>78080.95</v>
      </c>
      <c r="AD12" s="85">
        <f>+AA12-AC12</f>
        <v>-78080.95</v>
      </c>
      <c r="AE12" s="86" t="str">
        <f t="shared" si="14"/>
        <v/>
      </c>
      <c r="AF12" s="86">
        <f t="shared" si="13"/>
        <v>-0.99999215751508574</v>
      </c>
      <c r="AG12" s="220"/>
      <c r="AH12" s="220"/>
      <c r="AI12" s="220">
        <v>74148</v>
      </c>
      <c r="AJ12" s="79"/>
      <c r="AK12" s="79">
        <v>232.69962000000001</v>
      </c>
      <c r="AL12" s="15"/>
    </row>
    <row r="13" spans="1:38" ht="15.75" thickBot="1" x14ac:dyDescent="0.3">
      <c r="C13" s="65" t="str">
        <f>+'COLOMB$ '!C13</f>
        <v>Fact. Servicio Satelital</v>
      </c>
      <c r="D13" s="66"/>
      <c r="E13" s="67"/>
      <c r="F13" s="66"/>
      <c r="G13" s="67"/>
      <c r="H13" s="66"/>
      <c r="I13" s="68"/>
      <c r="J13" s="418"/>
      <c r="K13" s="418"/>
      <c r="L13" s="66"/>
      <c r="M13" s="67"/>
      <c r="N13" s="66"/>
      <c r="O13" s="67"/>
      <c r="P13" s="66"/>
      <c r="Q13" s="68"/>
      <c r="R13" s="69"/>
      <c r="S13" s="351"/>
      <c r="T13" s="419"/>
      <c r="U13" s="419"/>
      <c r="V13" s="419"/>
      <c r="W13" s="81" t="s">
        <v>50</v>
      </c>
      <c r="X13" s="90">
        <f t="shared" ref="X13:AC13" si="15">X9+X10+X11+X12</f>
        <v>0</v>
      </c>
      <c r="Y13" s="91">
        <v>4423944349.3999996</v>
      </c>
      <c r="Z13" s="91">
        <f>Z9+Z10+Z11+Z12</f>
        <v>12378.57</v>
      </c>
      <c r="AA13" s="358">
        <f t="shared" si="15"/>
        <v>0</v>
      </c>
      <c r="AB13" s="91">
        <v>12425321713.67</v>
      </c>
      <c r="AC13" s="359">
        <f t="shared" si="15"/>
        <v>108013.57</v>
      </c>
      <c r="AD13" s="85">
        <f>+AC13-AA13</f>
        <v>108013.57</v>
      </c>
      <c r="AE13" s="86" t="str">
        <f t="shared" si="14"/>
        <v/>
      </c>
      <c r="AF13" s="86">
        <f t="shared" si="13"/>
        <v>-0.99999130698001315</v>
      </c>
      <c r="AG13" s="220"/>
      <c r="AH13" s="220"/>
      <c r="AI13" s="220">
        <v>35488.600000000006</v>
      </c>
      <c r="AJ13" s="79"/>
      <c r="AK13" s="79">
        <v>232.69962000000001</v>
      </c>
      <c r="AL13" s="15"/>
    </row>
    <row r="14" spans="1:38" ht="15.75" thickBot="1" x14ac:dyDescent="0.3">
      <c r="C14" s="65" t="str">
        <f>+'COLOMB$ '!C14</f>
        <v>Fact. Visual Experience</v>
      </c>
      <c r="D14" s="66"/>
      <c r="E14" s="67"/>
      <c r="F14" s="66"/>
      <c r="G14" s="67"/>
      <c r="H14" s="66"/>
      <c r="I14" s="68"/>
      <c r="J14" s="418"/>
      <c r="K14" s="418"/>
      <c r="L14" s="66"/>
      <c r="M14" s="67"/>
      <c r="N14" s="66"/>
      <c r="O14" s="67"/>
      <c r="P14" s="66"/>
      <c r="Q14" s="68"/>
      <c r="R14" s="69"/>
      <c r="S14" s="351"/>
      <c r="T14" s="419"/>
      <c r="U14" s="419"/>
      <c r="V14" s="419"/>
      <c r="W14" s="73" t="s">
        <v>52</v>
      </c>
      <c r="X14" s="75">
        <f>+X8-X13</f>
        <v>0</v>
      </c>
      <c r="Y14" s="74">
        <v>1873053309.1600008</v>
      </c>
      <c r="Z14" s="74">
        <f>+Z8-Z13</f>
        <v>5653.75</v>
      </c>
      <c r="AA14" s="420">
        <f>AA8-AA13</f>
        <v>0</v>
      </c>
      <c r="AB14" s="74">
        <v>3022403356.4200001</v>
      </c>
      <c r="AC14" s="421">
        <f>AC8-AC13</f>
        <v>27217.75</v>
      </c>
      <c r="AD14" s="76">
        <f>+AC14-AA14</f>
        <v>27217.75</v>
      </c>
      <c r="AE14" s="77" t="str">
        <f t="shared" si="14"/>
        <v/>
      </c>
      <c r="AF14" s="77">
        <f t="shared" si="13"/>
        <v>-0.99999099466656483</v>
      </c>
      <c r="AG14" s="220"/>
      <c r="AH14" s="220"/>
      <c r="AI14" s="220">
        <v>2685.6999999999971</v>
      </c>
      <c r="AJ14" s="79"/>
      <c r="AK14" s="79">
        <v>232.69962000000001</v>
      </c>
      <c r="AL14" s="15"/>
    </row>
    <row r="15" spans="1:38" x14ac:dyDescent="0.25">
      <c r="C15" s="65" t="s">
        <v>169</v>
      </c>
      <c r="D15" s="66"/>
      <c r="E15" s="67"/>
      <c r="F15" s="66"/>
      <c r="G15" s="67"/>
      <c r="H15" s="66"/>
      <c r="I15" s="68"/>
      <c r="J15" s="418"/>
      <c r="K15" s="418"/>
      <c r="L15" s="66"/>
      <c r="M15" s="67"/>
      <c r="N15" s="66"/>
      <c r="O15" s="67"/>
      <c r="P15" s="66"/>
      <c r="Q15" s="68"/>
      <c r="R15" s="69"/>
      <c r="S15" s="351"/>
      <c r="T15" s="419"/>
      <c r="U15" s="419"/>
      <c r="V15" s="419"/>
      <c r="W15" s="89"/>
      <c r="X15" s="97"/>
      <c r="Y15" s="97"/>
      <c r="Z15" s="98"/>
      <c r="AA15" s="362"/>
      <c r="AB15" s="97"/>
      <c r="AC15" s="363"/>
      <c r="AD15" s="103"/>
      <c r="AE15" s="102"/>
      <c r="AF15" s="102"/>
      <c r="AG15" s="220"/>
      <c r="AH15" s="220"/>
      <c r="AI15" s="220"/>
      <c r="AJ15" s="79"/>
      <c r="AK15" s="79">
        <v>232.69962000000001</v>
      </c>
      <c r="AL15" s="15"/>
    </row>
    <row r="16" spans="1:38" ht="15.75" thickBot="1" x14ac:dyDescent="0.3">
      <c r="C16" s="65" t="str">
        <f>+'COLOMB$ '!C16</f>
        <v>Facturacion Locutor virtual</v>
      </c>
      <c r="D16" s="66"/>
      <c r="E16" s="67"/>
      <c r="F16" s="66"/>
      <c r="G16" s="67"/>
      <c r="H16" s="66"/>
      <c r="I16" s="68"/>
      <c r="J16" s="418"/>
      <c r="K16" s="418"/>
      <c r="L16" s="66"/>
      <c r="M16" s="67"/>
      <c r="N16" s="66"/>
      <c r="O16" s="67"/>
      <c r="P16" s="66"/>
      <c r="Q16" s="68"/>
      <c r="R16" s="69"/>
      <c r="S16" s="351"/>
      <c r="T16" s="419"/>
      <c r="U16" s="419"/>
      <c r="V16" s="419"/>
      <c r="W16" s="89"/>
      <c r="X16" s="97"/>
      <c r="Y16" s="97"/>
      <c r="Z16" s="98"/>
      <c r="AA16" s="362"/>
      <c r="AB16" s="97"/>
      <c r="AC16" s="363"/>
      <c r="AD16" s="103"/>
      <c r="AE16" s="102"/>
      <c r="AF16" s="102" t="str">
        <f t="shared" si="13"/>
        <v/>
      </c>
      <c r="AG16" s="220"/>
      <c r="AH16" s="220"/>
      <c r="AI16" s="220"/>
      <c r="AJ16" s="79"/>
      <c r="AK16" s="79">
        <v>232.69962000000001</v>
      </c>
      <c r="AL16" s="15"/>
    </row>
    <row r="17" spans="1:39" x14ac:dyDescent="0.25">
      <c r="B17" s="11"/>
      <c r="C17" s="104" t="s">
        <v>57</v>
      </c>
      <c r="D17" s="105">
        <f>SUM(D7:D13)</f>
        <v>0</v>
      </c>
      <c r="E17" s="106" t="e">
        <f t="shared" ref="E17:E34" si="16">+D17/$D$17</f>
        <v>#DIV/0!</v>
      </c>
      <c r="F17" s="105">
        <v>6437157382.6000004</v>
      </c>
      <c r="G17" s="106">
        <f t="shared" ref="G17:G34" si="17">+F17/$F$17</f>
        <v>1</v>
      </c>
      <c r="H17" s="105">
        <f>SUM(H7:H13)</f>
        <v>19741.2</v>
      </c>
      <c r="I17" s="107">
        <f t="shared" ref="I17:I34" si="18">+H17/$H$17</f>
        <v>1</v>
      </c>
      <c r="J17" s="422" t="str">
        <f t="shared" si="7"/>
        <v/>
      </c>
      <c r="K17" s="422">
        <f t="shared" si="8"/>
        <v>-0.99999693324260597</v>
      </c>
      <c r="L17" s="105">
        <f>SUM(L7:L13)</f>
        <v>0</v>
      </c>
      <c r="M17" s="423" t="e">
        <f t="shared" ref="M17:M33" si="19">+L17/$L$17</f>
        <v>#DIV/0!</v>
      </c>
      <c r="N17" s="105">
        <v>17327530468.940002</v>
      </c>
      <c r="O17" s="106">
        <f t="shared" ref="O17:O31" si="20">+N17/$N$17</f>
        <v>1</v>
      </c>
      <c r="P17" s="105">
        <f>SUM(P7:P16)</f>
        <v>141227.23000000001</v>
      </c>
      <c r="Q17" s="107">
        <f t="shared" ref="Q17:Q34" si="21">+P17/$P$17</f>
        <v>1</v>
      </c>
      <c r="R17" s="108" t="str">
        <f t="shared" si="9"/>
        <v/>
      </c>
      <c r="S17" s="108">
        <f t="shared" si="10"/>
        <v>-0.99999184954657838</v>
      </c>
      <c r="T17" s="419"/>
      <c r="U17" s="419"/>
      <c r="V17" s="419"/>
      <c r="W17" s="81" t="s">
        <v>58</v>
      </c>
      <c r="X17" s="82">
        <f t="shared" ref="X17:AC17" si="22">+X7+X14</f>
        <v>236652</v>
      </c>
      <c r="Y17" s="83">
        <v>2591107225.2200012</v>
      </c>
      <c r="Z17" s="83">
        <f>+Z7+Z14</f>
        <v>13876.75</v>
      </c>
      <c r="AA17" s="358">
        <f t="shared" si="22"/>
        <v>236652</v>
      </c>
      <c r="AB17" s="83">
        <v>3480974013.3600001</v>
      </c>
      <c r="AC17" s="424">
        <f t="shared" si="22"/>
        <v>41984.75</v>
      </c>
      <c r="AD17" s="85">
        <f>+AC17-AA17</f>
        <v>-194667.25</v>
      </c>
      <c r="AE17" s="86">
        <f t="shared" si="14"/>
        <v>0.17741134661866365</v>
      </c>
      <c r="AF17" s="86">
        <f t="shared" si="13"/>
        <v>-0.99998793879246473</v>
      </c>
      <c r="AG17" s="220"/>
      <c r="AH17" s="220"/>
      <c r="AI17" s="220">
        <v>17452.699999999997</v>
      </c>
      <c r="AJ17" s="79"/>
      <c r="AK17" s="79">
        <v>232.69962000000001</v>
      </c>
      <c r="AL17" s="15"/>
    </row>
    <row r="18" spans="1:39" x14ac:dyDescent="0.25">
      <c r="B18" s="11" t="s">
        <v>100</v>
      </c>
      <c r="C18" s="112" t="s">
        <v>59</v>
      </c>
      <c r="D18" s="114"/>
      <c r="E18" s="113" t="e">
        <f t="shared" si="16"/>
        <v>#DIV/0!</v>
      </c>
      <c r="F18" s="114"/>
      <c r="G18" s="113">
        <f t="shared" si="17"/>
        <v>0</v>
      </c>
      <c r="H18" s="114">
        <v>0</v>
      </c>
      <c r="I18" s="115">
        <f t="shared" si="18"/>
        <v>0</v>
      </c>
      <c r="J18" s="425" t="str">
        <f t="shared" si="7"/>
        <v/>
      </c>
      <c r="K18" s="425" t="str">
        <f t="shared" si="8"/>
        <v/>
      </c>
      <c r="L18" s="117">
        <f t="shared" ref="L18" si="23">+T18+D18</f>
        <v>0</v>
      </c>
      <c r="M18" s="113" t="e">
        <f t="shared" si="19"/>
        <v>#DIV/0!</v>
      </c>
      <c r="N18" s="114"/>
      <c r="O18" s="113">
        <f t="shared" si="20"/>
        <v>0</v>
      </c>
      <c r="P18" s="114">
        <v>54617.06</v>
      </c>
      <c r="Q18" s="115">
        <f t="shared" si="21"/>
        <v>0.38673179386156614</v>
      </c>
      <c r="R18" s="116" t="str">
        <f t="shared" si="9"/>
        <v/>
      </c>
      <c r="S18" s="374" t="str">
        <f t="shared" si="10"/>
        <v/>
      </c>
      <c r="T18" s="419"/>
      <c r="U18" s="419"/>
      <c r="V18" s="419"/>
      <c r="W18" s="81" t="s">
        <v>60</v>
      </c>
      <c r="X18" s="90"/>
      <c r="Y18" s="90"/>
      <c r="Z18" s="91"/>
      <c r="AA18" s="358">
        <f t="shared" ref="AA18:AA20" si="24">+AG18+X18</f>
        <v>0</v>
      </c>
      <c r="AB18" s="90">
        <v>0</v>
      </c>
      <c r="AC18" s="359">
        <f t="shared" ref="AC18:AC20" si="25">+Z18+AI18</f>
        <v>0</v>
      </c>
      <c r="AD18" s="85">
        <f t="shared" ref="AD18:AD22" si="26">+AC18-AA18</f>
        <v>0</v>
      </c>
      <c r="AE18" s="86" t="str">
        <f t="shared" si="14"/>
        <v/>
      </c>
      <c r="AF18" s="86" t="str">
        <f t="shared" si="13"/>
        <v/>
      </c>
      <c r="AG18" s="220"/>
      <c r="AH18" s="220"/>
      <c r="AI18" s="220">
        <v>0</v>
      </c>
      <c r="AJ18" s="79"/>
      <c r="AK18" s="79">
        <v>232.69962000000001</v>
      </c>
      <c r="AL18" s="15"/>
    </row>
    <row r="19" spans="1:39" ht="15.75" thickBot="1" x14ac:dyDescent="0.3">
      <c r="B19" s="11"/>
      <c r="C19" s="119" t="s">
        <v>61</v>
      </c>
      <c r="D19" s="120">
        <f>+D17-D18</f>
        <v>0</v>
      </c>
      <c r="E19" s="121" t="e">
        <f t="shared" si="16"/>
        <v>#DIV/0!</v>
      </c>
      <c r="F19" s="120">
        <v>6437157382.6000004</v>
      </c>
      <c r="G19" s="121">
        <f t="shared" si="17"/>
        <v>1</v>
      </c>
      <c r="H19" s="120">
        <f>+H17-H18</f>
        <v>19741.2</v>
      </c>
      <c r="I19" s="122">
        <f t="shared" si="18"/>
        <v>1</v>
      </c>
      <c r="J19" s="426" t="str">
        <f t="shared" si="7"/>
        <v/>
      </c>
      <c r="K19" s="426">
        <f t="shared" si="8"/>
        <v>-0.99999693324260597</v>
      </c>
      <c r="L19" s="120">
        <f>+L17-L18</f>
        <v>0</v>
      </c>
      <c r="M19" s="121" t="e">
        <f t="shared" si="19"/>
        <v>#DIV/0!</v>
      </c>
      <c r="N19" s="120">
        <v>17327530468.940002</v>
      </c>
      <c r="O19" s="121">
        <f t="shared" si="20"/>
        <v>1</v>
      </c>
      <c r="P19" s="120">
        <f>+P17-P18</f>
        <v>86610.170000000013</v>
      </c>
      <c r="Q19" s="122">
        <f t="shared" si="21"/>
        <v>0.6132682061384338</v>
      </c>
      <c r="R19" s="124" t="str">
        <f t="shared" si="9"/>
        <v/>
      </c>
      <c r="S19" s="124">
        <f t="shared" si="10"/>
        <v>-0.99999500158605092</v>
      </c>
      <c r="T19" s="419"/>
      <c r="U19" s="419"/>
      <c r="V19" s="419"/>
      <c r="W19" s="81" t="s">
        <v>62</v>
      </c>
      <c r="X19" s="90"/>
      <c r="Y19" s="90">
        <v>754058721.32000005</v>
      </c>
      <c r="Z19" s="91">
        <v>1736.09</v>
      </c>
      <c r="AA19" s="358">
        <f t="shared" si="24"/>
        <v>0</v>
      </c>
      <c r="AB19" s="90">
        <v>1643925509.46</v>
      </c>
      <c r="AC19" s="359">
        <f t="shared" si="25"/>
        <v>29844.09</v>
      </c>
      <c r="AD19" s="85">
        <f t="shared" si="26"/>
        <v>29844.09</v>
      </c>
      <c r="AE19" s="86" t="str">
        <f t="shared" si="14"/>
        <v/>
      </c>
      <c r="AF19" s="86">
        <f t="shared" si="13"/>
        <v>-0.99998184583800898</v>
      </c>
      <c r="AG19" s="220"/>
      <c r="AH19" s="220"/>
      <c r="AI19" s="220">
        <v>28108</v>
      </c>
      <c r="AJ19" s="79"/>
      <c r="AK19" s="79">
        <v>232.69962000000001</v>
      </c>
      <c r="AL19" s="15"/>
    </row>
    <row r="20" spans="1:39" x14ac:dyDescent="0.25">
      <c r="B20" s="11" t="s">
        <v>101</v>
      </c>
      <c r="C20" s="81" t="s">
        <v>63</v>
      </c>
      <c r="D20" s="83"/>
      <c r="E20" s="126" t="e">
        <f t="shared" si="16"/>
        <v>#DIV/0!</v>
      </c>
      <c r="F20" s="83">
        <v>84308433.460000008</v>
      </c>
      <c r="G20" s="126">
        <f t="shared" si="17"/>
        <v>1.3097152741346742E-2</v>
      </c>
      <c r="H20" s="83">
        <v>412.39000000000004</v>
      </c>
      <c r="I20" s="127">
        <f t="shared" si="18"/>
        <v>2.0889814195692261E-2</v>
      </c>
      <c r="J20" s="427" t="str">
        <f t="shared" si="7"/>
        <v/>
      </c>
      <c r="K20" s="427">
        <f t="shared" si="8"/>
        <v>-0.99999510855577456</v>
      </c>
      <c r="L20" s="83"/>
      <c r="M20" s="126" t="e">
        <f t="shared" si="19"/>
        <v>#DIV/0!</v>
      </c>
      <c r="N20" s="83">
        <v>239265382.96999997</v>
      </c>
      <c r="O20" s="126">
        <f t="shared" si="20"/>
        <v>1.3808394877671038E-2</v>
      </c>
      <c r="P20" s="83">
        <v>1917.7600000000002</v>
      </c>
      <c r="Q20" s="127">
        <f t="shared" si="21"/>
        <v>1.3579250970227202E-2</v>
      </c>
      <c r="R20" s="128" t="str">
        <f t="shared" si="9"/>
        <v/>
      </c>
      <c r="S20" s="148">
        <f t="shared" si="10"/>
        <v>-0.99999198479957196</v>
      </c>
      <c r="T20" s="419"/>
      <c r="U20" s="419"/>
      <c r="V20" s="419"/>
      <c r="W20" s="81" t="s">
        <v>64</v>
      </c>
      <c r="X20" s="428"/>
      <c r="Y20" s="428"/>
      <c r="Z20" s="266"/>
      <c r="AA20" s="358">
        <f t="shared" si="24"/>
        <v>0</v>
      </c>
      <c r="AB20" s="428">
        <v>0</v>
      </c>
      <c r="AC20" s="359">
        <f t="shared" si="25"/>
        <v>0</v>
      </c>
      <c r="AD20" s="85">
        <f t="shared" si="26"/>
        <v>0</v>
      </c>
      <c r="AE20" s="86" t="str">
        <f t="shared" si="14"/>
        <v/>
      </c>
      <c r="AF20" s="86" t="str">
        <f t="shared" si="13"/>
        <v/>
      </c>
      <c r="AG20" s="220"/>
      <c r="AH20" s="220"/>
      <c r="AI20" s="220">
        <v>0</v>
      </c>
      <c r="AJ20" s="79"/>
      <c r="AK20" s="79">
        <v>232.69962000000001</v>
      </c>
      <c r="AL20" s="15"/>
    </row>
    <row r="21" spans="1:39" ht="15.75" thickBot="1" x14ac:dyDescent="0.3">
      <c r="B21" s="11" t="s">
        <v>102</v>
      </c>
      <c r="C21" s="81" t="s">
        <v>65</v>
      </c>
      <c r="D21" s="83"/>
      <c r="E21" s="126" t="e">
        <f t="shared" si="16"/>
        <v>#DIV/0!</v>
      </c>
      <c r="F21" s="83">
        <v>1495973447.5799999</v>
      </c>
      <c r="G21" s="126">
        <f t="shared" si="17"/>
        <v>0.23239659350627354</v>
      </c>
      <c r="H21" s="83">
        <v>2224.7600000000002</v>
      </c>
      <c r="I21" s="127">
        <f t="shared" si="18"/>
        <v>0.112696289992503</v>
      </c>
      <c r="J21" s="427" t="str">
        <f t="shared" si="7"/>
        <v/>
      </c>
      <c r="K21" s="427">
        <f t="shared" si="8"/>
        <v>-0.99999851283456698</v>
      </c>
      <c r="L21" s="83"/>
      <c r="M21" s="126" t="e">
        <f t="shared" si="19"/>
        <v>#DIV/0!</v>
      </c>
      <c r="N21" s="83">
        <v>3902014430.46</v>
      </c>
      <c r="O21" s="126">
        <f t="shared" si="20"/>
        <v>0.22519160693178122</v>
      </c>
      <c r="P21" s="83">
        <v>15608.409999999998</v>
      </c>
      <c r="Q21" s="127">
        <f t="shared" si="21"/>
        <v>0.11051983388755834</v>
      </c>
      <c r="R21" s="128" t="str">
        <f t="shared" si="9"/>
        <v/>
      </c>
      <c r="S21" s="148">
        <f t="shared" si="10"/>
        <v>-0.99999599990971899</v>
      </c>
      <c r="T21" s="419"/>
      <c r="U21" s="419"/>
      <c r="V21" s="419"/>
      <c r="W21" s="81" t="s">
        <v>66</v>
      </c>
      <c r="X21" s="90"/>
      <c r="Y21" s="90"/>
      <c r="Z21" s="91"/>
      <c r="AA21" s="358"/>
      <c r="AB21" s="90">
        <v>0</v>
      </c>
      <c r="AC21" s="429">
        <f>+AA21</f>
        <v>0</v>
      </c>
      <c r="AD21" s="85">
        <f t="shared" si="26"/>
        <v>0</v>
      </c>
      <c r="AE21" s="86" t="str">
        <f t="shared" si="14"/>
        <v/>
      </c>
      <c r="AF21" s="86" t="str">
        <f t="shared" si="13"/>
        <v/>
      </c>
      <c r="AG21" s="220"/>
      <c r="AH21" s="220"/>
      <c r="AI21" s="220">
        <v>0</v>
      </c>
      <c r="AJ21" s="79"/>
      <c r="AK21" s="79">
        <v>232.69962000000001</v>
      </c>
      <c r="AL21" s="15"/>
    </row>
    <row r="22" spans="1:39" ht="15.75" thickBot="1" x14ac:dyDescent="0.3">
      <c r="B22" s="11"/>
      <c r="C22" s="112" t="s">
        <v>67</v>
      </c>
      <c r="D22" s="117">
        <f>SUM(D20:D21)</f>
        <v>0</v>
      </c>
      <c r="E22" s="113" t="e">
        <f t="shared" si="16"/>
        <v>#DIV/0!</v>
      </c>
      <c r="F22" s="117">
        <v>1580281881.04</v>
      </c>
      <c r="G22" s="113">
        <f t="shared" si="17"/>
        <v>0.24549374624762027</v>
      </c>
      <c r="H22" s="117">
        <f>SUM(H20:H21)</f>
        <v>2637.15</v>
      </c>
      <c r="I22" s="115">
        <f t="shared" si="18"/>
        <v>0.13358610418819525</v>
      </c>
      <c r="J22" s="425" t="str">
        <f t="shared" si="7"/>
        <v/>
      </c>
      <c r="K22" s="425">
        <f t="shared" si="8"/>
        <v>-0.99999833121544213</v>
      </c>
      <c r="L22" s="117">
        <f>+L20+L21</f>
        <v>0</v>
      </c>
      <c r="M22" s="113" t="e">
        <f t="shared" si="19"/>
        <v>#DIV/0!</v>
      </c>
      <c r="N22" s="117">
        <v>4141279813.4299998</v>
      </c>
      <c r="O22" s="113">
        <f t="shared" si="20"/>
        <v>0.23900000180945227</v>
      </c>
      <c r="P22" s="117">
        <f>SUM(P20:P21)</f>
        <v>17526.169999999998</v>
      </c>
      <c r="Q22" s="115">
        <f>+P22/$P$17</f>
        <v>0.12409908485778555</v>
      </c>
      <c r="R22" s="116" t="str">
        <f t="shared" si="9"/>
        <v/>
      </c>
      <c r="S22" s="374">
        <f t="shared" si="10"/>
        <v>-0.99999576793387801</v>
      </c>
      <c r="T22" s="419"/>
      <c r="U22" s="419"/>
      <c r="V22" s="419"/>
      <c r="W22" s="73" t="s">
        <v>68</v>
      </c>
      <c r="X22" s="75">
        <f>+X17-X19-X18+X20</f>
        <v>236652</v>
      </c>
      <c r="Y22" s="75">
        <v>1837048503.900001</v>
      </c>
      <c r="Z22" s="75">
        <f>+Z17-Z19-Z18+Z20</f>
        <v>12140.66</v>
      </c>
      <c r="AA22" s="430">
        <f>+AA17-AA19-AA18-AA20</f>
        <v>236652</v>
      </c>
      <c r="AB22" s="75">
        <v>1837048503.9000001</v>
      </c>
      <c r="AC22" s="431">
        <f>+AC17-AC19-AC18+AC20</f>
        <v>12140.66</v>
      </c>
      <c r="AD22" s="76">
        <f t="shared" si="26"/>
        <v>-224511.34</v>
      </c>
      <c r="AE22" s="77">
        <f t="shared" ref="AE22" si="27">IF(X22=0,"",(Z22-X22)/ABS(X22)+1)</f>
        <v>5.1301742643206083E-2</v>
      </c>
      <c r="AF22" s="77">
        <f t="shared" si="13"/>
        <v>-0.99999339121423614</v>
      </c>
      <c r="AG22" s="220"/>
      <c r="AH22" s="220"/>
      <c r="AI22" s="220">
        <v>10685.76</v>
      </c>
      <c r="AJ22" s="79"/>
      <c r="AK22" s="79">
        <v>232.69962000000001</v>
      </c>
      <c r="AL22" s="15"/>
    </row>
    <row r="23" spans="1:39" x14ac:dyDescent="0.25">
      <c r="B23" s="11" t="s">
        <v>103</v>
      </c>
      <c r="C23" s="81" t="s">
        <v>69</v>
      </c>
      <c r="D23" s="83"/>
      <c r="E23" s="126" t="e">
        <f t="shared" si="16"/>
        <v>#DIV/0!</v>
      </c>
      <c r="F23" s="83">
        <v>2237380788.5799999</v>
      </c>
      <c r="G23" s="126">
        <f t="shared" si="17"/>
        <v>0.34757279581632827</v>
      </c>
      <c r="H23" s="83">
        <v>15573.17</v>
      </c>
      <c r="I23" s="127">
        <f t="shared" si="18"/>
        <v>0.7888664316252304</v>
      </c>
      <c r="J23" s="427" t="str">
        <f t="shared" si="7"/>
        <v/>
      </c>
      <c r="K23" s="427">
        <f t="shared" si="8"/>
        <v>-0.99999303955317775</v>
      </c>
      <c r="L23" s="83"/>
      <c r="M23" s="126" t="e">
        <f t="shared" si="19"/>
        <v>#DIV/0!</v>
      </c>
      <c r="N23" s="83">
        <v>6478515013.4399996</v>
      </c>
      <c r="O23" s="126">
        <f t="shared" si="20"/>
        <v>0.37388565122149903</v>
      </c>
      <c r="P23" s="83">
        <v>58493.59</v>
      </c>
      <c r="Q23" s="127">
        <f t="shared" si="21"/>
        <v>0.41418067889598903</v>
      </c>
      <c r="R23" s="128" t="str">
        <f t="shared" si="9"/>
        <v/>
      </c>
      <c r="S23" s="148">
        <f t="shared" si="10"/>
        <v>-0.99999097114232527</v>
      </c>
      <c r="T23" s="419"/>
      <c r="U23" s="419"/>
      <c r="V23" s="419"/>
      <c r="W23" s="20"/>
      <c r="X23" s="20"/>
      <c r="Y23" s="20" t="s">
        <v>70</v>
      </c>
      <c r="Z23" s="48" t="s">
        <v>70</v>
      </c>
      <c r="AA23" s="140"/>
      <c r="AB23" s="140" t="s">
        <v>70</v>
      </c>
      <c r="AC23" s="432" t="s">
        <v>70</v>
      </c>
      <c r="AD23" s="20"/>
      <c r="AE23" s="20"/>
      <c r="AF23" s="20"/>
      <c r="AG23" s="228"/>
      <c r="AH23" s="228"/>
      <c r="AI23" s="228"/>
      <c r="AJ23" s="433"/>
      <c r="AK23" s="15"/>
      <c r="AL23" s="15"/>
    </row>
    <row r="24" spans="1:39" x14ac:dyDescent="0.25">
      <c r="A24" s="11" t="s">
        <v>104</v>
      </c>
      <c r="B24" s="11" t="s">
        <v>105</v>
      </c>
      <c r="C24" s="81" t="s">
        <v>71</v>
      </c>
      <c r="D24" s="83"/>
      <c r="E24" s="126" t="e">
        <f t="shared" si="16"/>
        <v>#DIV/0!</v>
      </c>
      <c r="F24" s="83">
        <v>878520871.48000002</v>
      </c>
      <c r="G24" s="126">
        <f t="shared" si="17"/>
        <v>0.13647652515917841</v>
      </c>
      <c r="H24" s="83">
        <v>1990.9</v>
      </c>
      <c r="I24" s="127">
        <f t="shared" si="18"/>
        <v>0.10084999898689036</v>
      </c>
      <c r="J24" s="427" t="str">
        <f t="shared" si="7"/>
        <v/>
      </c>
      <c r="K24" s="427">
        <f t="shared" si="8"/>
        <v>-0.99999773380455192</v>
      </c>
      <c r="L24" s="83"/>
      <c r="M24" s="126" t="e">
        <f t="shared" si="19"/>
        <v>#DIV/0!</v>
      </c>
      <c r="N24" s="83">
        <v>2969719713.1300001</v>
      </c>
      <c r="O24" s="126">
        <f t="shared" si="20"/>
        <v>0.17138736061975426</v>
      </c>
      <c r="P24" s="83">
        <v>11311.939999999999</v>
      </c>
      <c r="Q24" s="127">
        <f t="shared" si="21"/>
        <v>8.0097442964788004E-2</v>
      </c>
      <c r="R24" s="128" t="str">
        <f t="shared" si="9"/>
        <v/>
      </c>
      <c r="S24" s="148">
        <f t="shared" si="10"/>
        <v>-0.99999619090651892</v>
      </c>
      <c r="T24" s="419"/>
      <c r="U24" s="419"/>
      <c r="V24" s="419"/>
      <c r="W24" s="20"/>
      <c r="X24" s="48"/>
      <c r="Y24" s="434"/>
      <c r="Z24" s="48"/>
      <c r="AA24" s="136"/>
      <c r="AB24" s="136"/>
      <c r="AC24" s="136"/>
      <c r="AD24" s="20"/>
      <c r="AE24" s="20"/>
      <c r="AF24" s="20"/>
      <c r="AG24" s="140"/>
      <c r="AH24" s="20"/>
      <c r="AI24" s="20"/>
      <c r="AJ24" s="15"/>
      <c r="AK24" s="15"/>
      <c r="AL24" s="15"/>
    </row>
    <row r="25" spans="1:39" x14ac:dyDescent="0.25">
      <c r="B25" s="11"/>
      <c r="C25" s="112" t="s">
        <v>72</v>
      </c>
      <c r="D25" s="117">
        <f>SUM(D23:D24)</f>
        <v>0</v>
      </c>
      <c r="E25" s="113" t="e">
        <f t="shared" si="16"/>
        <v>#DIV/0!</v>
      </c>
      <c r="F25" s="117">
        <v>3115901660.0599999</v>
      </c>
      <c r="G25" s="113">
        <f t="shared" si="17"/>
        <v>0.48404932097550668</v>
      </c>
      <c r="H25" s="117">
        <f>SUM(H23:H24)</f>
        <v>17564.07</v>
      </c>
      <c r="I25" s="115">
        <f t="shared" si="18"/>
        <v>0.8897164306121208</v>
      </c>
      <c r="J25" s="425" t="str">
        <f t="shared" si="7"/>
        <v/>
      </c>
      <c r="K25" s="425">
        <f t="shared" si="8"/>
        <v>-0.99999436308590051</v>
      </c>
      <c r="L25" s="117">
        <f>+L23+L24</f>
        <v>0</v>
      </c>
      <c r="M25" s="113" t="e">
        <f t="shared" si="19"/>
        <v>#DIV/0!</v>
      </c>
      <c r="N25" s="117">
        <v>9448234726.5699997</v>
      </c>
      <c r="O25" s="113">
        <f t="shared" si="20"/>
        <v>0.54527301184125332</v>
      </c>
      <c r="P25" s="117">
        <f>+P23+P24</f>
        <v>69805.53</v>
      </c>
      <c r="Q25" s="115">
        <f t="shared" si="21"/>
        <v>0.49427812186077708</v>
      </c>
      <c r="R25" s="116" t="str">
        <f t="shared" si="9"/>
        <v/>
      </c>
      <c r="S25" s="374">
        <f t="shared" si="10"/>
        <v>-0.99999261179130061</v>
      </c>
      <c r="T25" s="419"/>
      <c r="U25" s="419"/>
      <c r="V25" s="419"/>
      <c r="W25" s="48"/>
      <c r="X25" s="20"/>
      <c r="Y25" s="20"/>
      <c r="Z25" s="140"/>
      <c r="AA25" s="20"/>
      <c r="AB25" s="140"/>
      <c r="AC25" s="20"/>
      <c r="AD25" s="20"/>
      <c r="AE25" s="20"/>
      <c r="AF25" s="48"/>
      <c r="AG25" s="140"/>
      <c r="AH25" s="20"/>
      <c r="AI25" s="20"/>
      <c r="AJ25" s="15"/>
      <c r="AK25" s="15"/>
      <c r="AL25" s="15"/>
    </row>
    <row r="26" spans="1:39" ht="15.75" thickBot="1" x14ac:dyDescent="0.3">
      <c r="B26" s="11"/>
      <c r="C26" s="112" t="s">
        <v>74</v>
      </c>
      <c r="D26" s="117">
        <f>D22+D25</f>
        <v>0</v>
      </c>
      <c r="E26" s="113" t="e">
        <f t="shared" si="16"/>
        <v>#DIV/0!</v>
      </c>
      <c r="F26" s="117">
        <v>4696183541.1000004</v>
      </c>
      <c r="G26" s="113">
        <f t="shared" si="17"/>
        <v>0.72954306722312701</v>
      </c>
      <c r="H26" s="117">
        <f>H22+H25</f>
        <v>20201.22</v>
      </c>
      <c r="I26" s="115">
        <f t="shared" si="18"/>
        <v>1.0233025348003162</v>
      </c>
      <c r="J26" s="425" t="str">
        <f t="shared" si="7"/>
        <v/>
      </c>
      <c r="K26" s="425">
        <f t="shared" si="8"/>
        <v>-0.99999569837511171</v>
      </c>
      <c r="L26" s="117">
        <f>L22+L25</f>
        <v>0</v>
      </c>
      <c r="M26" s="113" t="e">
        <f t="shared" si="19"/>
        <v>#DIV/0!</v>
      </c>
      <c r="N26" s="117">
        <v>13589514540</v>
      </c>
      <c r="O26" s="113">
        <f t="shared" si="20"/>
        <v>0.78427301365070556</v>
      </c>
      <c r="P26" s="117">
        <f>P22+P25</f>
        <v>87331.7</v>
      </c>
      <c r="Q26" s="115">
        <f t="shared" si="21"/>
        <v>0.61837720671856267</v>
      </c>
      <c r="R26" s="116" t="str">
        <f t="shared" si="9"/>
        <v/>
      </c>
      <c r="S26" s="374">
        <f t="shared" si="10"/>
        <v>-0.99999357359677976</v>
      </c>
      <c r="T26" s="419"/>
      <c r="U26" s="419"/>
      <c r="V26" s="419"/>
      <c r="W26" s="20"/>
      <c r="X26" s="140"/>
      <c r="Y26" s="20"/>
      <c r="Z26" s="20"/>
      <c r="AA26" s="20"/>
      <c r="AB26" s="20"/>
      <c r="AC26" s="20"/>
      <c r="AD26" s="20"/>
      <c r="AE26" s="15"/>
      <c r="AF26" s="15"/>
      <c r="AG26" s="87"/>
      <c r="AJ26" s="15"/>
    </row>
    <row r="27" spans="1:39" ht="15.75" thickBot="1" x14ac:dyDescent="0.3">
      <c r="B27" s="11"/>
      <c r="C27" s="73" t="s">
        <v>75</v>
      </c>
      <c r="D27" s="141">
        <f>D19-D26</f>
        <v>0</v>
      </c>
      <c r="E27" s="142" t="e">
        <f t="shared" si="16"/>
        <v>#DIV/0!</v>
      </c>
      <c r="F27" s="141">
        <v>1740973841.5</v>
      </c>
      <c r="G27" s="142">
        <f t="shared" si="17"/>
        <v>0.27045693277687299</v>
      </c>
      <c r="H27" s="141">
        <f>H19-H26</f>
        <v>-460.02000000000044</v>
      </c>
      <c r="I27" s="143">
        <f t="shared" si="18"/>
        <v>-2.3302534800316112E-2</v>
      </c>
      <c r="J27" s="435" t="str">
        <f t="shared" si="7"/>
        <v/>
      </c>
      <c r="K27" s="435">
        <f t="shared" si="8"/>
        <v>-1.0000002642314256</v>
      </c>
      <c r="L27" s="141">
        <f>L19-L26</f>
        <v>0</v>
      </c>
      <c r="M27" s="142" t="e">
        <f t="shared" si="19"/>
        <v>#DIV/0!</v>
      </c>
      <c r="N27" s="141">
        <v>3738015928.9400024</v>
      </c>
      <c r="O27" s="142">
        <f t="shared" si="20"/>
        <v>0.21572698634929438</v>
      </c>
      <c r="P27" s="141">
        <f>P19-P26</f>
        <v>-721.52999999998428</v>
      </c>
      <c r="Q27" s="145">
        <f t="shared" si="21"/>
        <v>-5.1090005801288051E-3</v>
      </c>
      <c r="R27" s="146" t="str">
        <f t="shared" si="9"/>
        <v/>
      </c>
      <c r="S27" s="146">
        <f t="shared" si="10"/>
        <v>-1.0000001930248597</v>
      </c>
      <c r="T27" s="419"/>
      <c r="U27" s="419"/>
      <c r="V27" s="419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87"/>
      <c r="AJ27" s="15"/>
      <c r="AK27" s="20"/>
    </row>
    <row r="28" spans="1:39" x14ac:dyDescent="0.25">
      <c r="B28" s="11" t="s">
        <v>106</v>
      </c>
      <c r="C28" s="81" t="s">
        <v>76</v>
      </c>
      <c r="D28" s="83"/>
      <c r="E28" s="126" t="e">
        <f t="shared" si="16"/>
        <v>#DIV/0!</v>
      </c>
      <c r="F28" s="83"/>
      <c r="G28" s="126">
        <f t="shared" si="17"/>
        <v>0</v>
      </c>
      <c r="H28" s="83"/>
      <c r="I28" s="127">
        <f t="shared" si="18"/>
        <v>0</v>
      </c>
      <c r="J28" s="427" t="str">
        <f t="shared" si="7"/>
        <v/>
      </c>
      <c r="K28" s="427" t="str">
        <f t="shared" si="8"/>
        <v/>
      </c>
      <c r="L28" s="83">
        <f t="shared" ref="L28" si="28">+T28+D28</f>
        <v>0</v>
      </c>
      <c r="M28" s="126" t="e">
        <f t="shared" si="19"/>
        <v>#DIV/0!</v>
      </c>
      <c r="N28" s="83"/>
      <c r="O28" s="126">
        <f t="shared" si="20"/>
        <v>0</v>
      </c>
      <c r="P28" s="83"/>
      <c r="Q28" s="127">
        <f t="shared" si="21"/>
        <v>0</v>
      </c>
      <c r="R28" s="148" t="str">
        <f t="shared" si="9"/>
        <v/>
      </c>
      <c r="S28" s="148" t="str">
        <f t="shared" si="10"/>
        <v/>
      </c>
      <c r="T28" s="419"/>
      <c r="U28" s="419"/>
      <c r="V28" s="419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87"/>
      <c r="AJ28" s="15"/>
    </row>
    <row r="29" spans="1:39" ht="15.75" thickBot="1" x14ac:dyDescent="0.3">
      <c r="B29" s="11" t="s">
        <v>107</v>
      </c>
      <c r="C29" s="81" t="s">
        <v>77</v>
      </c>
      <c r="D29" s="83"/>
      <c r="E29" s="126" t="e">
        <f t="shared" si="16"/>
        <v>#DIV/0!</v>
      </c>
      <c r="F29" s="83">
        <v>77461853.019999996</v>
      </c>
      <c r="G29" s="126">
        <f t="shared" si="17"/>
        <v>1.2033549658018889E-2</v>
      </c>
      <c r="H29" s="83">
        <v>285</v>
      </c>
      <c r="I29" s="127">
        <f t="shared" si="18"/>
        <v>1.4436812351832714E-2</v>
      </c>
      <c r="J29" s="427" t="str">
        <f t="shared" si="7"/>
        <v/>
      </c>
      <c r="K29" s="427">
        <f t="shared" si="8"/>
        <v>-0.99999632076965772</v>
      </c>
      <c r="L29" s="83"/>
      <c r="M29" s="126" t="e">
        <f t="shared" si="19"/>
        <v>#DIV/0!</v>
      </c>
      <c r="N29" s="83">
        <v>222594517.43000001</v>
      </c>
      <c r="O29" s="126">
        <f t="shared" si="20"/>
        <v>1.2846292080051789E-2</v>
      </c>
      <c r="P29" s="83">
        <v>2562.06</v>
      </c>
      <c r="Q29" s="127">
        <f t="shared" si="21"/>
        <v>1.8141402334379848E-2</v>
      </c>
      <c r="R29" s="148" t="str">
        <f t="shared" si="9"/>
        <v/>
      </c>
      <c r="S29" s="148">
        <f t="shared" si="10"/>
        <v>-0.99998849001300849</v>
      </c>
      <c r="T29" s="419"/>
      <c r="U29" s="419"/>
      <c r="V29" s="419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87"/>
      <c r="AJ29" s="15"/>
    </row>
    <row r="30" spans="1:39" ht="15.75" thickBot="1" x14ac:dyDescent="0.3">
      <c r="B30" s="11"/>
      <c r="C30" s="73" t="s">
        <v>78</v>
      </c>
      <c r="D30" s="141">
        <f>D27+D28-D29</f>
        <v>0</v>
      </c>
      <c r="E30" s="142" t="e">
        <f t="shared" si="16"/>
        <v>#DIV/0!</v>
      </c>
      <c r="F30" s="141">
        <v>1663511988.48</v>
      </c>
      <c r="G30" s="142">
        <f t="shared" si="17"/>
        <v>0.2584233831188541</v>
      </c>
      <c r="H30" s="141">
        <f>H27+H28-H29</f>
        <v>-745.02000000000044</v>
      </c>
      <c r="I30" s="143">
        <f t="shared" si="18"/>
        <v>-3.7739347152148828E-2</v>
      </c>
      <c r="J30" s="435" t="str">
        <f t="shared" si="7"/>
        <v/>
      </c>
      <c r="K30" s="435">
        <f t="shared" si="8"/>
        <v>-1.000000447859712</v>
      </c>
      <c r="L30" s="141">
        <f>L27+L28-L29</f>
        <v>0</v>
      </c>
      <c r="M30" s="142" t="e">
        <f t="shared" si="19"/>
        <v>#DIV/0!</v>
      </c>
      <c r="N30" s="141">
        <v>3515421411.5100026</v>
      </c>
      <c r="O30" s="142">
        <f t="shared" si="20"/>
        <v>0.2028806942692426</v>
      </c>
      <c r="P30" s="141">
        <f>P27+P28-P29</f>
        <v>-3283.5899999999842</v>
      </c>
      <c r="Q30" s="143">
        <f t="shared" si="21"/>
        <v>-2.3250402914508653E-2</v>
      </c>
      <c r="R30" s="144" t="str">
        <f t="shared" si="9"/>
        <v/>
      </c>
      <c r="S30" s="146">
        <f t="shared" si="10"/>
        <v>-1.000000934053024</v>
      </c>
      <c r="T30" s="419"/>
      <c r="U30" s="419"/>
      <c r="V30" s="419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87"/>
      <c r="AJ30" s="15"/>
      <c r="AK30" s="15"/>
      <c r="AL30" s="15"/>
      <c r="AM30" s="15"/>
    </row>
    <row r="31" spans="1:39" ht="15.75" thickBot="1" x14ac:dyDescent="0.3">
      <c r="B31" s="11" t="s">
        <v>108</v>
      </c>
      <c r="C31" s="81" t="s">
        <v>62</v>
      </c>
      <c r="D31" s="158"/>
      <c r="E31" s="436" t="e">
        <f t="shared" si="16"/>
        <v>#DIV/0!</v>
      </c>
      <c r="F31" s="158"/>
      <c r="G31" s="436">
        <f t="shared" si="17"/>
        <v>0</v>
      </c>
      <c r="H31" s="158"/>
      <c r="I31" s="437">
        <f t="shared" si="18"/>
        <v>0</v>
      </c>
      <c r="J31" s="438" t="str">
        <f t="shared" si="7"/>
        <v/>
      </c>
      <c r="K31" s="438" t="str">
        <f t="shared" si="8"/>
        <v/>
      </c>
      <c r="L31" s="158">
        <f t="shared" ref="L31" si="29">+T31+D31</f>
        <v>0</v>
      </c>
      <c r="M31" s="436" t="e">
        <f t="shared" si="19"/>
        <v>#DIV/0!</v>
      </c>
      <c r="N31" s="158">
        <v>19797676.789999999</v>
      </c>
      <c r="O31" s="436">
        <f t="shared" si="20"/>
        <v>1.1425561666440461E-3</v>
      </c>
      <c r="P31" s="158"/>
      <c r="Q31" s="437">
        <f t="shared" si="21"/>
        <v>0</v>
      </c>
      <c r="R31" s="439" t="str">
        <f t="shared" si="9"/>
        <v/>
      </c>
      <c r="S31" s="439">
        <f t="shared" si="10"/>
        <v>-1</v>
      </c>
      <c r="T31" s="419"/>
      <c r="U31" s="419"/>
      <c r="V31" s="419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87"/>
      <c r="AJ31" s="15"/>
      <c r="AK31" s="15"/>
      <c r="AL31" s="15"/>
      <c r="AM31" s="15"/>
    </row>
    <row r="32" spans="1:39" ht="15.75" thickBot="1" x14ac:dyDescent="0.3">
      <c r="B32" s="11"/>
      <c r="C32" s="73" t="s">
        <v>79</v>
      </c>
      <c r="D32" s="141">
        <f>D30-D31</f>
        <v>0</v>
      </c>
      <c r="E32" s="142" t="e">
        <f t="shared" si="16"/>
        <v>#DIV/0!</v>
      </c>
      <c r="F32" s="141">
        <v>1663511988.48</v>
      </c>
      <c r="G32" s="142">
        <f t="shared" si="17"/>
        <v>0.2584233831188541</v>
      </c>
      <c r="H32" s="141">
        <f>+H30-H31</f>
        <v>-745.02000000000044</v>
      </c>
      <c r="I32" s="143">
        <f t="shared" si="18"/>
        <v>-3.7739347152148828E-2</v>
      </c>
      <c r="J32" s="435" t="str">
        <f t="shared" si="7"/>
        <v/>
      </c>
      <c r="K32" s="435">
        <f t="shared" si="8"/>
        <v>-1.000000447859712</v>
      </c>
      <c r="L32" s="141">
        <f>+L30-L31</f>
        <v>0</v>
      </c>
      <c r="M32" s="142" t="e">
        <f t="shared" si="19"/>
        <v>#DIV/0!</v>
      </c>
      <c r="N32" s="141">
        <v>3495623734.7200027</v>
      </c>
      <c r="O32" s="142">
        <f>+N32/$N$17</f>
        <v>0.20173813810259855</v>
      </c>
      <c r="P32" s="141">
        <f>+P30-P31</f>
        <v>-3283.5899999999842</v>
      </c>
      <c r="Q32" s="143">
        <f t="shared" si="21"/>
        <v>-2.3250402914508653E-2</v>
      </c>
      <c r="R32" s="144" t="str">
        <f t="shared" si="9"/>
        <v/>
      </c>
      <c r="S32" s="146">
        <f t="shared" si="10"/>
        <v>-1.00000093934309</v>
      </c>
      <c r="T32" s="419"/>
      <c r="U32" s="419"/>
      <c r="V32" s="419"/>
      <c r="X32" s="15"/>
      <c r="Y32" s="15"/>
      <c r="Z32" s="15"/>
      <c r="AA32" s="15"/>
      <c r="AB32" s="15"/>
      <c r="AC32" s="15"/>
      <c r="AD32" s="15"/>
      <c r="AE32" s="15"/>
      <c r="AF32" s="15"/>
      <c r="AG32" s="87"/>
      <c r="AJ32" s="15"/>
      <c r="AK32" s="15"/>
      <c r="AL32" s="15"/>
      <c r="AM32" s="15"/>
    </row>
    <row r="33" spans="2:39" ht="15.75" thickBot="1" x14ac:dyDescent="0.3">
      <c r="B33" s="11"/>
      <c r="C33" s="104" t="s">
        <v>81</v>
      </c>
      <c r="D33" s="141">
        <f>+D32</f>
        <v>0</v>
      </c>
      <c r="E33" s="142" t="e">
        <f t="shared" si="16"/>
        <v>#DIV/0!</v>
      </c>
      <c r="F33" s="141">
        <v>1663511988.48</v>
      </c>
      <c r="G33" s="142">
        <f t="shared" si="17"/>
        <v>0.2584233831188541</v>
      </c>
      <c r="H33" s="141">
        <f>+H32</f>
        <v>-745.02000000000044</v>
      </c>
      <c r="I33" s="143">
        <f t="shared" si="18"/>
        <v>-3.7739347152148828E-2</v>
      </c>
      <c r="J33" s="435" t="str">
        <f t="shared" si="7"/>
        <v/>
      </c>
      <c r="K33" s="435">
        <f t="shared" si="8"/>
        <v>-1.000000447859712</v>
      </c>
      <c r="L33" s="141">
        <f>+L32</f>
        <v>0</v>
      </c>
      <c r="M33" s="142" t="e">
        <f t="shared" si="19"/>
        <v>#DIV/0!</v>
      </c>
      <c r="N33" s="141">
        <v>3495623734.7200027</v>
      </c>
      <c r="O33" s="142">
        <f>+N33/$N$17</f>
        <v>0.20173813810259855</v>
      </c>
      <c r="P33" s="141">
        <f>+P32</f>
        <v>-3283.5899999999842</v>
      </c>
      <c r="Q33" s="143">
        <f t="shared" si="21"/>
        <v>-2.3250402914508653E-2</v>
      </c>
      <c r="R33" s="144" t="str">
        <f t="shared" si="9"/>
        <v/>
      </c>
      <c r="S33" s="146">
        <f t="shared" si="10"/>
        <v>-1.00000093934309</v>
      </c>
      <c r="T33" s="419"/>
      <c r="U33" s="419"/>
      <c r="V33" s="419"/>
      <c r="AG33" s="149"/>
      <c r="AH33" s="10"/>
      <c r="AJ33" s="15"/>
      <c r="AK33" s="15"/>
      <c r="AL33" s="15"/>
      <c r="AM33" s="15"/>
    </row>
    <row r="34" spans="2:39" x14ac:dyDescent="0.25">
      <c r="B34" s="11" t="s">
        <v>109</v>
      </c>
      <c r="C34" s="440" t="s">
        <v>45</v>
      </c>
      <c r="D34" s="441"/>
      <c r="E34" s="442" t="e">
        <f t="shared" si="16"/>
        <v>#DIV/0!</v>
      </c>
      <c r="F34" s="441">
        <v>1008875316.26</v>
      </c>
      <c r="G34" s="442">
        <f t="shared" si="17"/>
        <v>0.15672683706429905</v>
      </c>
      <c r="H34" s="441">
        <v>11187.17</v>
      </c>
      <c r="I34" s="443">
        <f t="shared" si="18"/>
        <v>0.56669148785281542</v>
      </c>
      <c r="J34" s="444"/>
      <c r="K34" s="444"/>
      <c r="L34" s="83"/>
      <c r="M34" s="442"/>
      <c r="N34" s="441">
        <v>3674357952.3200002</v>
      </c>
      <c r="O34" s="442"/>
      <c r="P34" s="441">
        <v>41264.71</v>
      </c>
      <c r="Q34" s="382">
        <f t="shared" si="21"/>
        <v>0.29218664134388245</v>
      </c>
      <c r="R34" s="445" t="str">
        <f t="shared" si="9"/>
        <v/>
      </c>
      <c r="S34" s="445">
        <f t="shared" si="10"/>
        <v>-0.99998876954544558</v>
      </c>
      <c r="T34" s="419"/>
      <c r="U34" s="419"/>
      <c r="V34" s="419"/>
      <c r="AG34" s="149"/>
      <c r="AH34" s="10"/>
      <c r="AJ34" s="15"/>
      <c r="AK34" s="15"/>
      <c r="AL34" s="15"/>
      <c r="AM34" s="15"/>
    </row>
    <row r="35" spans="2:39" s="15" customFormat="1" x14ac:dyDescent="0.25">
      <c r="C35" s="226"/>
      <c r="D35" s="446"/>
      <c r="E35" s="192"/>
      <c r="F35" s="192" t="s">
        <v>135</v>
      </c>
      <c r="G35" s="192"/>
      <c r="H35" s="192" t="s">
        <v>70</v>
      </c>
      <c r="I35" s="192"/>
      <c r="J35" s="192"/>
      <c r="K35" s="192"/>
      <c r="L35" s="192"/>
      <c r="M35" s="192"/>
      <c r="N35" s="228" t="s">
        <v>135</v>
      </c>
      <c r="O35" s="20"/>
      <c r="P35" s="228" t="s">
        <v>70</v>
      </c>
      <c r="Q35" s="20"/>
      <c r="R35" s="20"/>
      <c r="S35" s="20"/>
      <c r="T35" s="447"/>
      <c r="U35" s="447"/>
      <c r="V35" s="447"/>
      <c r="W35" s="448"/>
      <c r="X35" s="10"/>
      <c r="Y35" s="10"/>
      <c r="Z35" s="10"/>
      <c r="AA35" s="10"/>
      <c r="AB35" s="10"/>
      <c r="AC35" s="10"/>
      <c r="AD35" s="10"/>
      <c r="AE35" s="10"/>
      <c r="AF35" s="10"/>
      <c r="AG35" s="149"/>
      <c r="AH35" s="10"/>
    </row>
    <row r="36" spans="2:39" s="15" customFormat="1" x14ac:dyDescent="0.25">
      <c r="C36" s="20"/>
      <c r="D36" s="446"/>
      <c r="E36" s="20"/>
      <c r="F36" s="20"/>
      <c r="G36" s="20"/>
      <c r="H36" s="140"/>
      <c r="I36" s="20"/>
      <c r="J36" s="20"/>
      <c r="K36" s="20"/>
      <c r="L36" s="20"/>
      <c r="M36" s="20"/>
      <c r="N36" s="140"/>
      <c r="O36" s="20"/>
      <c r="P36" s="140"/>
      <c r="Q36" s="20"/>
      <c r="R36" s="140"/>
      <c r="S36" s="140"/>
      <c r="T36" s="399"/>
      <c r="U36" s="399"/>
      <c r="V36" s="399"/>
      <c r="W36" s="10"/>
      <c r="X36" s="10"/>
      <c r="Y36" s="10"/>
      <c r="Z36" s="10"/>
      <c r="AA36" s="10"/>
      <c r="AB36" s="10"/>
      <c r="AG36" s="87"/>
    </row>
    <row r="37" spans="2:39" s="15" customFormat="1" x14ac:dyDescent="0.25">
      <c r="C37" s="20"/>
      <c r="D37" s="449"/>
      <c r="N37" s="87"/>
      <c r="P37" s="87"/>
      <c r="R37" s="20"/>
      <c r="S37" s="20"/>
      <c r="T37" s="295"/>
      <c r="U37" s="295"/>
      <c r="V37" s="295"/>
      <c r="W37" s="10"/>
      <c r="X37" s="10"/>
      <c r="Y37" s="10"/>
      <c r="Z37" s="10"/>
      <c r="AA37" s="10"/>
      <c r="AB37" s="10"/>
      <c r="AG37" s="87"/>
    </row>
    <row r="38" spans="2:39" s="15" customFormat="1" x14ac:dyDescent="0.25">
      <c r="C38" s="10"/>
      <c r="D38" s="314"/>
      <c r="F38" s="449"/>
      <c r="N38" s="87"/>
      <c r="P38" s="87"/>
      <c r="R38" s="10"/>
      <c r="S38" s="10"/>
      <c r="T38" s="295"/>
      <c r="U38" s="295"/>
      <c r="V38" s="295"/>
      <c r="W38" s="10"/>
      <c r="X38" s="10"/>
      <c r="Y38" s="10"/>
      <c r="Z38" s="10"/>
      <c r="AA38" s="10"/>
      <c r="AB38" s="10"/>
      <c r="AG38" s="87"/>
    </row>
    <row r="39" spans="2:39" s="15" customFormat="1" x14ac:dyDescent="0.25">
      <c r="C39" s="10"/>
      <c r="F39" s="449"/>
      <c r="R39" s="10"/>
      <c r="S39" s="10"/>
      <c r="T39" s="295"/>
      <c r="U39" s="295"/>
      <c r="V39" s="295"/>
      <c r="W39" s="10"/>
      <c r="X39" s="10"/>
      <c r="Y39" s="10"/>
      <c r="Z39" s="10"/>
      <c r="AA39" s="10"/>
      <c r="AB39" s="10"/>
    </row>
    <row r="40" spans="2:39" s="15" customFormat="1" x14ac:dyDescent="0.25">
      <c r="C40" s="10"/>
      <c r="D40" s="10"/>
      <c r="E40" s="10"/>
      <c r="F40" s="149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295"/>
      <c r="U40" s="295"/>
      <c r="V40" s="295"/>
      <c r="W40" s="10"/>
      <c r="X40" s="10"/>
      <c r="Y40" s="10"/>
      <c r="Z40" s="10"/>
      <c r="AA40" s="10"/>
      <c r="AB40" s="10"/>
    </row>
    <row r="41" spans="2:39" s="15" customFormat="1" x14ac:dyDescent="0.25"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295"/>
      <c r="U41" s="139"/>
      <c r="V41" s="139"/>
      <c r="W41" s="10"/>
      <c r="X41" s="10"/>
      <c r="Y41" s="10"/>
      <c r="Z41" s="10"/>
      <c r="AA41" s="10"/>
      <c r="AB41" s="10"/>
    </row>
    <row r="42" spans="2:39" s="15" customFormat="1" x14ac:dyDescent="0.25"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295"/>
      <c r="U42" s="139"/>
      <c r="V42" s="139"/>
      <c r="W42" s="10"/>
      <c r="X42" s="10"/>
      <c r="Y42" s="10"/>
      <c r="Z42" s="10"/>
      <c r="AA42" s="10"/>
      <c r="AB42" s="10"/>
    </row>
    <row r="43" spans="2:39" x14ac:dyDescent="0.25">
      <c r="F43" s="10"/>
      <c r="L43" s="10"/>
      <c r="N43" s="10"/>
    </row>
    <row r="44" spans="2:39" x14ac:dyDescent="0.25">
      <c r="B44" s="10" t="s">
        <v>82</v>
      </c>
      <c r="D44" s="220"/>
      <c r="E44" s="179"/>
      <c r="F44" s="10"/>
      <c r="G44" s="179"/>
      <c r="H44" s="220"/>
      <c r="I44" s="179"/>
      <c r="J44" s="179"/>
      <c r="K44" s="179"/>
      <c r="L44" s="220"/>
      <c r="M44" s="179"/>
      <c r="N44" s="10"/>
      <c r="O44" s="179"/>
      <c r="P44" s="179"/>
    </row>
    <row r="45" spans="2:39" x14ac:dyDescent="0.25">
      <c r="F45" s="10"/>
      <c r="L45" s="10"/>
      <c r="N45" s="10"/>
      <c r="T45" s="419"/>
      <c r="U45" s="181"/>
      <c r="V45" s="181"/>
    </row>
    <row r="46" spans="2:39" x14ac:dyDescent="0.25">
      <c r="F46" s="10"/>
      <c r="L46" s="10"/>
      <c r="N46" s="220"/>
      <c r="T46" s="419"/>
      <c r="U46" s="181"/>
      <c r="V46" s="181"/>
    </row>
    <row r="47" spans="2:39" x14ac:dyDescent="0.25">
      <c r="F47" s="10"/>
      <c r="L47" s="10"/>
      <c r="N47" s="10"/>
    </row>
    <row r="48" spans="2:39" x14ac:dyDescent="0.25">
      <c r="F48" s="220"/>
      <c r="L48" s="10"/>
      <c r="N48" s="10"/>
    </row>
    <row r="49" spans="6:14" x14ac:dyDescent="0.25">
      <c r="F49" s="10"/>
      <c r="L49" s="10"/>
      <c r="N49" s="10"/>
    </row>
    <row r="50" spans="6:14" x14ac:dyDescent="0.25">
      <c r="F50" s="10"/>
      <c r="L50" s="10"/>
      <c r="N50" s="10"/>
    </row>
    <row r="51" spans="6:14" x14ac:dyDescent="0.25">
      <c r="F51" s="10"/>
      <c r="L51" s="10"/>
      <c r="N51" s="10"/>
    </row>
    <row r="52" spans="6:14" x14ac:dyDescent="0.25">
      <c r="F52" s="10"/>
      <c r="L52" s="10"/>
      <c r="N52" s="10"/>
    </row>
    <row r="53" spans="6:14" x14ac:dyDescent="0.25">
      <c r="F53" s="10"/>
      <c r="L53" s="10"/>
      <c r="N53" s="10"/>
    </row>
  </sheetData>
  <mergeCells count="14">
    <mergeCell ref="AG5:AI5"/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62BD4-EB58-4B92-B3FD-5AD53B4022F7}">
  <dimension ref="A1:AE47"/>
  <sheetViews>
    <sheetView topLeftCell="C13" workbookViewId="0">
      <selection activeCell="P22" sqref="P22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3.140625" style="10" customWidth="1"/>
    <col min="5" max="5" width="0.28515625" style="10" customWidth="1"/>
    <col min="6" max="6" width="11.5703125" style="10" customWidth="1"/>
    <col min="7" max="7" width="0.140625" style="10" customWidth="1"/>
    <col min="8" max="8" width="8.7109375" style="10" customWidth="1"/>
    <col min="9" max="9" width="0.28515625" style="10" customWidth="1"/>
    <col min="10" max="13" width="8.7109375" style="10" customWidth="1"/>
    <col min="14" max="14" width="13" style="10" customWidth="1"/>
    <col min="15" max="15" width="8.28515625" style="10" customWidth="1"/>
    <col min="16" max="16" width="12.140625" style="10" customWidth="1"/>
    <col min="17" max="17" width="8.7109375" style="10" customWidth="1"/>
    <col min="18" max="18" width="7.7109375" style="10" customWidth="1"/>
    <col min="19" max="19" width="5.85546875" style="10" customWidth="1"/>
    <col min="20" max="20" width="11.42578125" style="15"/>
    <col min="21" max="21" width="15.28515625" style="15" customWidth="1"/>
    <col min="22" max="22" width="11.42578125" style="12" customWidth="1"/>
    <col min="23" max="23" width="34.140625" style="10" hidden="1" customWidth="1"/>
    <col min="24" max="24" width="0" style="10" hidden="1" customWidth="1"/>
    <col min="25" max="25" width="11.5703125" style="10" hidden="1" customWidth="1"/>
    <col min="26" max="27" width="0" style="10" hidden="1" customWidth="1"/>
    <col min="28" max="28" width="10" style="10" hidden="1" customWidth="1"/>
    <col min="29" max="29" width="9.42578125" style="10" hidden="1" customWidth="1"/>
    <col min="30" max="16384" width="11.42578125" style="10"/>
  </cols>
  <sheetData>
    <row r="1" spans="1:31" s="4" customFormat="1" ht="30.75" hidden="1" thickBot="1" x14ac:dyDescent="0.3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4" t="s">
        <v>6</v>
      </c>
      <c r="P1" s="4" t="s">
        <v>7</v>
      </c>
      <c r="T1" s="8"/>
      <c r="U1" s="8"/>
      <c r="V1" s="5"/>
    </row>
    <row r="2" spans="1:31" ht="31.5" hidden="1" thickBot="1" x14ac:dyDescent="0.3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0">
        <f>B2</f>
        <v>201301</v>
      </c>
      <c r="L2" s="10" t="str">
        <f>CONCATENATE(LEFT(D2,4),"01")</f>
        <v>201301</v>
      </c>
      <c r="N2" s="10" t="str">
        <f>+F2</f>
        <v>201201</v>
      </c>
      <c r="P2" s="11">
        <f>D2</f>
        <v>201301</v>
      </c>
      <c r="Z2" s="14"/>
    </row>
    <row r="3" spans="1:31" ht="19.5" hidden="1" thickBot="1" x14ac:dyDescent="0.35">
      <c r="B3" s="10">
        <v>1000</v>
      </c>
      <c r="C3" s="17" t="s">
        <v>163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450"/>
      <c r="W3" s="19"/>
      <c r="X3" s="19"/>
      <c r="Y3" s="19"/>
      <c r="Z3" s="19"/>
      <c r="AA3" s="19"/>
      <c r="AB3" s="19"/>
      <c r="AC3" s="19"/>
    </row>
    <row r="4" spans="1:31" ht="19.5" thickBot="1" x14ac:dyDescent="0.35">
      <c r="A4" s="10" t="s">
        <v>93</v>
      </c>
      <c r="B4" s="10">
        <v>1</v>
      </c>
      <c r="C4" s="21"/>
      <c r="D4" s="182"/>
      <c r="E4" s="26"/>
      <c r="F4" s="26"/>
      <c r="G4" s="26"/>
      <c r="H4" s="27"/>
      <c r="I4" s="27"/>
      <c r="J4" s="402"/>
      <c r="K4" s="403"/>
      <c r="L4" s="25" t="s">
        <v>12</v>
      </c>
      <c r="M4" s="26"/>
      <c r="N4" s="26"/>
      <c r="O4" s="26"/>
      <c r="P4" s="27"/>
      <c r="Q4" s="27"/>
      <c r="R4" s="27"/>
      <c r="S4" s="27"/>
      <c r="W4" s="14"/>
      <c r="Y4" s="451"/>
      <c r="Z4" s="451"/>
    </row>
    <row r="5" spans="1:31" ht="15.75" customHeight="1" thickBot="1" x14ac:dyDescent="0.3">
      <c r="A5" s="10" t="s">
        <v>94</v>
      </c>
      <c r="B5" s="10" t="s">
        <v>95</v>
      </c>
      <c r="C5" s="36" t="s">
        <v>164</v>
      </c>
      <c r="D5" s="452" t="str">
        <f>+'COLOMB$ '!D5:E5</f>
        <v>Ppto 2022</v>
      </c>
      <c r="E5" s="453"/>
      <c r="F5" s="452" t="str">
        <f>+'COLOMB$ '!F5:G5</f>
        <v>Real 2021</v>
      </c>
      <c r="G5" s="453"/>
      <c r="H5" s="452" t="str">
        <f>+'COLOMB$ '!H5:I5</f>
        <v>real 2022</v>
      </c>
      <c r="I5" s="453"/>
      <c r="J5" s="409" t="s">
        <v>19</v>
      </c>
      <c r="K5" s="409" t="s">
        <v>20</v>
      </c>
      <c r="L5" s="410" t="str">
        <f>+D5</f>
        <v>Ppto 2022</v>
      </c>
      <c r="M5" s="206"/>
      <c r="N5" s="410" t="str">
        <f>+F5</f>
        <v>Real 2021</v>
      </c>
      <c r="O5" s="206"/>
      <c r="P5" s="410" t="str">
        <f>+H5</f>
        <v>real 2022</v>
      </c>
      <c r="Q5" s="206"/>
      <c r="R5" s="411" t="s">
        <v>19</v>
      </c>
      <c r="S5" s="412" t="s">
        <v>20</v>
      </c>
      <c r="T5" s="454"/>
      <c r="U5" s="455"/>
      <c r="W5" s="338"/>
      <c r="X5" s="456"/>
      <c r="Y5" s="47"/>
      <c r="Z5" s="47"/>
      <c r="AA5" s="47"/>
      <c r="AB5" s="47"/>
      <c r="AC5" s="47"/>
    </row>
    <row r="6" spans="1:31" ht="15.75" thickBot="1" x14ac:dyDescent="0.3">
      <c r="C6" s="50" t="s">
        <v>25</v>
      </c>
      <c r="D6" s="51" t="s">
        <v>26</v>
      </c>
      <c r="E6" s="52" t="s">
        <v>27</v>
      </c>
      <c r="F6" s="51" t="s">
        <v>26</v>
      </c>
      <c r="G6" s="53" t="s">
        <v>27</v>
      </c>
      <c r="H6" s="186" t="s">
        <v>26</v>
      </c>
      <c r="I6" s="54" t="s">
        <v>27</v>
      </c>
      <c r="J6" s="417" t="s">
        <v>28</v>
      </c>
      <c r="K6" s="417" t="s">
        <v>28</v>
      </c>
      <c r="L6" s="186" t="s">
        <v>26</v>
      </c>
      <c r="M6" s="52" t="s">
        <v>27</v>
      </c>
      <c r="N6" s="51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4" t="s">
        <v>28</v>
      </c>
      <c r="T6" s="457"/>
      <c r="U6" s="458"/>
      <c r="V6" s="459"/>
      <c r="W6" s="346"/>
      <c r="X6" s="58"/>
      <c r="Y6" s="63"/>
      <c r="Z6" s="63"/>
      <c r="AA6" s="63"/>
      <c r="AB6" s="63"/>
      <c r="AC6" s="349"/>
    </row>
    <row r="7" spans="1:31" ht="15.75" thickBot="1" x14ac:dyDescent="0.3">
      <c r="B7" s="11" t="s">
        <v>96</v>
      </c>
      <c r="C7" s="65" t="str">
        <f>+'COLOMB$ '!C7</f>
        <v>Fact. Musical Experience  (Ambiental)</v>
      </c>
      <c r="D7" s="66"/>
      <c r="E7" s="67" t="e">
        <f t="shared" ref="E7:E12" si="0">+D7/$D$16</f>
        <v>#DIV/0!</v>
      </c>
      <c r="F7" s="66"/>
      <c r="G7" s="67" t="e">
        <f t="shared" ref="G7:G12" si="1">+F7/$F$16</f>
        <v>#DIV/0!</v>
      </c>
      <c r="H7" s="66"/>
      <c r="I7" s="68" t="e">
        <f t="shared" ref="I7:I12" si="2">+H7/$H$16</f>
        <v>#DIV/0!</v>
      </c>
      <c r="J7" s="418" t="str">
        <f>IF(D7=0,"",(H7-D7)/ABS(D7)+1)</f>
        <v/>
      </c>
      <c r="K7" s="418" t="str">
        <f>IF(F7=0,"",(H7-F7)/ABS(F7))</f>
        <v/>
      </c>
      <c r="L7" s="66"/>
      <c r="M7" s="67" t="e">
        <f t="shared" ref="M7:M12" si="3">+L7/$L$16</f>
        <v>#DIV/0!</v>
      </c>
      <c r="N7" s="66"/>
      <c r="O7" s="67" t="e">
        <f t="shared" ref="O7:O12" si="4">+N7/$N$16</f>
        <v>#DIV/0!</v>
      </c>
      <c r="P7" s="66"/>
      <c r="Q7" s="68" t="e">
        <f t="shared" ref="Q7:Q12" si="5">+P7/$P$16</f>
        <v>#DIV/0!</v>
      </c>
      <c r="R7" s="69" t="str">
        <f>IF(L7=0,"",(P7-L7)/ABS(L7)+1)</f>
        <v/>
      </c>
      <c r="S7" s="351" t="str">
        <f>IF(N7=0,"",(P7-N7)/ABS(N7))</f>
        <v/>
      </c>
      <c r="T7" s="448"/>
      <c r="U7" s="448"/>
      <c r="V7" s="460"/>
      <c r="W7" s="73"/>
      <c r="X7" s="75"/>
      <c r="Y7" s="95"/>
      <c r="Z7" s="75"/>
      <c r="AA7" s="76"/>
      <c r="AB7" s="77"/>
      <c r="AC7" s="77"/>
    </row>
    <row r="8" spans="1:31" x14ac:dyDescent="0.25">
      <c r="B8" s="11" t="s">
        <v>97</v>
      </c>
      <c r="C8" s="65" t="str">
        <f>+'COLOMB$ '!C8</f>
        <v>Instalaciones</v>
      </c>
      <c r="D8" s="66"/>
      <c r="E8" s="67" t="e">
        <f t="shared" si="0"/>
        <v>#DIV/0!</v>
      </c>
      <c r="F8" s="66"/>
      <c r="G8" s="67" t="e">
        <f t="shared" si="1"/>
        <v>#DIV/0!</v>
      </c>
      <c r="H8" s="66"/>
      <c r="I8" s="68" t="e">
        <f t="shared" si="2"/>
        <v>#DIV/0!</v>
      </c>
      <c r="J8" s="418" t="str">
        <f t="shared" ref="J8:J33" si="6">IF(D8=0,"",(H8-D8)/ABS(D8)+1)</f>
        <v/>
      </c>
      <c r="K8" s="418" t="str">
        <f t="shared" ref="K8:K33" si="7">IF(F8=0,"",(H8-F8)/ABS(F8))</f>
        <v/>
      </c>
      <c r="L8" s="66"/>
      <c r="M8" s="67" t="e">
        <f t="shared" si="3"/>
        <v>#DIV/0!</v>
      </c>
      <c r="N8" s="66"/>
      <c r="O8" s="67" t="e">
        <f t="shared" si="4"/>
        <v>#DIV/0!</v>
      </c>
      <c r="P8" s="66"/>
      <c r="Q8" s="68" t="e">
        <f t="shared" si="5"/>
        <v>#DIV/0!</v>
      </c>
      <c r="R8" s="69" t="str">
        <f t="shared" ref="R8:R33" si="8">IF(L8=0,"",(P8-L8)/ABS(L8)+1)</f>
        <v/>
      </c>
      <c r="S8" s="351" t="str">
        <f t="shared" ref="S8:S33" si="9">IF(N8=0,"",(P8-N8)/ABS(N8))</f>
        <v/>
      </c>
      <c r="T8" s="448"/>
      <c r="U8" s="448"/>
      <c r="V8" s="460"/>
      <c r="W8" s="81"/>
      <c r="X8" s="90"/>
      <c r="Y8" s="90"/>
      <c r="Z8" s="90"/>
      <c r="AA8" s="85"/>
      <c r="AB8" s="86"/>
      <c r="AC8" s="86"/>
    </row>
    <row r="9" spans="1:31" x14ac:dyDescent="0.25">
      <c r="B9" s="11" t="s">
        <v>98</v>
      </c>
      <c r="C9" s="65" t="str">
        <f>+'COLOMB$ '!C9</f>
        <v>Fact.Voice Experience (Publihold)</v>
      </c>
      <c r="D9" s="66"/>
      <c r="E9" s="67" t="e">
        <f t="shared" si="0"/>
        <v>#DIV/0!</v>
      </c>
      <c r="F9" s="66"/>
      <c r="G9" s="67" t="e">
        <f t="shared" si="1"/>
        <v>#DIV/0!</v>
      </c>
      <c r="H9" s="66"/>
      <c r="I9" s="68" t="e">
        <f t="shared" si="2"/>
        <v>#DIV/0!</v>
      </c>
      <c r="J9" s="418" t="str">
        <f t="shared" si="6"/>
        <v/>
      </c>
      <c r="K9" s="418" t="str">
        <f t="shared" si="7"/>
        <v/>
      </c>
      <c r="L9" s="66"/>
      <c r="M9" s="67" t="e">
        <f t="shared" si="3"/>
        <v>#DIV/0!</v>
      </c>
      <c r="N9" s="66"/>
      <c r="O9" s="67" t="e">
        <f t="shared" si="4"/>
        <v>#DIV/0!</v>
      </c>
      <c r="P9" s="66"/>
      <c r="Q9" s="68" t="e">
        <f t="shared" si="5"/>
        <v>#DIV/0!</v>
      </c>
      <c r="R9" s="69" t="str">
        <f t="shared" si="8"/>
        <v/>
      </c>
      <c r="S9" s="351" t="str">
        <f t="shared" si="9"/>
        <v/>
      </c>
      <c r="T9" s="448"/>
      <c r="U9" s="448"/>
      <c r="V9" s="460"/>
      <c r="W9" s="81"/>
      <c r="X9" s="90"/>
      <c r="Y9" s="90"/>
      <c r="Z9" s="90"/>
      <c r="AA9" s="85"/>
      <c r="AB9" s="86"/>
      <c r="AC9" s="86"/>
    </row>
    <row r="10" spans="1:31" x14ac:dyDescent="0.25">
      <c r="B10" s="219" t="s">
        <v>99</v>
      </c>
      <c r="C10" s="65" t="str">
        <f>+'COLOMB$ '!C10</f>
        <v>Fact. Service &amp; Equipment Experience</v>
      </c>
      <c r="D10" s="66"/>
      <c r="E10" s="67" t="e">
        <f t="shared" si="0"/>
        <v>#DIV/0!</v>
      </c>
      <c r="F10" s="66"/>
      <c r="G10" s="67" t="e">
        <f t="shared" si="1"/>
        <v>#DIV/0!</v>
      </c>
      <c r="H10" s="66"/>
      <c r="I10" s="68" t="e">
        <f t="shared" si="2"/>
        <v>#DIV/0!</v>
      </c>
      <c r="J10" s="418" t="str">
        <f>IF(D10=0,"",(H10-D10)/ABS(D10)+1)</f>
        <v/>
      </c>
      <c r="K10" s="418" t="str">
        <f>IF(F10=0,"",(H10-F10)/ABS(F10))</f>
        <v/>
      </c>
      <c r="L10" s="66"/>
      <c r="M10" s="67" t="e">
        <f t="shared" si="3"/>
        <v>#DIV/0!</v>
      </c>
      <c r="N10" s="66"/>
      <c r="O10" s="67" t="e">
        <f t="shared" si="4"/>
        <v>#DIV/0!</v>
      </c>
      <c r="P10" s="66"/>
      <c r="Q10" s="68" t="e">
        <f t="shared" si="5"/>
        <v>#DIV/0!</v>
      </c>
      <c r="R10" s="69" t="str">
        <f>IF(L10=0,"",(P10-L10)/ABS(L10)+1)</f>
        <v/>
      </c>
      <c r="S10" s="351" t="str">
        <f>IF(N10=0,"",(P10-N10)/ABS(N10))</f>
        <v/>
      </c>
      <c r="T10" s="448"/>
      <c r="U10" s="448"/>
      <c r="V10" s="460"/>
      <c r="W10" s="81"/>
      <c r="X10" s="90"/>
      <c r="Y10" s="90"/>
      <c r="Z10" s="90"/>
      <c r="AA10" s="85"/>
      <c r="AB10" s="86"/>
      <c r="AC10" s="86"/>
    </row>
    <row r="11" spans="1:31" x14ac:dyDescent="0.25">
      <c r="B11" s="11">
        <v>4170250500</v>
      </c>
      <c r="C11" s="65" t="str">
        <f>+'COLOMB$ '!C11</f>
        <v>POP Satelital</v>
      </c>
      <c r="D11" s="66"/>
      <c r="E11" s="67" t="e">
        <f t="shared" si="0"/>
        <v>#DIV/0!</v>
      </c>
      <c r="F11" s="66"/>
      <c r="G11" s="67" t="e">
        <f t="shared" si="1"/>
        <v>#DIV/0!</v>
      </c>
      <c r="H11" s="66"/>
      <c r="I11" s="68" t="e">
        <f t="shared" si="2"/>
        <v>#DIV/0!</v>
      </c>
      <c r="J11" s="418" t="str">
        <f>IF(D11=0,"",(H11-D11)/ABS(D11)+1)</f>
        <v/>
      </c>
      <c r="K11" s="418" t="str">
        <f>IF(F11=0,"",(H11-F11)/ABS(F11))</f>
        <v/>
      </c>
      <c r="L11" s="66"/>
      <c r="M11" s="67" t="e">
        <f t="shared" si="3"/>
        <v>#DIV/0!</v>
      </c>
      <c r="N11" s="66"/>
      <c r="O11" s="67" t="e">
        <f t="shared" si="4"/>
        <v>#DIV/0!</v>
      </c>
      <c r="P11" s="66"/>
      <c r="Q11" s="68" t="e">
        <f t="shared" si="5"/>
        <v>#DIV/0!</v>
      </c>
      <c r="R11" s="69" t="str">
        <f>IF(L11=0,"",(P11-L11)/ABS(L11)+1)</f>
        <v/>
      </c>
      <c r="S11" s="351" t="str">
        <f>IF(N11=0,"",(P11-N11)/ABS(N11))</f>
        <v/>
      </c>
      <c r="T11" s="448"/>
      <c r="U11" s="448"/>
      <c r="V11" s="460"/>
      <c r="W11" s="81"/>
      <c r="X11" s="90"/>
      <c r="Y11" s="90"/>
      <c r="Z11" s="90"/>
      <c r="AA11" s="85"/>
      <c r="AB11" s="86"/>
      <c r="AC11" s="86"/>
      <c r="AE11" s="149"/>
    </row>
    <row r="12" spans="1:31" x14ac:dyDescent="0.25">
      <c r="B12" s="11"/>
      <c r="C12" s="65" t="str">
        <f>+'COLOMB$ '!C12</f>
        <v xml:space="preserve"> Fact.Voice Experience (Audicóm)</v>
      </c>
      <c r="D12" s="66"/>
      <c r="E12" s="67" t="e">
        <f t="shared" si="0"/>
        <v>#DIV/0!</v>
      </c>
      <c r="F12" s="66"/>
      <c r="G12" s="67" t="e">
        <f t="shared" si="1"/>
        <v>#DIV/0!</v>
      </c>
      <c r="H12" s="66"/>
      <c r="I12" s="68" t="e">
        <f t="shared" si="2"/>
        <v>#DIV/0!</v>
      </c>
      <c r="J12" s="418" t="str">
        <f t="shared" si="6"/>
        <v/>
      </c>
      <c r="K12" s="418" t="str">
        <f t="shared" si="7"/>
        <v/>
      </c>
      <c r="L12" s="66"/>
      <c r="M12" s="67" t="e">
        <f t="shared" si="3"/>
        <v>#DIV/0!</v>
      </c>
      <c r="N12" s="66"/>
      <c r="O12" s="67" t="e">
        <f t="shared" si="4"/>
        <v>#DIV/0!</v>
      </c>
      <c r="P12" s="66"/>
      <c r="Q12" s="68" t="e">
        <f t="shared" si="5"/>
        <v>#DIV/0!</v>
      </c>
      <c r="R12" s="69"/>
      <c r="S12" s="351" t="str">
        <f t="shared" si="9"/>
        <v/>
      </c>
      <c r="T12" s="448"/>
      <c r="U12" s="448"/>
      <c r="V12" s="460"/>
      <c r="W12" s="81"/>
      <c r="X12" s="90"/>
      <c r="Y12" s="428"/>
      <c r="Z12" s="428"/>
      <c r="AA12" s="85"/>
      <c r="AB12" s="86"/>
      <c r="AC12" s="86"/>
    </row>
    <row r="13" spans="1:31" ht="15.75" thickBot="1" x14ac:dyDescent="0.3">
      <c r="C13" s="65" t="str">
        <f>+'COLOMB$ '!C13</f>
        <v>Fact. Servicio Satelital</v>
      </c>
      <c r="D13" s="66"/>
      <c r="E13" s="67"/>
      <c r="F13" s="66"/>
      <c r="G13" s="67"/>
      <c r="H13" s="66"/>
      <c r="I13" s="68"/>
      <c r="J13" s="418"/>
      <c r="K13" s="418"/>
      <c r="L13" s="66"/>
      <c r="M13" s="67"/>
      <c r="N13" s="66"/>
      <c r="O13" s="67"/>
      <c r="P13" s="66"/>
      <c r="Q13" s="68"/>
      <c r="R13" s="69"/>
      <c r="S13" s="351"/>
      <c r="T13" s="448"/>
      <c r="U13" s="448"/>
      <c r="V13" s="460"/>
      <c r="W13" s="81"/>
      <c r="X13" s="90"/>
      <c r="Y13" s="90"/>
      <c r="Z13" s="90"/>
      <c r="AA13" s="85"/>
      <c r="AB13" s="86"/>
      <c r="AC13" s="86"/>
    </row>
    <row r="14" spans="1:31" ht="15.75" thickBot="1" x14ac:dyDescent="0.3">
      <c r="C14" s="65" t="str">
        <f>+'COLOMB$ '!C14</f>
        <v>Fact. Visual Experience</v>
      </c>
      <c r="D14" s="66"/>
      <c r="E14" s="67"/>
      <c r="F14" s="66"/>
      <c r="G14" s="67"/>
      <c r="H14" s="66"/>
      <c r="I14" s="68"/>
      <c r="J14" s="418"/>
      <c r="K14" s="418"/>
      <c r="L14" s="66"/>
      <c r="M14" s="67"/>
      <c r="N14" s="66"/>
      <c r="O14" s="67"/>
      <c r="P14" s="66"/>
      <c r="Q14" s="68"/>
      <c r="R14" s="69"/>
      <c r="S14" s="351"/>
      <c r="T14" s="448"/>
      <c r="U14" s="448"/>
      <c r="V14" s="460"/>
      <c r="W14" s="73"/>
      <c r="X14" s="75"/>
      <c r="Y14" s="95"/>
      <c r="Z14" s="75"/>
      <c r="AA14" s="76"/>
      <c r="AB14" s="77"/>
      <c r="AC14" s="77"/>
    </row>
    <row r="15" spans="1:31" ht="15.75" thickBot="1" x14ac:dyDescent="0.3">
      <c r="C15" s="65" t="str">
        <f>+'COLOMB$ '!C16</f>
        <v>Facturacion Locutor virtual</v>
      </c>
      <c r="D15" s="66"/>
      <c r="E15" s="67"/>
      <c r="F15" s="66"/>
      <c r="G15" s="67"/>
      <c r="H15" s="66"/>
      <c r="I15" s="461" t="e">
        <f t="shared" ref="I15:I33" si="10">+H15/$H$16</f>
        <v>#DIV/0!</v>
      </c>
      <c r="J15" s="462"/>
      <c r="K15" s="418"/>
      <c r="L15" s="66"/>
      <c r="M15" s="67"/>
      <c r="N15" s="66"/>
      <c r="O15" s="67"/>
      <c r="P15" s="66">
        <f>+U15+H15</f>
        <v>0</v>
      </c>
      <c r="Q15" s="68" t="e">
        <f t="shared" ref="Q15:Q33" si="11">+P15/$P$16</f>
        <v>#DIV/0!</v>
      </c>
      <c r="R15" s="69"/>
      <c r="S15" s="351"/>
      <c r="T15" s="448"/>
      <c r="U15" s="448"/>
      <c r="V15" s="460"/>
      <c r="W15" s="89"/>
      <c r="X15" s="97"/>
      <c r="Y15" s="101"/>
      <c r="Z15" s="97"/>
      <c r="AA15" s="103"/>
      <c r="AB15" s="102"/>
      <c r="AC15" s="102"/>
    </row>
    <row r="16" spans="1:31" x14ac:dyDescent="0.25">
      <c r="B16" s="11"/>
      <c r="C16" s="104" t="s">
        <v>57</v>
      </c>
      <c r="D16" s="105">
        <f>SUM(D7:D15)</f>
        <v>0</v>
      </c>
      <c r="E16" s="106" t="e">
        <f t="shared" ref="E16:E33" si="12">+D16/$D$16</f>
        <v>#DIV/0!</v>
      </c>
      <c r="F16" s="105">
        <v>0</v>
      </c>
      <c r="G16" s="106" t="e">
        <f t="shared" ref="G16:G33" si="13">+F16/$F$16</f>
        <v>#DIV/0!</v>
      </c>
      <c r="H16" s="105">
        <f>SUM(H7:H15)</f>
        <v>0</v>
      </c>
      <c r="I16" s="463" t="e">
        <f t="shared" si="10"/>
        <v>#DIV/0!</v>
      </c>
      <c r="J16" s="464" t="str">
        <f t="shared" si="6"/>
        <v/>
      </c>
      <c r="K16" s="422" t="str">
        <f t="shared" si="7"/>
        <v/>
      </c>
      <c r="L16" s="105">
        <f>SUM(L7:L15)</f>
        <v>0</v>
      </c>
      <c r="M16" s="106" t="e">
        <f t="shared" ref="M16:M33" si="14">+L16/$L$16</f>
        <v>#DIV/0!</v>
      </c>
      <c r="N16" s="105">
        <v>0</v>
      </c>
      <c r="O16" s="106" t="e">
        <f t="shared" ref="O16:O29" si="15">+N16/$N$16</f>
        <v>#DIV/0!</v>
      </c>
      <c r="P16" s="105">
        <f>SUM(P7:P15)</f>
        <v>0</v>
      </c>
      <c r="Q16" s="107" t="e">
        <f t="shared" si="11"/>
        <v>#DIV/0!</v>
      </c>
      <c r="R16" s="108" t="str">
        <f t="shared" si="8"/>
        <v/>
      </c>
      <c r="S16" s="108" t="str">
        <f t="shared" si="9"/>
        <v/>
      </c>
      <c r="T16" s="448"/>
      <c r="U16" s="448"/>
      <c r="V16" s="460"/>
      <c r="W16" s="81"/>
      <c r="X16" s="82"/>
      <c r="Y16" s="82"/>
      <c r="Z16" s="82"/>
      <c r="AA16" s="85"/>
      <c r="AB16" s="86"/>
      <c r="AC16" s="86"/>
    </row>
    <row r="17" spans="1:31" x14ac:dyDescent="0.25">
      <c r="B17" s="11" t="s">
        <v>100</v>
      </c>
      <c r="C17" s="112" t="s">
        <v>59</v>
      </c>
      <c r="D17" s="114"/>
      <c r="E17" s="113" t="e">
        <f t="shared" si="12"/>
        <v>#DIV/0!</v>
      </c>
      <c r="F17" s="114"/>
      <c r="G17" s="113" t="e">
        <f t="shared" si="13"/>
        <v>#DIV/0!</v>
      </c>
      <c r="H17" s="117"/>
      <c r="I17" s="465" t="e">
        <f t="shared" si="10"/>
        <v>#DIV/0!</v>
      </c>
      <c r="J17" s="466" t="str">
        <f t="shared" si="6"/>
        <v/>
      </c>
      <c r="K17" s="425" t="str">
        <f t="shared" si="7"/>
        <v/>
      </c>
      <c r="L17" s="114"/>
      <c r="M17" s="113" t="e">
        <f t="shared" si="14"/>
        <v>#DIV/0!</v>
      </c>
      <c r="N17" s="66"/>
      <c r="O17" s="113" t="e">
        <f t="shared" si="15"/>
        <v>#DIV/0!</v>
      </c>
      <c r="P17" s="114">
        <f>+U17+H17</f>
        <v>0</v>
      </c>
      <c r="Q17" s="115" t="e">
        <f t="shared" si="11"/>
        <v>#DIV/0!</v>
      </c>
      <c r="R17" s="116" t="str">
        <f t="shared" si="8"/>
        <v/>
      </c>
      <c r="S17" s="374" t="str">
        <f t="shared" si="9"/>
        <v/>
      </c>
      <c r="T17" s="448"/>
      <c r="U17" s="448"/>
      <c r="V17" s="460"/>
      <c r="W17" s="81"/>
      <c r="X17" s="90"/>
      <c r="Y17" s="90"/>
      <c r="Z17" s="90"/>
      <c r="AA17" s="85"/>
      <c r="AB17" s="86"/>
      <c r="AC17" s="86"/>
      <c r="AE17" s="149"/>
    </row>
    <row r="18" spans="1:31" ht="15.75" thickBot="1" x14ac:dyDescent="0.3">
      <c r="B18" s="11"/>
      <c r="C18" s="119" t="s">
        <v>61</v>
      </c>
      <c r="D18" s="120">
        <f>+D16-D17</f>
        <v>0</v>
      </c>
      <c r="E18" s="121" t="e">
        <f t="shared" si="12"/>
        <v>#DIV/0!</v>
      </c>
      <c r="F18" s="120">
        <v>0</v>
      </c>
      <c r="G18" s="121" t="e">
        <f t="shared" si="13"/>
        <v>#DIV/0!</v>
      </c>
      <c r="H18" s="120">
        <f>+H16-H17</f>
        <v>0</v>
      </c>
      <c r="I18" s="467" t="e">
        <f t="shared" si="10"/>
        <v>#DIV/0!</v>
      </c>
      <c r="J18" s="468" t="str">
        <f t="shared" si="6"/>
        <v/>
      </c>
      <c r="K18" s="426" t="str">
        <f t="shared" si="7"/>
        <v/>
      </c>
      <c r="L18" s="120">
        <f>+L16-L17</f>
        <v>0</v>
      </c>
      <c r="M18" s="121" t="e">
        <f t="shared" si="14"/>
        <v>#DIV/0!</v>
      </c>
      <c r="N18" s="120">
        <v>0</v>
      </c>
      <c r="O18" s="121" t="e">
        <f t="shared" si="15"/>
        <v>#DIV/0!</v>
      </c>
      <c r="P18" s="120">
        <f>+P16-P17</f>
        <v>0</v>
      </c>
      <c r="Q18" s="122" t="e">
        <f t="shared" si="11"/>
        <v>#DIV/0!</v>
      </c>
      <c r="R18" s="124" t="str">
        <f t="shared" si="8"/>
        <v/>
      </c>
      <c r="S18" s="124" t="str">
        <f t="shared" si="9"/>
        <v/>
      </c>
      <c r="T18" s="448"/>
      <c r="U18" s="448"/>
      <c r="V18" s="460"/>
      <c r="W18" s="81"/>
      <c r="X18" s="90"/>
      <c r="Y18" s="90"/>
      <c r="Z18" s="90"/>
      <c r="AA18" s="85"/>
      <c r="AB18" s="86"/>
      <c r="AC18" s="86"/>
    </row>
    <row r="19" spans="1:31" x14ac:dyDescent="0.25">
      <c r="B19" s="11" t="s">
        <v>101</v>
      </c>
      <c r="C19" s="81" t="s">
        <v>63</v>
      </c>
      <c r="D19" s="83"/>
      <c r="E19" s="126" t="e">
        <f t="shared" si="12"/>
        <v>#DIV/0!</v>
      </c>
      <c r="F19" s="83"/>
      <c r="G19" s="126" t="e">
        <f t="shared" si="13"/>
        <v>#DIV/0!</v>
      </c>
      <c r="H19" s="83"/>
      <c r="I19" s="469" t="e">
        <f t="shared" si="10"/>
        <v>#DIV/0!</v>
      </c>
      <c r="J19" s="470" t="str">
        <f t="shared" si="6"/>
        <v/>
      </c>
      <c r="K19" s="427" t="str">
        <f t="shared" si="7"/>
        <v/>
      </c>
      <c r="L19" s="83"/>
      <c r="M19" s="126" t="e">
        <f t="shared" si="14"/>
        <v>#DIV/0!</v>
      </c>
      <c r="N19" s="83"/>
      <c r="O19" s="126" t="e">
        <f t="shared" si="15"/>
        <v>#DIV/0!</v>
      </c>
      <c r="P19" s="83">
        <f>+V19+H19</f>
        <v>0</v>
      </c>
      <c r="Q19" s="127" t="e">
        <f t="shared" si="11"/>
        <v>#DIV/0!</v>
      </c>
      <c r="R19" s="128" t="str">
        <f t="shared" si="8"/>
        <v/>
      </c>
      <c r="S19" s="148" t="str">
        <f t="shared" si="9"/>
        <v/>
      </c>
      <c r="T19" s="448"/>
      <c r="U19" s="448"/>
      <c r="V19" s="460"/>
      <c r="W19" s="81"/>
      <c r="X19" s="428"/>
      <c r="Y19" s="428"/>
      <c r="Z19" s="428"/>
      <c r="AA19" s="85"/>
      <c r="AB19" s="86"/>
      <c r="AC19" s="86"/>
      <c r="AE19" s="149"/>
    </row>
    <row r="20" spans="1:31" ht="15.75" thickBot="1" x14ac:dyDescent="0.3">
      <c r="B20" s="11" t="s">
        <v>102</v>
      </c>
      <c r="C20" s="81" t="s">
        <v>65</v>
      </c>
      <c r="D20" s="83"/>
      <c r="E20" s="126" t="e">
        <f t="shared" si="12"/>
        <v>#DIV/0!</v>
      </c>
      <c r="F20" s="83"/>
      <c r="G20" s="126" t="e">
        <f t="shared" si="13"/>
        <v>#DIV/0!</v>
      </c>
      <c r="H20" s="83"/>
      <c r="I20" s="469" t="e">
        <f t="shared" si="10"/>
        <v>#DIV/0!</v>
      </c>
      <c r="J20" s="470" t="str">
        <f t="shared" si="6"/>
        <v/>
      </c>
      <c r="K20" s="427" t="str">
        <f t="shared" si="7"/>
        <v/>
      </c>
      <c r="L20" s="83"/>
      <c r="M20" s="126" t="e">
        <f t="shared" si="14"/>
        <v>#DIV/0!</v>
      </c>
      <c r="N20" s="83"/>
      <c r="O20" s="126" t="e">
        <f t="shared" si="15"/>
        <v>#DIV/0!</v>
      </c>
      <c r="P20" s="83"/>
      <c r="Q20" s="127" t="e">
        <f t="shared" si="11"/>
        <v>#DIV/0!</v>
      </c>
      <c r="R20" s="128" t="str">
        <f t="shared" si="8"/>
        <v/>
      </c>
      <c r="S20" s="148" t="str">
        <f t="shared" si="9"/>
        <v/>
      </c>
      <c r="T20" s="448"/>
      <c r="U20" s="448"/>
      <c r="V20" s="460"/>
      <c r="W20" s="81"/>
      <c r="X20" s="90"/>
      <c r="Y20" s="90"/>
      <c r="Z20" s="90"/>
      <c r="AA20" s="85"/>
      <c r="AB20" s="86"/>
      <c r="AC20" s="86"/>
    </row>
    <row r="21" spans="1:31" ht="15.75" thickBot="1" x14ac:dyDescent="0.3">
      <c r="B21" s="11"/>
      <c r="C21" s="112" t="s">
        <v>67</v>
      </c>
      <c r="D21" s="117"/>
      <c r="E21" s="113" t="e">
        <f t="shared" si="12"/>
        <v>#DIV/0!</v>
      </c>
      <c r="F21" s="117"/>
      <c r="G21" s="113" t="e">
        <f t="shared" si="13"/>
        <v>#DIV/0!</v>
      </c>
      <c r="H21" s="117">
        <f>SUM(H19:H20)</f>
        <v>0</v>
      </c>
      <c r="I21" s="465" t="e">
        <f t="shared" si="10"/>
        <v>#DIV/0!</v>
      </c>
      <c r="J21" s="466" t="str">
        <f t="shared" si="6"/>
        <v/>
      </c>
      <c r="K21" s="425" t="str">
        <f t="shared" si="7"/>
        <v/>
      </c>
      <c r="L21" s="117">
        <f>SUM(L19:L20)</f>
        <v>0</v>
      </c>
      <c r="M21" s="113" t="e">
        <f t="shared" si="14"/>
        <v>#DIV/0!</v>
      </c>
      <c r="N21" s="117"/>
      <c r="O21" s="113" t="e">
        <f t="shared" si="15"/>
        <v>#DIV/0!</v>
      </c>
      <c r="P21" s="117">
        <f>SUM(P19:P20)</f>
        <v>0</v>
      </c>
      <c r="Q21" s="115" t="e">
        <f t="shared" si="11"/>
        <v>#DIV/0!</v>
      </c>
      <c r="R21" s="116" t="str">
        <f t="shared" si="8"/>
        <v/>
      </c>
      <c r="S21" s="374" t="str">
        <f t="shared" si="9"/>
        <v/>
      </c>
      <c r="T21" s="448"/>
      <c r="U21" s="448"/>
      <c r="V21" s="460"/>
      <c r="W21" s="73"/>
      <c r="X21" s="75"/>
      <c r="Y21" s="471"/>
      <c r="Z21" s="75"/>
      <c r="AA21" s="76"/>
      <c r="AB21" s="77"/>
      <c r="AC21" s="77"/>
    </row>
    <row r="22" spans="1:31" x14ac:dyDescent="0.25">
      <c r="B22" s="11" t="s">
        <v>103</v>
      </c>
      <c r="C22" s="81" t="s">
        <v>69</v>
      </c>
      <c r="D22" s="83"/>
      <c r="E22" s="126" t="e">
        <f t="shared" si="12"/>
        <v>#DIV/0!</v>
      </c>
      <c r="F22" s="83"/>
      <c r="G22" s="126" t="e">
        <f t="shared" si="13"/>
        <v>#DIV/0!</v>
      </c>
      <c r="H22" s="83"/>
      <c r="I22" s="469" t="e">
        <f t="shared" si="10"/>
        <v>#DIV/0!</v>
      </c>
      <c r="J22" s="470" t="str">
        <f t="shared" si="6"/>
        <v/>
      </c>
      <c r="K22" s="427" t="str">
        <f t="shared" si="7"/>
        <v/>
      </c>
      <c r="L22" s="83"/>
      <c r="M22" s="126" t="e">
        <f t="shared" si="14"/>
        <v>#DIV/0!</v>
      </c>
      <c r="N22" s="83"/>
      <c r="O22" s="126" t="e">
        <f t="shared" si="15"/>
        <v>#DIV/0!</v>
      </c>
      <c r="P22" s="83"/>
      <c r="Q22" s="127" t="e">
        <f t="shared" si="11"/>
        <v>#DIV/0!</v>
      </c>
      <c r="R22" s="128" t="str">
        <f t="shared" si="8"/>
        <v/>
      </c>
      <c r="S22" s="148" t="str">
        <f t="shared" si="9"/>
        <v/>
      </c>
      <c r="T22" s="448"/>
      <c r="U22" s="448"/>
      <c r="V22" s="460"/>
    </row>
    <row r="23" spans="1:31" x14ac:dyDescent="0.25">
      <c r="A23" s="11" t="s">
        <v>104</v>
      </c>
      <c r="B23" s="11" t="s">
        <v>105</v>
      </c>
      <c r="C23" s="81" t="s">
        <v>71</v>
      </c>
      <c r="D23" s="83"/>
      <c r="E23" s="126" t="e">
        <f t="shared" si="12"/>
        <v>#DIV/0!</v>
      </c>
      <c r="F23" s="83"/>
      <c r="G23" s="126" t="e">
        <f t="shared" si="13"/>
        <v>#DIV/0!</v>
      </c>
      <c r="H23" s="83"/>
      <c r="I23" s="469" t="e">
        <f t="shared" si="10"/>
        <v>#DIV/0!</v>
      </c>
      <c r="J23" s="470" t="str">
        <f t="shared" si="6"/>
        <v/>
      </c>
      <c r="K23" s="427" t="str">
        <f t="shared" si="7"/>
        <v/>
      </c>
      <c r="L23" s="83"/>
      <c r="M23" s="126" t="e">
        <f t="shared" si="14"/>
        <v>#DIV/0!</v>
      </c>
      <c r="N23" s="83"/>
      <c r="O23" s="126" t="e">
        <f t="shared" si="15"/>
        <v>#DIV/0!</v>
      </c>
      <c r="P23" s="91"/>
      <c r="Q23" s="127" t="e">
        <f t="shared" si="11"/>
        <v>#DIV/0!</v>
      </c>
      <c r="R23" s="128" t="str">
        <f t="shared" si="8"/>
        <v/>
      </c>
      <c r="S23" s="148" t="str">
        <f t="shared" si="9"/>
        <v/>
      </c>
      <c r="T23" s="448"/>
      <c r="U23" s="448"/>
      <c r="V23" s="460"/>
      <c r="X23" s="472"/>
      <c r="Y23" s="473"/>
      <c r="Z23" s="472"/>
    </row>
    <row r="24" spans="1:31" x14ac:dyDescent="0.25">
      <c r="B24" s="11"/>
      <c r="C24" s="112" t="s">
        <v>72</v>
      </c>
      <c r="D24" s="117"/>
      <c r="E24" s="113" t="e">
        <f t="shared" si="12"/>
        <v>#DIV/0!</v>
      </c>
      <c r="F24" s="117">
        <v>0</v>
      </c>
      <c r="G24" s="113" t="e">
        <f t="shared" si="13"/>
        <v>#DIV/0!</v>
      </c>
      <c r="H24" s="117">
        <f>SUM(H22:H23)</f>
        <v>0</v>
      </c>
      <c r="I24" s="465" t="e">
        <f t="shared" si="10"/>
        <v>#DIV/0!</v>
      </c>
      <c r="J24" s="466" t="str">
        <f t="shared" si="6"/>
        <v/>
      </c>
      <c r="K24" s="425" t="str">
        <f t="shared" si="7"/>
        <v/>
      </c>
      <c r="L24" s="117"/>
      <c r="M24" s="113" t="e">
        <f t="shared" si="14"/>
        <v>#DIV/0!</v>
      </c>
      <c r="N24" s="117"/>
      <c r="O24" s="113" t="e">
        <f t="shared" si="15"/>
        <v>#DIV/0!</v>
      </c>
      <c r="P24" s="117"/>
      <c r="Q24" s="115" t="e">
        <f t="shared" si="11"/>
        <v>#DIV/0!</v>
      </c>
      <c r="R24" s="116" t="str">
        <f t="shared" si="8"/>
        <v/>
      </c>
      <c r="S24" s="374" t="str">
        <f t="shared" si="9"/>
        <v/>
      </c>
      <c r="T24" s="448"/>
      <c r="U24" s="448"/>
      <c r="V24" s="460"/>
      <c r="W24" s="474"/>
      <c r="X24" s="472"/>
      <c r="Y24" s="472"/>
      <c r="Z24" s="472"/>
      <c r="AC24" s="474"/>
    </row>
    <row r="25" spans="1:31" ht="15.75" thickBot="1" x14ac:dyDescent="0.3">
      <c r="B25" s="11"/>
      <c r="C25" s="112" t="s">
        <v>74</v>
      </c>
      <c r="D25" s="117"/>
      <c r="E25" s="113" t="e">
        <f t="shared" si="12"/>
        <v>#DIV/0!</v>
      </c>
      <c r="F25" s="117"/>
      <c r="G25" s="113" t="e">
        <f t="shared" si="13"/>
        <v>#DIV/0!</v>
      </c>
      <c r="H25" s="117">
        <f>H21+H24</f>
        <v>0</v>
      </c>
      <c r="I25" s="465" t="e">
        <f t="shared" si="10"/>
        <v>#DIV/0!</v>
      </c>
      <c r="J25" s="466" t="str">
        <f t="shared" si="6"/>
        <v/>
      </c>
      <c r="K25" s="425" t="str">
        <f t="shared" si="7"/>
        <v/>
      </c>
      <c r="L25" s="117">
        <f>+L21+L23</f>
        <v>0</v>
      </c>
      <c r="M25" s="113" t="e">
        <f t="shared" si="14"/>
        <v>#DIV/0!</v>
      </c>
      <c r="N25" s="117"/>
      <c r="O25" s="113" t="e">
        <f t="shared" si="15"/>
        <v>#DIV/0!</v>
      </c>
      <c r="P25" s="117">
        <f>+P21+P23</f>
        <v>0</v>
      </c>
      <c r="Q25" s="115" t="e">
        <f t="shared" si="11"/>
        <v>#DIV/0!</v>
      </c>
      <c r="R25" s="116" t="str">
        <f t="shared" si="8"/>
        <v/>
      </c>
      <c r="S25" s="374" t="str">
        <f t="shared" si="9"/>
        <v/>
      </c>
      <c r="T25" s="448"/>
      <c r="U25" s="448"/>
      <c r="V25" s="460"/>
      <c r="X25" s="472"/>
      <c r="Y25" s="472"/>
      <c r="Z25" s="472"/>
    </row>
    <row r="26" spans="1:31" ht="15.75" thickBot="1" x14ac:dyDescent="0.3">
      <c r="B26" s="11"/>
      <c r="C26" s="73" t="s">
        <v>75</v>
      </c>
      <c r="D26" s="141">
        <f>D18-D25</f>
        <v>0</v>
      </c>
      <c r="E26" s="142" t="e">
        <f t="shared" si="12"/>
        <v>#DIV/0!</v>
      </c>
      <c r="F26" s="141"/>
      <c r="G26" s="142" t="e">
        <f t="shared" si="13"/>
        <v>#DIV/0!</v>
      </c>
      <c r="H26" s="141">
        <f>H18-H25</f>
        <v>0</v>
      </c>
      <c r="I26" s="475" t="e">
        <f t="shared" si="10"/>
        <v>#DIV/0!</v>
      </c>
      <c r="J26" s="476" t="str">
        <f t="shared" si="6"/>
        <v/>
      </c>
      <c r="K26" s="435" t="str">
        <f t="shared" si="7"/>
        <v/>
      </c>
      <c r="L26" s="141">
        <f>L18-L25</f>
        <v>0</v>
      </c>
      <c r="M26" s="142" t="e">
        <f t="shared" si="14"/>
        <v>#DIV/0!</v>
      </c>
      <c r="N26" s="141"/>
      <c r="O26" s="142" t="e">
        <f t="shared" si="15"/>
        <v>#DIV/0!</v>
      </c>
      <c r="P26" s="141">
        <f>P18-P25</f>
        <v>0</v>
      </c>
      <c r="Q26" s="145" t="e">
        <f t="shared" si="11"/>
        <v>#DIV/0!</v>
      </c>
      <c r="R26" s="146" t="str">
        <f t="shared" si="8"/>
        <v/>
      </c>
      <c r="S26" s="146" t="str">
        <f t="shared" si="9"/>
        <v/>
      </c>
      <c r="T26" s="448"/>
      <c r="U26" s="448"/>
      <c r="V26" s="460"/>
    </row>
    <row r="27" spans="1:31" x14ac:dyDescent="0.25">
      <c r="B27" s="11" t="s">
        <v>106</v>
      </c>
      <c r="C27" s="81" t="s">
        <v>76</v>
      </c>
      <c r="D27" s="83">
        <v>0</v>
      </c>
      <c r="E27" s="126" t="e">
        <f t="shared" si="12"/>
        <v>#DIV/0!</v>
      </c>
      <c r="F27" s="83"/>
      <c r="G27" s="126" t="e">
        <f t="shared" si="13"/>
        <v>#DIV/0!</v>
      </c>
      <c r="H27" s="83"/>
      <c r="I27" s="469" t="e">
        <f t="shared" si="10"/>
        <v>#DIV/0!</v>
      </c>
      <c r="J27" s="470" t="str">
        <f t="shared" si="6"/>
        <v/>
      </c>
      <c r="K27" s="427" t="str">
        <f t="shared" si="7"/>
        <v/>
      </c>
      <c r="L27" s="83">
        <v>0</v>
      </c>
      <c r="M27" s="126" t="e">
        <f t="shared" si="14"/>
        <v>#DIV/0!</v>
      </c>
      <c r="N27" s="83"/>
      <c r="O27" s="126" t="e">
        <f t="shared" si="15"/>
        <v>#DIV/0!</v>
      </c>
      <c r="P27" s="91">
        <f>+U27+H27</f>
        <v>0</v>
      </c>
      <c r="Q27" s="127" t="e">
        <f t="shared" si="11"/>
        <v>#DIV/0!</v>
      </c>
      <c r="R27" s="148" t="str">
        <f t="shared" si="8"/>
        <v/>
      </c>
      <c r="S27" s="148" t="str">
        <f t="shared" si="9"/>
        <v/>
      </c>
      <c r="T27" s="448"/>
      <c r="U27" s="448"/>
      <c r="V27" s="460"/>
    </row>
    <row r="28" spans="1:31" ht="15.75" thickBot="1" x14ac:dyDescent="0.3">
      <c r="B28" s="11" t="s">
        <v>107</v>
      </c>
      <c r="C28" s="81" t="s">
        <v>77</v>
      </c>
      <c r="D28" s="83"/>
      <c r="E28" s="126" t="e">
        <f t="shared" si="12"/>
        <v>#DIV/0!</v>
      </c>
      <c r="F28" s="83"/>
      <c r="G28" s="126" t="e">
        <f t="shared" si="13"/>
        <v>#DIV/0!</v>
      </c>
      <c r="H28" s="83"/>
      <c r="I28" s="469" t="e">
        <f t="shared" si="10"/>
        <v>#DIV/0!</v>
      </c>
      <c r="J28" s="470" t="str">
        <f t="shared" si="6"/>
        <v/>
      </c>
      <c r="K28" s="427" t="str">
        <f t="shared" si="7"/>
        <v/>
      </c>
      <c r="L28" s="83">
        <v>0</v>
      </c>
      <c r="M28" s="126" t="e">
        <f t="shared" si="14"/>
        <v>#DIV/0!</v>
      </c>
      <c r="N28" s="83"/>
      <c r="O28" s="126" t="e">
        <f t="shared" si="15"/>
        <v>#DIV/0!</v>
      </c>
      <c r="P28" s="91">
        <f>+U28+H28</f>
        <v>0</v>
      </c>
      <c r="Q28" s="127" t="e">
        <f t="shared" si="11"/>
        <v>#DIV/0!</v>
      </c>
      <c r="R28" s="148" t="str">
        <f t="shared" si="8"/>
        <v/>
      </c>
      <c r="S28" s="148" t="str">
        <f t="shared" si="9"/>
        <v/>
      </c>
      <c r="T28" s="448"/>
      <c r="U28" s="448"/>
      <c r="V28" s="460"/>
    </row>
    <row r="29" spans="1:31" ht="15.75" thickBot="1" x14ac:dyDescent="0.3">
      <c r="B29" s="11"/>
      <c r="C29" s="73" t="s">
        <v>78</v>
      </c>
      <c r="D29" s="141">
        <f>D26+D27-D28</f>
        <v>0</v>
      </c>
      <c r="E29" s="142" t="e">
        <f t="shared" si="12"/>
        <v>#DIV/0!</v>
      </c>
      <c r="F29" s="141"/>
      <c r="G29" s="142" t="e">
        <f t="shared" si="13"/>
        <v>#DIV/0!</v>
      </c>
      <c r="H29" s="141">
        <f>H26+H27-H28</f>
        <v>0</v>
      </c>
      <c r="I29" s="475" t="e">
        <f t="shared" si="10"/>
        <v>#DIV/0!</v>
      </c>
      <c r="J29" s="476" t="str">
        <f t="shared" si="6"/>
        <v/>
      </c>
      <c r="K29" s="435" t="str">
        <f t="shared" si="7"/>
        <v/>
      </c>
      <c r="L29" s="141">
        <f>L26+L27-L28</f>
        <v>0</v>
      </c>
      <c r="M29" s="142" t="e">
        <f t="shared" si="14"/>
        <v>#DIV/0!</v>
      </c>
      <c r="N29" s="141"/>
      <c r="O29" s="142" t="e">
        <f t="shared" si="15"/>
        <v>#DIV/0!</v>
      </c>
      <c r="P29" s="141">
        <f>P26+P27-P28</f>
        <v>0</v>
      </c>
      <c r="Q29" s="143" t="e">
        <f t="shared" si="11"/>
        <v>#DIV/0!</v>
      </c>
      <c r="R29" s="144" t="str">
        <f t="shared" si="8"/>
        <v/>
      </c>
      <c r="S29" s="146" t="str">
        <f t="shared" si="9"/>
        <v/>
      </c>
      <c r="T29" s="448"/>
      <c r="U29" s="448"/>
      <c r="V29" s="460"/>
    </row>
    <row r="30" spans="1:31" ht="15.75" thickBot="1" x14ac:dyDescent="0.3">
      <c r="B30" s="11" t="s">
        <v>108</v>
      </c>
      <c r="C30" s="81" t="s">
        <v>62</v>
      </c>
      <c r="D30" s="83">
        <f>+D29*34%</f>
        <v>0</v>
      </c>
      <c r="E30" s="126" t="e">
        <f t="shared" si="12"/>
        <v>#DIV/0!</v>
      </c>
      <c r="F30" s="83"/>
      <c r="G30" s="126" t="e">
        <f t="shared" si="13"/>
        <v>#DIV/0!</v>
      </c>
      <c r="H30" s="83"/>
      <c r="I30" s="469" t="e">
        <f t="shared" si="10"/>
        <v>#DIV/0!</v>
      </c>
      <c r="J30" s="470" t="str">
        <f t="shared" si="6"/>
        <v/>
      </c>
      <c r="K30" s="427" t="str">
        <f t="shared" si="7"/>
        <v/>
      </c>
      <c r="L30" s="83">
        <f>+L29*34%</f>
        <v>0</v>
      </c>
      <c r="M30" s="126" t="e">
        <f t="shared" si="14"/>
        <v>#DIV/0!</v>
      </c>
      <c r="N30" s="83"/>
      <c r="O30" s="126"/>
      <c r="P30" s="91">
        <f>+U30+H30</f>
        <v>0</v>
      </c>
      <c r="Q30" s="127" t="e">
        <f t="shared" si="11"/>
        <v>#DIV/0!</v>
      </c>
      <c r="R30" s="148" t="str">
        <f t="shared" si="8"/>
        <v/>
      </c>
      <c r="S30" s="148"/>
      <c r="T30" s="448"/>
      <c r="U30" s="448"/>
      <c r="V30" s="460"/>
    </row>
    <row r="31" spans="1:31" ht="15.75" thickBot="1" x14ac:dyDescent="0.3">
      <c r="B31" s="11"/>
      <c r="C31" s="73" t="s">
        <v>79</v>
      </c>
      <c r="D31" s="141">
        <f>D29-D30</f>
        <v>0</v>
      </c>
      <c r="E31" s="142" t="e">
        <f t="shared" si="12"/>
        <v>#DIV/0!</v>
      </c>
      <c r="F31" s="141"/>
      <c r="G31" s="142" t="e">
        <f t="shared" si="13"/>
        <v>#DIV/0!</v>
      </c>
      <c r="H31" s="141">
        <f>+H29-H30</f>
        <v>0</v>
      </c>
      <c r="I31" s="475" t="e">
        <f t="shared" si="10"/>
        <v>#DIV/0!</v>
      </c>
      <c r="J31" s="476" t="str">
        <f t="shared" si="6"/>
        <v/>
      </c>
      <c r="K31" s="435" t="str">
        <f t="shared" si="7"/>
        <v/>
      </c>
      <c r="L31" s="141">
        <f>L29-L30</f>
        <v>0</v>
      </c>
      <c r="M31" s="142" t="e">
        <f t="shared" si="14"/>
        <v>#DIV/0!</v>
      </c>
      <c r="N31" s="141"/>
      <c r="O31" s="142" t="e">
        <f>+N31/$N$16</f>
        <v>#DIV/0!</v>
      </c>
      <c r="P31" s="141">
        <f>P29-P30</f>
        <v>0</v>
      </c>
      <c r="Q31" s="143" t="e">
        <f t="shared" si="11"/>
        <v>#DIV/0!</v>
      </c>
      <c r="R31" s="144" t="str">
        <f t="shared" si="8"/>
        <v/>
      </c>
      <c r="S31" s="146" t="str">
        <f t="shared" si="9"/>
        <v/>
      </c>
      <c r="T31" s="448"/>
      <c r="U31" s="448"/>
      <c r="V31" s="460"/>
    </row>
    <row r="32" spans="1:31" ht="15.75" thickBot="1" x14ac:dyDescent="0.3">
      <c r="B32" s="11"/>
      <c r="C32" s="73" t="s">
        <v>81</v>
      </c>
      <c r="D32" s="141">
        <f>+D15</f>
        <v>0</v>
      </c>
      <c r="E32" s="142" t="e">
        <f t="shared" si="12"/>
        <v>#DIV/0!</v>
      </c>
      <c r="F32" s="141"/>
      <c r="G32" s="142" t="e">
        <f t="shared" si="13"/>
        <v>#DIV/0!</v>
      </c>
      <c r="H32" s="141">
        <f>+H31</f>
        <v>0</v>
      </c>
      <c r="I32" s="475" t="e">
        <f t="shared" si="10"/>
        <v>#DIV/0!</v>
      </c>
      <c r="J32" s="476" t="str">
        <f t="shared" si="6"/>
        <v/>
      </c>
      <c r="K32" s="435" t="str">
        <f t="shared" si="7"/>
        <v/>
      </c>
      <c r="L32" s="141">
        <f>+L26</f>
        <v>0</v>
      </c>
      <c r="M32" s="142" t="e">
        <f t="shared" si="14"/>
        <v>#DIV/0!</v>
      </c>
      <c r="N32" s="141"/>
      <c r="O32" s="142" t="e">
        <f>+N32/$N$16</f>
        <v>#DIV/0!</v>
      </c>
      <c r="P32" s="141">
        <f>+P29</f>
        <v>0</v>
      </c>
      <c r="Q32" s="143" t="e">
        <f t="shared" si="11"/>
        <v>#DIV/0!</v>
      </c>
      <c r="R32" s="144" t="str">
        <f t="shared" si="8"/>
        <v/>
      </c>
      <c r="S32" s="146" t="str">
        <f t="shared" si="9"/>
        <v/>
      </c>
      <c r="T32" s="448"/>
      <c r="U32" s="448"/>
      <c r="V32" s="460"/>
    </row>
    <row r="33" spans="2:22" ht="15.75" thickBot="1" x14ac:dyDescent="0.3">
      <c r="B33" s="11" t="s">
        <v>109</v>
      </c>
      <c r="C33" s="153" t="s">
        <v>45</v>
      </c>
      <c r="D33" s="154"/>
      <c r="E33" s="155" t="e">
        <f t="shared" si="12"/>
        <v>#DIV/0!</v>
      </c>
      <c r="F33" s="154"/>
      <c r="G33" s="155" t="e">
        <f t="shared" si="13"/>
        <v>#DIV/0!</v>
      </c>
      <c r="H33" s="154"/>
      <c r="I33" s="477" t="e">
        <f t="shared" si="10"/>
        <v>#DIV/0!</v>
      </c>
      <c r="J33" s="478" t="str">
        <f t="shared" si="6"/>
        <v/>
      </c>
      <c r="K33" s="479" t="str">
        <f t="shared" si="7"/>
        <v/>
      </c>
      <c r="L33" s="154"/>
      <c r="M33" s="155" t="e">
        <f t="shared" si="14"/>
        <v>#DIV/0!</v>
      </c>
      <c r="N33" s="154"/>
      <c r="O33" s="155" t="e">
        <f>+N33/$N$16</f>
        <v>#DIV/0!</v>
      </c>
      <c r="P33" s="154"/>
      <c r="Q33" s="159" t="e">
        <f t="shared" si="11"/>
        <v>#DIV/0!</v>
      </c>
      <c r="R33" s="160" t="str">
        <f t="shared" si="8"/>
        <v/>
      </c>
      <c r="S33" s="160" t="str">
        <f t="shared" si="9"/>
        <v/>
      </c>
      <c r="T33" s="448"/>
      <c r="U33" s="448"/>
      <c r="V33" s="460"/>
    </row>
    <row r="34" spans="2:22" s="15" customFormat="1" x14ac:dyDescent="0.25">
      <c r="C34" s="299"/>
      <c r="N34" s="15">
        <v>334358</v>
      </c>
      <c r="S34" s="168"/>
      <c r="T34" s="448"/>
      <c r="U34" s="448"/>
      <c r="V34" s="448"/>
    </row>
    <row r="35" spans="2:22" s="15" customFormat="1" x14ac:dyDescent="0.25">
      <c r="E35" s="87"/>
      <c r="G35" s="87"/>
      <c r="I35" s="87"/>
      <c r="J35" s="87"/>
      <c r="K35" s="87"/>
      <c r="N35" s="15">
        <v>538233</v>
      </c>
      <c r="T35" s="448"/>
      <c r="U35" s="448"/>
      <c r="V35" s="448"/>
    </row>
    <row r="36" spans="2:22" s="15" customFormat="1" x14ac:dyDescent="0.25">
      <c r="G36" s="449"/>
      <c r="H36" s="87"/>
      <c r="I36" s="449"/>
      <c r="J36" s="449"/>
      <c r="K36" s="449"/>
      <c r="N36" s="15">
        <v>538233</v>
      </c>
      <c r="T36" s="448"/>
      <c r="U36" s="448"/>
      <c r="V36" s="448"/>
    </row>
    <row r="37" spans="2:22" s="15" customFormat="1" x14ac:dyDescent="0.25">
      <c r="D37" s="449"/>
      <c r="F37" s="449"/>
      <c r="G37" s="449"/>
      <c r="I37" s="449"/>
      <c r="J37" s="449"/>
      <c r="K37" s="449"/>
      <c r="P37" s="87"/>
      <c r="T37" s="448"/>
      <c r="U37" s="448"/>
      <c r="V37" s="448"/>
    </row>
    <row r="38" spans="2:22" s="15" customFormat="1" x14ac:dyDescent="0.25">
      <c r="F38" s="449"/>
      <c r="G38" s="449"/>
      <c r="H38" s="449"/>
      <c r="I38" s="449"/>
      <c r="J38" s="449"/>
      <c r="K38" s="449"/>
      <c r="O38" s="10"/>
      <c r="T38" s="448"/>
      <c r="U38" s="448"/>
      <c r="V38" s="460"/>
    </row>
    <row r="39" spans="2:22" s="15" customFormat="1" x14ac:dyDescent="0.25">
      <c r="F39" s="87"/>
      <c r="T39" s="448"/>
      <c r="U39" s="448"/>
      <c r="V39" s="460"/>
    </row>
    <row r="40" spans="2:22" s="15" customFormat="1" x14ac:dyDescent="0.25">
      <c r="V40" s="12"/>
    </row>
    <row r="43" spans="2:22" x14ac:dyDescent="0.25">
      <c r="B43" s="10" t="s">
        <v>82</v>
      </c>
      <c r="D43" s="303"/>
      <c r="E43" s="303"/>
      <c r="G43" s="303"/>
      <c r="H43" s="304"/>
      <c r="I43" s="303"/>
      <c r="J43" s="303"/>
      <c r="K43" s="303"/>
      <c r="L43" s="304"/>
      <c r="M43" s="303"/>
      <c r="O43" s="303"/>
      <c r="P43" s="303"/>
    </row>
    <row r="45" spans="2:22" x14ac:dyDescent="0.25">
      <c r="N45" s="304"/>
    </row>
    <row r="47" spans="2:22" x14ac:dyDescent="0.25">
      <c r="F47" s="304"/>
    </row>
  </sheetData>
  <mergeCells count="7">
    <mergeCell ref="C3:S3"/>
    <mergeCell ref="W3:AC3"/>
    <mergeCell ref="D4:K4"/>
    <mergeCell ref="L4:S4"/>
    <mergeCell ref="L5:M5"/>
    <mergeCell ref="N5:O5"/>
    <mergeCell ref="P5:Q5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38ABE-8F0E-4542-B657-4BEA31589D1B}">
  <dimension ref="A1:AE48"/>
  <sheetViews>
    <sheetView topLeftCell="C4" workbookViewId="0">
      <selection activeCell="V12" sqref="V12"/>
    </sheetView>
  </sheetViews>
  <sheetFormatPr baseColWidth="10" defaultRowHeight="15" x14ac:dyDescent="0.25"/>
  <cols>
    <col min="1" max="2" width="11.42578125" style="10" hidden="1" customWidth="1"/>
    <col min="3" max="3" width="35.7109375" style="20" customWidth="1"/>
    <col min="4" max="4" width="14.28515625" style="20" customWidth="1"/>
    <col min="5" max="5" width="6.140625" style="20" hidden="1" customWidth="1"/>
    <col min="6" max="6" width="11" style="20" customWidth="1"/>
    <col min="7" max="7" width="0.28515625" style="20" customWidth="1"/>
    <col min="8" max="8" width="10.85546875" style="20" customWidth="1"/>
    <col min="9" max="9" width="0.140625" style="20" customWidth="1"/>
    <col min="10" max="10" width="10.28515625" style="20" customWidth="1"/>
    <col min="11" max="11" width="8.140625" style="20" hidden="1" customWidth="1"/>
    <col min="12" max="12" width="10.5703125" style="20" customWidth="1"/>
    <col min="13" max="13" width="0.5703125" style="20" customWidth="1"/>
    <col min="14" max="14" width="10" style="20" customWidth="1"/>
    <col min="15" max="15" width="0.28515625" style="20" customWidth="1"/>
    <col min="16" max="16" width="11" style="20" customWidth="1"/>
    <col min="17" max="17" width="0.28515625" style="20" customWidth="1"/>
    <col min="18" max="18" width="7.85546875" style="20" customWidth="1"/>
    <col min="19" max="19" width="0.28515625" style="20" customWidth="1"/>
    <col min="20" max="21" width="11.42578125" style="15" customWidth="1"/>
    <col min="22" max="22" width="11.42578125" style="12" customWidth="1"/>
    <col min="23" max="23" width="34.140625" style="12" hidden="1" customWidth="1"/>
    <col min="24" max="24" width="11.42578125" style="12" hidden="1" customWidth="1"/>
    <col min="25" max="25" width="11.5703125" style="12" hidden="1" customWidth="1"/>
    <col min="26" max="27" width="11.42578125" style="12" hidden="1" customWidth="1"/>
    <col min="28" max="28" width="10" style="12" hidden="1" customWidth="1"/>
    <col min="29" max="29" width="9.42578125" style="12" hidden="1" customWidth="1"/>
    <col min="30" max="30" width="0" style="12" hidden="1" customWidth="1"/>
    <col min="31" max="31" width="11.42578125" style="12"/>
    <col min="32" max="16384" width="11.42578125" style="10"/>
  </cols>
  <sheetData>
    <row r="1" spans="1:31" s="4" customFormat="1" ht="30.75" hidden="1" thickBot="1" x14ac:dyDescent="0.3">
      <c r="C1" s="480" t="s">
        <v>0</v>
      </c>
      <c r="D1" s="397" t="s">
        <v>1</v>
      </c>
      <c r="E1" s="397"/>
      <c r="F1" s="397" t="s">
        <v>2</v>
      </c>
      <c r="G1" s="397"/>
      <c r="H1" s="397" t="s">
        <v>3</v>
      </c>
      <c r="I1" s="397"/>
      <c r="J1" s="397"/>
      <c r="K1" s="397" t="s">
        <v>4</v>
      </c>
      <c r="L1" s="397" t="s">
        <v>5</v>
      </c>
      <c r="M1" s="397"/>
      <c r="N1" s="397" t="s">
        <v>6</v>
      </c>
      <c r="O1" s="397"/>
      <c r="P1" s="397" t="s">
        <v>7</v>
      </c>
      <c r="Q1" s="397"/>
      <c r="R1" s="397"/>
      <c r="S1" s="397"/>
      <c r="T1" s="8" t="s">
        <v>5</v>
      </c>
      <c r="U1" s="8" t="s">
        <v>6</v>
      </c>
      <c r="V1" s="5" t="s">
        <v>7</v>
      </c>
      <c r="W1" s="5"/>
      <c r="X1" s="5"/>
      <c r="Y1" s="5"/>
      <c r="Z1" s="5"/>
      <c r="AA1" s="5"/>
      <c r="AB1" s="5"/>
      <c r="AC1" s="5"/>
      <c r="AD1" s="5"/>
      <c r="AE1" s="5"/>
    </row>
    <row r="2" spans="1:31" ht="31.5" hidden="1" thickBot="1" x14ac:dyDescent="0.35">
      <c r="A2" s="4" t="s">
        <v>8</v>
      </c>
      <c r="B2" s="195">
        <v>201301</v>
      </c>
      <c r="D2" s="481">
        <f>B2</f>
        <v>201301</v>
      </c>
      <c r="F2" s="481" t="str">
        <f>CONCATENATE(LEFT(B2,4)-1,RIGHT(B2,2))</f>
        <v>201201</v>
      </c>
      <c r="H2" s="20">
        <f>B2</f>
        <v>201301</v>
      </c>
      <c r="L2" s="20" t="str">
        <f>CONCATENATE(LEFT(D2,4),"01")</f>
        <v>201301</v>
      </c>
      <c r="N2" s="481" t="str">
        <f>+F2</f>
        <v>201201</v>
      </c>
      <c r="P2" s="481">
        <f>D2</f>
        <v>201301</v>
      </c>
      <c r="T2" s="15" t="s">
        <v>10</v>
      </c>
      <c r="U2" s="15" t="s">
        <v>83</v>
      </c>
      <c r="V2" s="12">
        <v>201301</v>
      </c>
      <c r="Z2" s="482"/>
    </row>
    <row r="3" spans="1:31" ht="19.5" hidden="1" thickBot="1" x14ac:dyDescent="0.35">
      <c r="B3" s="10">
        <v>1000</v>
      </c>
      <c r="C3" s="483" t="s">
        <v>163</v>
      </c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  <c r="T3" s="450"/>
      <c r="W3" s="484"/>
      <c r="X3" s="484"/>
      <c r="Y3" s="484"/>
      <c r="Z3" s="484"/>
      <c r="AA3" s="484"/>
      <c r="AB3" s="484"/>
      <c r="AC3" s="484"/>
    </row>
    <row r="4" spans="1:31" ht="19.5" thickBot="1" x14ac:dyDescent="0.35">
      <c r="A4" s="10" t="s">
        <v>93</v>
      </c>
      <c r="B4" s="10">
        <v>1</v>
      </c>
      <c r="C4" s="485"/>
      <c r="D4" s="486">
        <f>+'COLOMB$ '!D4:K4</f>
        <v>44712</v>
      </c>
      <c r="E4" s="487"/>
      <c r="F4" s="487"/>
      <c r="G4" s="487"/>
      <c r="H4" s="488"/>
      <c r="I4" s="488"/>
      <c r="J4" s="489"/>
      <c r="K4" s="490"/>
      <c r="L4" s="491" t="s">
        <v>12</v>
      </c>
      <c r="M4" s="487"/>
      <c r="N4" s="487"/>
      <c r="O4" s="487"/>
      <c r="P4" s="488"/>
      <c r="Q4" s="488"/>
      <c r="R4" s="488"/>
      <c r="S4" s="488"/>
      <c r="T4" s="15" t="s">
        <v>12</v>
      </c>
      <c r="W4" s="482"/>
      <c r="Y4" s="492"/>
      <c r="Z4" s="492"/>
    </row>
    <row r="5" spans="1:31" ht="15.75" customHeight="1" thickBot="1" x14ac:dyDescent="0.3">
      <c r="A5" s="10" t="s">
        <v>94</v>
      </c>
      <c r="B5" s="10" t="s">
        <v>95</v>
      </c>
      <c r="C5" s="493" t="s">
        <v>164</v>
      </c>
      <c r="D5" s="494" t="str">
        <f>+'COLOMB$ '!D5:E5</f>
        <v>Ppto 2022</v>
      </c>
      <c r="E5" s="495"/>
      <c r="F5" s="494" t="str">
        <f>+'COLOMB$ '!F5:G5</f>
        <v>Real 2021</v>
      </c>
      <c r="G5" s="495"/>
      <c r="H5" s="494" t="str">
        <f>+'COLOMB$ '!H5:I5</f>
        <v>real 2022</v>
      </c>
      <c r="I5" s="495"/>
      <c r="J5" s="496" t="s">
        <v>19</v>
      </c>
      <c r="K5" s="496" t="s">
        <v>20</v>
      </c>
      <c r="L5" s="497" t="str">
        <f>+D5</f>
        <v>Ppto 2022</v>
      </c>
      <c r="M5" s="495"/>
      <c r="N5" s="497" t="str">
        <f>+F5</f>
        <v>Real 2021</v>
      </c>
      <c r="O5" s="495"/>
      <c r="P5" s="497" t="str">
        <f>+H5</f>
        <v>real 2022</v>
      </c>
      <c r="Q5" s="495"/>
      <c r="R5" s="498" t="s">
        <v>19</v>
      </c>
      <c r="S5" s="499" t="s">
        <v>20</v>
      </c>
      <c r="T5" s="454" t="s">
        <v>84</v>
      </c>
      <c r="U5" s="455" t="s">
        <v>85</v>
      </c>
      <c r="V5" s="12" t="s">
        <v>86</v>
      </c>
      <c r="W5" s="500"/>
      <c r="X5" s="501"/>
      <c r="Y5" s="502"/>
      <c r="Z5" s="502"/>
      <c r="AA5" s="502"/>
      <c r="AB5" s="502"/>
      <c r="AC5" s="502"/>
    </row>
    <row r="6" spans="1:31" ht="15.75" thickBot="1" x14ac:dyDescent="0.3">
      <c r="C6" s="503" t="s">
        <v>25</v>
      </c>
      <c r="D6" s="504" t="s">
        <v>26</v>
      </c>
      <c r="E6" s="505" t="s">
        <v>27</v>
      </c>
      <c r="F6" s="506" t="s">
        <v>26</v>
      </c>
      <c r="G6" s="507" t="s">
        <v>27</v>
      </c>
      <c r="H6" s="506" t="s">
        <v>26</v>
      </c>
      <c r="I6" s="508" t="s">
        <v>27</v>
      </c>
      <c r="J6" s="509" t="s">
        <v>28</v>
      </c>
      <c r="K6" s="509" t="s">
        <v>28</v>
      </c>
      <c r="L6" s="506" t="s">
        <v>26</v>
      </c>
      <c r="M6" s="505" t="s">
        <v>27</v>
      </c>
      <c r="N6" s="506" t="s">
        <v>26</v>
      </c>
      <c r="O6" s="508" t="s">
        <v>27</v>
      </c>
      <c r="P6" s="506" t="s">
        <v>26</v>
      </c>
      <c r="Q6" s="508" t="s">
        <v>27</v>
      </c>
      <c r="R6" s="510" t="s">
        <v>28</v>
      </c>
      <c r="S6" s="508" t="s">
        <v>28</v>
      </c>
      <c r="T6" s="457" t="s">
        <v>26</v>
      </c>
      <c r="U6" s="458" t="s">
        <v>26</v>
      </c>
      <c r="V6" s="459" t="s">
        <v>26</v>
      </c>
      <c r="W6" s="511"/>
      <c r="X6" s="512"/>
      <c r="Y6" s="513"/>
      <c r="Z6" s="513"/>
      <c r="AA6" s="513"/>
      <c r="AB6" s="513"/>
      <c r="AC6" s="514"/>
    </row>
    <row r="7" spans="1:31" ht="15.75" thickBot="1" x14ac:dyDescent="0.3">
      <c r="B7" s="11" t="s">
        <v>96</v>
      </c>
      <c r="C7" s="515" t="str">
        <f>+'COLOMB$ '!C7</f>
        <v>Fact. Musical Experience  (Ambiental)</v>
      </c>
      <c r="D7" s="516"/>
      <c r="E7" s="517" t="e">
        <f t="shared" ref="E7:E12" si="0">+D7/$D$17</f>
        <v>#DIV/0!</v>
      </c>
      <c r="F7" s="516"/>
      <c r="G7" s="517" t="e">
        <f t="shared" ref="G7:G12" si="1">+F7/$F$17</f>
        <v>#DIV/0!</v>
      </c>
      <c r="H7" s="518"/>
      <c r="I7" s="519" t="e">
        <f t="shared" ref="I7:I12" si="2">+H7/$H$17</f>
        <v>#DIV/0!</v>
      </c>
      <c r="J7" s="520" t="str">
        <f>IF(D7=0,"",(H7-D7)/ABS(D7)+1)</f>
        <v/>
      </c>
      <c r="K7" s="521" t="str">
        <f>IF(F7=0,"",(H7-F7)/ABS(F7))</f>
        <v/>
      </c>
      <c r="L7" s="516"/>
      <c r="M7" s="517" t="e">
        <f t="shared" ref="M7:M12" si="3">+L7/$L$17</f>
        <v>#DIV/0!</v>
      </c>
      <c r="N7" s="516"/>
      <c r="O7" s="517" t="e">
        <f t="shared" ref="O7:O12" si="4">+N7/$N$17</f>
        <v>#DIV/0!</v>
      </c>
      <c r="P7" s="516"/>
      <c r="Q7" s="522" t="e">
        <f t="shared" ref="Q7:Q12" si="5">+P7/$P$17</f>
        <v>#DIV/0!</v>
      </c>
      <c r="R7" s="523" t="str">
        <f>IF(L7=0,"",(P7-L7)/ABS(L7)+1)</f>
        <v/>
      </c>
      <c r="S7" s="524" t="str">
        <f>IF(N7=0,"",(P7-N7)/ABS(N7))</f>
        <v/>
      </c>
      <c r="T7" s="448"/>
      <c r="U7" s="448"/>
      <c r="V7" s="460"/>
      <c r="W7" s="525"/>
      <c r="X7" s="526"/>
      <c r="Y7" s="527"/>
      <c r="Z7" s="526"/>
      <c r="AA7" s="528"/>
      <c r="AB7" s="529"/>
      <c r="AC7" s="529"/>
    </row>
    <row r="8" spans="1:31" x14ac:dyDescent="0.25">
      <c r="B8" s="11" t="s">
        <v>97</v>
      </c>
      <c r="C8" s="515" t="str">
        <f>+'COLOMB$ '!C8</f>
        <v>Instalaciones</v>
      </c>
      <c r="D8" s="516"/>
      <c r="E8" s="517" t="e">
        <f t="shared" si="0"/>
        <v>#DIV/0!</v>
      </c>
      <c r="F8" s="516">
        <v>0</v>
      </c>
      <c r="G8" s="517" t="e">
        <f t="shared" si="1"/>
        <v>#DIV/0!</v>
      </c>
      <c r="H8" s="516"/>
      <c r="I8" s="530" t="e">
        <f t="shared" si="2"/>
        <v>#DIV/0!</v>
      </c>
      <c r="J8" s="520" t="str">
        <f t="shared" ref="J8:J34" si="6">IF(D8=0,"",(H8-D8)/ABS(D8)+1)</f>
        <v/>
      </c>
      <c r="K8" s="521" t="str">
        <f t="shared" ref="K8:K34" si="7">IF(F8=0,"",(H8-F8)/ABS(F8))</f>
        <v/>
      </c>
      <c r="L8" s="516"/>
      <c r="M8" s="517" t="e">
        <f t="shared" si="3"/>
        <v>#DIV/0!</v>
      </c>
      <c r="N8" s="516">
        <f t="shared" ref="N8:N13" si="8">+U8+F8</f>
        <v>0</v>
      </c>
      <c r="O8" s="517" t="e">
        <f t="shared" si="4"/>
        <v>#DIV/0!</v>
      </c>
      <c r="P8" s="516"/>
      <c r="Q8" s="522" t="e">
        <f t="shared" si="5"/>
        <v>#DIV/0!</v>
      </c>
      <c r="R8" s="523" t="str">
        <f t="shared" ref="R8:R34" si="9">IF(L8=0,"",(P8-L8)/ABS(L8)+1)</f>
        <v/>
      </c>
      <c r="S8" s="524" t="str">
        <f t="shared" ref="S8:S34" si="10">IF(N8=0,"",(P8-N8)/ABS(N8))</f>
        <v/>
      </c>
      <c r="T8" s="448"/>
      <c r="U8" s="448">
        <v>0</v>
      </c>
      <c r="V8" s="460"/>
      <c r="W8" s="531"/>
      <c r="X8" s="532"/>
      <c r="Y8" s="532"/>
      <c r="Z8" s="532"/>
      <c r="AA8" s="533"/>
      <c r="AB8" s="534"/>
      <c r="AC8" s="534"/>
    </row>
    <row r="9" spans="1:31" x14ac:dyDescent="0.25">
      <c r="B9" s="11" t="s">
        <v>98</v>
      </c>
      <c r="C9" s="515" t="str">
        <f>+'COLOMB$ '!C9</f>
        <v>Fact.Voice Experience (Publihold)</v>
      </c>
      <c r="D9" s="516"/>
      <c r="E9" s="517" t="e">
        <f t="shared" si="0"/>
        <v>#DIV/0!</v>
      </c>
      <c r="F9" s="516">
        <v>0</v>
      </c>
      <c r="G9" s="517" t="e">
        <f t="shared" si="1"/>
        <v>#DIV/0!</v>
      </c>
      <c r="H9" s="516"/>
      <c r="I9" s="530" t="e">
        <f t="shared" si="2"/>
        <v>#DIV/0!</v>
      </c>
      <c r="J9" s="520" t="str">
        <f t="shared" si="6"/>
        <v/>
      </c>
      <c r="K9" s="521" t="str">
        <f t="shared" si="7"/>
        <v/>
      </c>
      <c r="L9" s="516"/>
      <c r="M9" s="517" t="e">
        <f t="shared" si="3"/>
        <v>#DIV/0!</v>
      </c>
      <c r="N9" s="516">
        <f t="shared" si="8"/>
        <v>0</v>
      </c>
      <c r="O9" s="517" t="e">
        <f t="shared" si="4"/>
        <v>#DIV/0!</v>
      </c>
      <c r="P9" s="516"/>
      <c r="Q9" s="522" t="e">
        <f t="shared" si="5"/>
        <v>#DIV/0!</v>
      </c>
      <c r="R9" s="523" t="str">
        <f t="shared" si="9"/>
        <v/>
      </c>
      <c r="S9" s="524" t="str">
        <f t="shared" si="10"/>
        <v/>
      </c>
      <c r="T9" s="448"/>
      <c r="U9" s="448">
        <v>0</v>
      </c>
      <c r="V9" s="460"/>
      <c r="W9" s="531"/>
      <c r="X9" s="532"/>
      <c r="Y9" s="532"/>
      <c r="Z9" s="532"/>
      <c r="AA9" s="533"/>
      <c r="AB9" s="534"/>
      <c r="AC9" s="534"/>
    </row>
    <row r="10" spans="1:31" x14ac:dyDescent="0.25">
      <c r="B10" s="219" t="s">
        <v>99</v>
      </c>
      <c r="C10" s="515" t="str">
        <f>+'COLOMB$ '!C10</f>
        <v>Fact. Service &amp; Equipment Experience</v>
      </c>
      <c r="D10" s="516"/>
      <c r="E10" s="517" t="e">
        <f t="shared" si="0"/>
        <v>#DIV/0!</v>
      </c>
      <c r="F10" s="516">
        <v>0</v>
      </c>
      <c r="G10" s="517" t="e">
        <f t="shared" si="1"/>
        <v>#DIV/0!</v>
      </c>
      <c r="H10" s="516"/>
      <c r="I10" s="530" t="e">
        <f t="shared" si="2"/>
        <v>#DIV/0!</v>
      </c>
      <c r="J10" s="520" t="str">
        <f>IF(D10=0,"",(H10-D10)/ABS(D10)+1)</f>
        <v/>
      </c>
      <c r="K10" s="521" t="str">
        <f>IF(F10=0,"",(H10-F10)/ABS(F10))</f>
        <v/>
      </c>
      <c r="L10" s="516"/>
      <c r="M10" s="517" t="e">
        <f t="shared" si="3"/>
        <v>#DIV/0!</v>
      </c>
      <c r="N10" s="516">
        <f t="shared" si="8"/>
        <v>0</v>
      </c>
      <c r="O10" s="517" t="e">
        <f t="shared" si="4"/>
        <v>#DIV/0!</v>
      </c>
      <c r="P10" s="516"/>
      <c r="Q10" s="522" t="e">
        <f t="shared" si="5"/>
        <v>#DIV/0!</v>
      </c>
      <c r="R10" s="523" t="str">
        <f>IF(L10=0,"",(P10-L10)/ABS(L10)+1)</f>
        <v/>
      </c>
      <c r="S10" s="524" t="str">
        <f>IF(N10=0,"",(P10-N10)/ABS(N10))</f>
        <v/>
      </c>
      <c r="T10" s="448"/>
      <c r="U10" s="448">
        <v>0</v>
      </c>
      <c r="V10" s="460"/>
      <c r="W10" s="531"/>
      <c r="X10" s="532"/>
      <c r="Y10" s="532"/>
      <c r="Z10" s="532"/>
      <c r="AA10" s="533"/>
      <c r="AB10" s="534"/>
      <c r="AC10" s="534"/>
    </row>
    <row r="11" spans="1:31" x14ac:dyDescent="0.25">
      <c r="B11" s="11">
        <v>4170250500</v>
      </c>
      <c r="C11" s="515" t="str">
        <f>+'COLOMB$ '!C11</f>
        <v>POP Satelital</v>
      </c>
      <c r="D11" s="516"/>
      <c r="E11" s="517" t="e">
        <f t="shared" si="0"/>
        <v>#DIV/0!</v>
      </c>
      <c r="F11" s="516">
        <v>0</v>
      </c>
      <c r="G11" s="517" t="e">
        <f t="shared" si="1"/>
        <v>#DIV/0!</v>
      </c>
      <c r="H11" s="516"/>
      <c r="I11" s="530" t="e">
        <f t="shared" si="2"/>
        <v>#DIV/0!</v>
      </c>
      <c r="J11" s="520" t="str">
        <f>IF(D11=0,"",(H11-D11)/ABS(D11)+1)</f>
        <v/>
      </c>
      <c r="K11" s="521" t="str">
        <f>IF(F11=0,"",(H11-F11)/ABS(F11))</f>
        <v/>
      </c>
      <c r="L11" s="516"/>
      <c r="M11" s="517" t="e">
        <f t="shared" si="3"/>
        <v>#DIV/0!</v>
      </c>
      <c r="N11" s="516">
        <f t="shared" si="8"/>
        <v>0</v>
      </c>
      <c r="O11" s="517" t="e">
        <f t="shared" si="4"/>
        <v>#DIV/0!</v>
      </c>
      <c r="P11" s="516"/>
      <c r="Q11" s="522" t="e">
        <f t="shared" si="5"/>
        <v>#DIV/0!</v>
      </c>
      <c r="R11" s="523" t="str">
        <f>IF(L11=0,"",(P11-L11)/ABS(L11)+1)</f>
        <v/>
      </c>
      <c r="S11" s="524" t="str">
        <f>IF(N11=0,"",(P11-N11)/ABS(N11))</f>
        <v/>
      </c>
      <c r="T11" s="448"/>
      <c r="U11" s="448">
        <v>0</v>
      </c>
      <c r="V11" s="460"/>
      <c r="W11" s="531"/>
      <c r="X11" s="532"/>
      <c r="Y11" s="532"/>
      <c r="Z11" s="532"/>
      <c r="AA11" s="533"/>
      <c r="AB11" s="534"/>
      <c r="AC11" s="534"/>
      <c r="AE11" s="301"/>
    </row>
    <row r="12" spans="1:31" x14ac:dyDescent="0.25">
      <c r="B12" s="11"/>
      <c r="C12" s="515" t="str">
        <f>+'COLOMB$ '!C12</f>
        <v xml:space="preserve"> Fact.Voice Experience (Audicóm)</v>
      </c>
      <c r="D12" s="516"/>
      <c r="E12" s="517" t="e">
        <f t="shared" si="0"/>
        <v>#DIV/0!</v>
      </c>
      <c r="F12" s="516">
        <v>0</v>
      </c>
      <c r="G12" s="517" t="e">
        <f t="shared" si="1"/>
        <v>#DIV/0!</v>
      </c>
      <c r="H12" s="516"/>
      <c r="I12" s="530" t="e">
        <f t="shared" si="2"/>
        <v>#DIV/0!</v>
      </c>
      <c r="J12" s="520" t="str">
        <f t="shared" si="6"/>
        <v/>
      </c>
      <c r="K12" s="521" t="str">
        <f t="shared" si="7"/>
        <v/>
      </c>
      <c r="L12" s="516"/>
      <c r="M12" s="517" t="e">
        <f t="shared" si="3"/>
        <v>#DIV/0!</v>
      </c>
      <c r="N12" s="516">
        <f t="shared" si="8"/>
        <v>0</v>
      </c>
      <c r="O12" s="517" t="e">
        <f t="shared" si="4"/>
        <v>#DIV/0!</v>
      </c>
      <c r="P12" s="516"/>
      <c r="Q12" s="522" t="e">
        <f t="shared" si="5"/>
        <v>#DIV/0!</v>
      </c>
      <c r="R12" s="523"/>
      <c r="S12" s="524" t="str">
        <f t="shared" si="10"/>
        <v/>
      </c>
      <c r="T12" s="448"/>
      <c r="U12" s="448">
        <v>0</v>
      </c>
      <c r="V12" s="460"/>
      <c r="W12" s="531"/>
      <c r="X12" s="532"/>
      <c r="Y12" s="535"/>
      <c r="Z12" s="535"/>
      <c r="AA12" s="533"/>
      <c r="AB12" s="534"/>
      <c r="AC12" s="534"/>
    </row>
    <row r="13" spans="1:31" ht="15.75" thickBot="1" x14ac:dyDescent="0.3">
      <c r="C13" s="515" t="str">
        <f>+'COLOMB$ '!C13</f>
        <v>Fact. Servicio Satelital</v>
      </c>
      <c r="D13" s="516"/>
      <c r="E13" s="517"/>
      <c r="F13" s="516">
        <v>0</v>
      </c>
      <c r="G13" s="517"/>
      <c r="H13" s="516"/>
      <c r="I13" s="530"/>
      <c r="J13" s="520"/>
      <c r="K13" s="521"/>
      <c r="L13" s="516"/>
      <c r="M13" s="517"/>
      <c r="N13" s="516">
        <f t="shared" si="8"/>
        <v>0</v>
      </c>
      <c r="O13" s="517"/>
      <c r="P13" s="516"/>
      <c r="Q13" s="522"/>
      <c r="R13" s="523"/>
      <c r="S13" s="524"/>
      <c r="T13" s="448"/>
      <c r="U13" s="448">
        <v>0</v>
      </c>
      <c r="V13" s="460"/>
      <c r="W13" s="531"/>
      <c r="X13" s="532"/>
      <c r="Y13" s="532"/>
      <c r="Z13" s="532"/>
      <c r="AA13" s="533"/>
      <c r="AB13" s="534"/>
      <c r="AC13" s="534"/>
    </row>
    <row r="14" spans="1:31" ht="15.75" thickBot="1" x14ac:dyDescent="0.3">
      <c r="C14" s="515" t="str">
        <f>+'COLOMB$ '!C14</f>
        <v>Fact. Visual Experience</v>
      </c>
      <c r="D14" s="516"/>
      <c r="E14" s="517"/>
      <c r="F14" s="516">
        <v>0</v>
      </c>
      <c r="G14" s="517"/>
      <c r="H14" s="516"/>
      <c r="I14" s="530"/>
      <c r="J14" s="520"/>
      <c r="K14" s="521"/>
      <c r="L14" s="516"/>
      <c r="M14" s="517"/>
      <c r="N14" s="516"/>
      <c r="O14" s="517"/>
      <c r="P14" s="516"/>
      <c r="Q14" s="522"/>
      <c r="R14" s="523"/>
      <c r="S14" s="524"/>
      <c r="T14" s="448"/>
      <c r="U14" s="448"/>
      <c r="V14" s="460"/>
      <c r="W14" s="525"/>
      <c r="X14" s="526"/>
      <c r="Y14" s="527"/>
      <c r="Z14" s="526"/>
      <c r="AA14" s="528"/>
      <c r="AB14" s="529"/>
      <c r="AC14" s="529"/>
    </row>
    <row r="15" spans="1:31" x14ac:dyDescent="0.25">
      <c r="C15" s="515" t="str">
        <f>+'COLOMB$ '!C15</f>
        <v>Fac.   Olfa Experience</v>
      </c>
      <c r="D15" s="516"/>
      <c r="E15" s="517"/>
      <c r="F15" s="516"/>
      <c r="G15" s="517"/>
      <c r="H15" s="516"/>
      <c r="I15" s="530"/>
      <c r="J15" s="520"/>
      <c r="K15" s="521"/>
      <c r="L15" s="516"/>
      <c r="M15" s="517"/>
      <c r="N15" s="516"/>
      <c r="O15" s="517"/>
      <c r="P15" s="516"/>
      <c r="Q15" s="522"/>
      <c r="R15" s="523"/>
      <c r="S15" s="524"/>
      <c r="T15" s="448"/>
      <c r="U15" s="448"/>
      <c r="V15" s="460"/>
      <c r="W15" s="536"/>
      <c r="X15" s="537"/>
      <c r="Y15" s="538"/>
      <c r="Z15" s="537"/>
      <c r="AA15" s="539"/>
      <c r="AB15" s="540"/>
      <c r="AC15" s="540"/>
    </row>
    <row r="16" spans="1:31" ht="15.75" thickBot="1" x14ac:dyDescent="0.3">
      <c r="C16" s="515" t="str">
        <f>+'COLOMB$ '!C16</f>
        <v>Facturacion Locutor virtual</v>
      </c>
      <c r="D16" s="516"/>
      <c r="E16" s="517"/>
      <c r="F16" s="516"/>
      <c r="G16" s="517"/>
      <c r="H16" s="516"/>
      <c r="I16" s="530" t="e">
        <f t="shared" ref="I16:I34" si="11">+H16/$H$17</f>
        <v>#DIV/0!</v>
      </c>
      <c r="J16" s="520"/>
      <c r="K16" s="521"/>
      <c r="L16" s="516"/>
      <c r="M16" s="517"/>
      <c r="N16" s="516">
        <f t="shared" ref="N16:N18" si="12">+T16+F16</f>
        <v>0</v>
      </c>
      <c r="O16" s="517"/>
      <c r="P16" s="516"/>
      <c r="Q16" s="522" t="e">
        <f t="shared" ref="Q16:Q32" si="13">+P16/$P$17</f>
        <v>#DIV/0!</v>
      </c>
      <c r="R16" s="523"/>
      <c r="S16" s="524"/>
      <c r="T16" s="448"/>
      <c r="U16" s="448">
        <v>0</v>
      </c>
      <c r="V16" s="460"/>
      <c r="W16" s="536"/>
      <c r="X16" s="537"/>
      <c r="Y16" s="538"/>
      <c r="Z16" s="537"/>
      <c r="AA16" s="539"/>
      <c r="AB16" s="540"/>
      <c r="AC16" s="540"/>
    </row>
    <row r="17" spans="1:31" x14ac:dyDescent="0.25">
      <c r="B17" s="11"/>
      <c r="C17" s="541" t="s">
        <v>57</v>
      </c>
      <c r="D17" s="518">
        <f>SUM(D7:D13)</f>
        <v>0</v>
      </c>
      <c r="E17" s="542" t="e">
        <f t="shared" ref="E17:E34" si="14">+D17/$D$17</f>
        <v>#DIV/0!</v>
      </c>
      <c r="F17" s="518">
        <f>SUM(F7:F14)</f>
        <v>0</v>
      </c>
      <c r="G17" s="542" t="e">
        <f t="shared" ref="G17:G34" si="15">+F17/$F$17</f>
        <v>#DIV/0!</v>
      </c>
      <c r="H17" s="518">
        <f>SUM(H7:H16)</f>
        <v>0</v>
      </c>
      <c r="I17" s="519" t="e">
        <f t="shared" si="11"/>
        <v>#DIV/0!</v>
      </c>
      <c r="J17" s="543" t="str">
        <f t="shared" si="6"/>
        <v/>
      </c>
      <c r="K17" s="544" t="str">
        <f t="shared" si="7"/>
        <v/>
      </c>
      <c r="L17" s="518">
        <f>SUM(L7:L13)</f>
        <v>0</v>
      </c>
      <c r="M17" s="542" t="e">
        <f t="shared" ref="M17:M34" si="16">+L17/$L$17</f>
        <v>#DIV/0!</v>
      </c>
      <c r="N17" s="518">
        <f t="shared" si="12"/>
        <v>0</v>
      </c>
      <c r="O17" s="542" t="e">
        <f t="shared" ref="O17:O30" si="17">+N17/$N$17</f>
        <v>#DIV/0!</v>
      </c>
      <c r="P17" s="518">
        <f>SUM(P7:P16)</f>
        <v>0</v>
      </c>
      <c r="Q17" s="545" t="e">
        <f t="shared" si="13"/>
        <v>#DIV/0!</v>
      </c>
      <c r="R17" s="546" t="str">
        <f t="shared" si="9"/>
        <v/>
      </c>
      <c r="S17" s="546" t="str">
        <f t="shared" si="10"/>
        <v/>
      </c>
      <c r="T17" s="448">
        <v>0</v>
      </c>
      <c r="U17" s="448">
        <v>0</v>
      </c>
      <c r="V17" s="460">
        <v>0</v>
      </c>
      <c r="W17" s="531"/>
      <c r="X17" s="547"/>
      <c r="Y17" s="547"/>
      <c r="Z17" s="547"/>
      <c r="AA17" s="533"/>
      <c r="AB17" s="534"/>
      <c r="AC17" s="534"/>
    </row>
    <row r="18" spans="1:31" x14ac:dyDescent="0.25">
      <c r="B18" s="11" t="s">
        <v>100</v>
      </c>
      <c r="C18" s="548" t="s">
        <v>59</v>
      </c>
      <c r="D18" s="446"/>
      <c r="E18" s="549" t="e">
        <f t="shared" si="14"/>
        <v>#DIV/0!</v>
      </c>
      <c r="F18" s="446"/>
      <c r="G18" s="549" t="e">
        <f t="shared" si="15"/>
        <v>#DIV/0!</v>
      </c>
      <c r="H18" s="550"/>
      <c r="I18" s="551" t="e">
        <f t="shared" si="11"/>
        <v>#DIV/0!</v>
      </c>
      <c r="J18" s="552" t="str">
        <f t="shared" si="6"/>
        <v/>
      </c>
      <c r="K18" s="553" t="str">
        <f t="shared" si="7"/>
        <v/>
      </c>
      <c r="L18" s="446"/>
      <c r="M18" s="549" t="e">
        <f t="shared" si="16"/>
        <v>#DIV/0!</v>
      </c>
      <c r="N18" s="446">
        <f t="shared" si="12"/>
        <v>0</v>
      </c>
      <c r="O18" s="549" t="e">
        <f t="shared" si="17"/>
        <v>#DIV/0!</v>
      </c>
      <c r="P18" s="446"/>
      <c r="Q18" s="554" t="e">
        <f t="shared" si="13"/>
        <v>#DIV/0!</v>
      </c>
      <c r="R18" s="555" t="str">
        <f t="shared" si="9"/>
        <v/>
      </c>
      <c r="S18" s="556" t="str">
        <f t="shared" si="10"/>
        <v/>
      </c>
      <c r="T18" s="448"/>
      <c r="U18" s="448">
        <v>0</v>
      </c>
      <c r="V18" s="460"/>
      <c r="W18" s="531"/>
      <c r="X18" s="532"/>
      <c r="Y18" s="532"/>
      <c r="Z18" s="532"/>
      <c r="AA18" s="533"/>
      <c r="AB18" s="534"/>
      <c r="AC18" s="534"/>
      <c r="AE18" s="301"/>
    </row>
    <row r="19" spans="1:31" ht="15.75" thickBot="1" x14ac:dyDescent="0.3">
      <c r="B19" s="11"/>
      <c r="C19" s="557" t="s">
        <v>61</v>
      </c>
      <c r="D19" s="558">
        <f>+D17-D18</f>
        <v>0</v>
      </c>
      <c r="E19" s="559" t="e">
        <f t="shared" si="14"/>
        <v>#DIV/0!</v>
      </c>
      <c r="F19" s="558">
        <f>+F17-F18</f>
        <v>0</v>
      </c>
      <c r="G19" s="559" t="e">
        <f t="shared" si="15"/>
        <v>#DIV/0!</v>
      </c>
      <c r="H19" s="558">
        <f>+H17-H18</f>
        <v>0</v>
      </c>
      <c r="I19" s="560" t="e">
        <f t="shared" si="11"/>
        <v>#DIV/0!</v>
      </c>
      <c r="J19" s="561" t="str">
        <f t="shared" si="6"/>
        <v/>
      </c>
      <c r="K19" s="562" t="str">
        <f t="shared" si="7"/>
        <v/>
      </c>
      <c r="L19" s="558">
        <f>+L17-L18</f>
        <v>0</v>
      </c>
      <c r="M19" s="559" t="e">
        <f t="shared" si="16"/>
        <v>#DIV/0!</v>
      </c>
      <c r="N19" s="563">
        <f>+N17-N18</f>
        <v>0</v>
      </c>
      <c r="O19" s="559" t="e">
        <f t="shared" si="17"/>
        <v>#DIV/0!</v>
      </c>
      <c r="P19" s="558">
        <f>+P17-P18</f>
        <v>0</v>
      </c>
      <c r="Q19" s="564" t="e">
        <f t="shared" si="13"/>
        <v>#DIV/0!</v>
      </c>
      <c r="R19" s="565" t="str">
        <f t="shared" si="9"/>
        <v/>
      </c>
      <c r="S19" s="565" t="str">
        <f t="shared" si="10"/>
        <v/>
      </c>
      <c r="T19" s="448">
        <v>0</v>
      </c>
      <c r="U19" s="448">
        <v>0</v>
      </c>
      <c r="V19" s="460">
        <v>0</v>
      </c>
      <c r="W19" s="531"/>
      <c r="X19" s="532"/>
      <c r="Y19" s="532"/>
      <c r="Z19" s="532"/>
      <c r="AA19" s="533"/>
      <c r="AB19" s="534"/>
      <c r="AC19" s="534"/>
    </row>
    <row r="20" spans="1:31" x14ac:dyDescent="0.25">
      <c r="B20" s="11" t="s">
        <v>101</v>
      </c>
      <c r="C20" s="566" t="s">
        <v>63</v>
      </c>
      <c r="D20" s="190"/>
      <c r="E20" s="567" t="e">
        <f t="shared" si="14"/>
        <v>#DIV/0!</v>
      </c>
      <c r="F20" s="190"/>
      <c r="G20" s="567" t="e">
        <f t="shared" si="15"/>
        <v>#DIV/0!</v>
      </c>
      <c r="H20" s="190"/>
      <c r="I20" s="568" t="e">
        <f t="shared" si="11"/>
        <v>#DIV/0!</v>
      </c>
      <c r="J20" s="569" t="str">
        <f t="shared" si="6"/>
        <v/>
      </c>
      <c r="K20" s="570" t="str">
        <f t="shared" si="7"/>
        <v/>
      </c>
      <c r="L20" s="190"/>
      <c r="M20" s="567" t="e">
        <f t="shared" si="16"/>
        <v>#DIV/0!</v>
      </c>
      <c r="N20" s="571">
        <f>+T20+F20</f>
        <v>0</v>
      </c>
      <c r="O20" s="567" t="e">
        <f t="shared" si="17"/>
        <v>#DIV/0!</v>
      </c>
      <c r="P20" s="572"/>
      <c r="Q20" s="573" t="e">
        <f t="shared" si="13"/>
        <v>#DIV/0!</v>
      </c>
      <c r="R20" s="574" t="str">
        <f t="shared" si="9"/>
        <v/>
      </c>
      <c r="S20" s="575" t="str">
        <f t="shared" si="10"/>
        <v/>
      </c>
      <c r="T20" s="576"/>
      <c r="U20" s="190">
        <v>0</v>
      </c>
      <c r="V20" s="460"/>
      <c r="W20" s="531"/>
      <c r="X20" s="535"/>
      <c r="Y20" s="535"/>
      <c r="Z20" s="535"/>
      <c r="AA20" s="533"/>
      <c r="AB20" s="534"/>
      <c r="AC20" s="534"/>
      <c r="AE20" s="301"/>
    </row>
    <row r="21" spans="1:31" ht="15.75" thickBot="1" x14ac:dyDescent="0.3">
      <c r="B21" s="11" t="s">
        <v>102</v>
      </c>
      <c r="C21" s="566" t="s">
        <v>65</v>
      </c>
      <c r="D21" s="190"/>
      <c r="E21" s="567" t="e">
        <f t="shared" si="14"/>
        <v>#DIV/0!</v>
      </c>
      <c r="F21" s="190"/>
      <c r="G21" s="567" t="e">
        <f t="shared" si="15"/>
        <v>#DIV/0!</v>
      </c>
      <c r="H21" s="190"/>
      <c r="I21" s="568" t="e">
        <f t="shared" si="11"/>
        <v>#DIV/0!</v>
      </c>
      <c r="J21" s="569" t="str">
        <f t="shared" si="6"/>
        <v/>
      </c>
      <c r="K21" s="570" t="str">
        <f t="shared" si="7"/>
        <v/>
      </c>
      <c r="L21" s="190"/>
      <c r="M21" s="567" t="e">
        <f t="shared" si="16"/>
        <v>#DIV/0!</v>
      </c>
      <c r="N21" s="571">
        <f>+T21+F21</f>
        <v>0</v>
      </c>
      <c r="O21" s="567" t="e">
        <f t="shared" si="17"/>
        <v>#DIV/0!</v>
      </c>
      <c r="P21" s="572"/>
      <c r="Q21" s="573" t="e">
        <f t="shared" si="13"/>
        <v>#DIV/0!</v>
      </c>
      <c r="R21" s="574" t="str">
        <f t="shared" si="9"/>
        <v/>
      </c>
      <c r="S21" s="575" t="str">
        <f t="shared" si="10"/>
        <v/>
      </c>
      <c r="T21" s="576"/>
      <c r="U21" s="576">
        <v>0</v>
      </c>
      <c r="V21" s="460"/>
      <c r="W21" s="531"/>
      <c r="X21" s="532"/>
      <c r="Y21" s="532"/>
      <c r="Z21" s="532"/>
      <c r="AA21" s="533"/>
      <c r="AB21" s="534"/>
      <c r="AC21" s="534"/>
    </row>
    <row r="22" spans="1:31" ht="15.75" thickBot="1" x14ac:dyDescent="0.3">
      <c r="B22" s="11"/>
      <c r="C22" s="548" t="s">
        <v>67</v>
      </c>
      <c r="D22" s="550">
        <f>SUM(D19:D21)</f>
        <v>0</v>
      </c>
      <c r="E22" s="550" t="e">
        <f t="shared" ref="E22:O22" si="18">SUM(E19:E21)</f>
        <v>#DIV/0!</v>
      </c>
      <c r="F22" s="550"/>
      <c r="G22" s="550" t="e">
        <f t="shared" si="18"/>
        <v>#DIV/0!</v>
      </c>
      <c r="H22" s="550">
        <f>SUM(H20:H21)</f>
        <v>0</v>
      </c>
      <c r="I22" s="550" t="e">
        <f t="shared" si="18"/>
        <v>#DIV/0!</v>
      </c>
      <c r="J22" s="550">
        <f t="shared" si="18"/>
        <v>0</v>
      </c>
      <c r="K22" s="550">
        <f t="shared" si="18"/>
        <v>0</v>
      </c>
      <c r="L22" s="550">
        <f t="shared" si="18"/>
        <v>0</v>
      </c>
      <c r="M22" s="550" t="e">
        <f t="shared" si="18"/>
        <v>#DIV/0!</v>
      </c>
      <c r="N22" s="577">
        <f>SUM(N20:N21)</f>
        <v>0</v>
      </c>
      <c r="O22" s="446" t="e">
        <f t="shared" si="18"/>
        <v>#DIV/0!</v>
      </c>
      <c r="P22" s="550">
        <f>SUM(P20:P21)</f>
        <v>0</v>
      </c>
      <c r="Q22" s="554" t="e">
        <f t="shared" si="13"/>
        <v>#DIV/0!</v>
      </c>
      <c r="R22" s="555" t="str">
        <f t="shared" si="9"/>
        <v/>
      </c>
      <c r="S22" s="556" t="str">
        <f t="shared" si="10"/>
        <v/>
      </c>
      <c r="T22" s="576">
        <v>0</v>
      </c>
      <c r="U22" s="576">
        <v>0</v>
      </c>
      <c r="V22" s="576">
        <v>0</v>
      </c>
      <c r="W22" s="525"/>
      <c r="X22" s="526"/>
      <c r="Y22" s="578"/>
      <c r="Z22" s="526"/>
      <c r="AA22" s="528"/>
      <c r="AB22" s="529"/>
      <c r="AC22" s="529"/>
    </row>
    <row r="23" spans="1:31" x14ac:dyDescent="0.25">
      <c r="B23" s="11" t="s">
        <v>103</v>
      </c>
      <c r="C23" s="566" t="s">
        <v>69</v>
      </c>
      <c r="D23" s="190"/>
      <c r="E23" s="567" t="e">
        <f t="shared" si="14"/>
        <v>#DIV/0!</v>
      </c>
      <c r="F23" s="190"/>
      <c r="G23" s="567" t="e">
        <f t="shared" si="15"/>
        <v>#DIV/0!</v>
      </c>
      <c r="H23" s="190"/>
      <c r="I23" s="568" t="e">
        <f t="shared" si="11"/>
        <v>#DIV/0!</v>
      </c>
      <c r="J23" s="569" t="str">
        <f t="shared" si="6"/>
        <v/>
      </c>
      <c r="K23" s="570" t="str">
        <f t="shared" si="7"/>
        <v/>
      </c>
      <c r="L23" s="190">
        <f>+T23+D23</f>
        <v>0</v>
      </c>
      <c r="M23" s="567" t="e">
        <f t="shared" si="16"/>
        <v>#DIV/0!</v>
      </c>
      <c r="N23" s="571">
        <f>+U23+F23</f>
        <v>0</v>
      </c>
      <c r="O23" s="567" t="e">
        <f t="shared" si="17"/>
        <v>#DIV/0!</v>
      </c>
      <c r="P23" s="190">
        <f>+V23+H23</f>
        <v>0</v>
      </c>
      <c r="Q23" s="573" t="e">
        <f t="shared" si="13"/>
        <v>#DIV/0!</v>
      </c>
      <c r="R23" s="574" t="str">
        <f t="shared" si="9"/>
        <v/>
      </c>
      <c r="S23" s="575" t="str">
        <f t="shared" si="10"/>
        <v/>
      </c>
      <c r="T23" s="576"/>
      <c r="U23" s="576">
        <v>0</v>
      </c>
      <c r="V23" s="576"/>
    </row>
    <row r="24" spans="1:31" x14ac:dyDescent="0.25">
      <c r="A24" s="11" t="s">
        <v>104</v>
      </c>
      <c r="B24" s="11" t="s">
        <v>105</v>
      </c>
      <c r="C24" s="566" t="s">
        <v>71</v>
      </c>
      <c r="D24" s="190"/>
      <c r="E24" s="567" t="e">
        <f t="shared" si="14"/>
        <v>#DIV/0!</v>
      </c>
      <c r="F24" s="190"/>
      <c r="G24" s="567" t="e">
        <f t="shared" si="15"/>
        <v>#DIV/0!</v>
      </c>
      <c r="H24" s="190"/>
      <c r="I24" s="568" t="e">
        <f t="shared" si="11"/>
        <v>#DIV/0!</v>
      </c>
      <c r="J24" s="569" t="str">
        <f t="shared" si="6"/>
        <v/>
      </c>
      <c r="K24" s="570" t="str">
        <f t="shared" si="7"/>
        <v/>
      </c>
      <c r="L24" s="190"/>
      <c r="M24" s="567" t="e">
        <f t="shared" si="16"/>
        <v>#DIV/0!</v>
      </c>
      <c r="N24" s="571">
        <f>+T24+F24</f>
        <v>0</v>
      </c>
      <c r="O24" s="567" t="e">
        <f t="shared" si="17"/>
        <v>#DIV/0!</v>
      </c>
      <c r="P24" s="572"/>
      <c r="Q24" s="573" t="e">
        <f t="shared" si="13"/>
        <v>#DIV/0!</v>
      </c>
      <c r="R24" s="574" t="str">
        <f t="shared" si="9"/>
        <v/>
      </c>
      <c r="S24" s="575" t="str">
        <f t="shared" si="10"/>
        <v/>
      </c>
      <c r="T24" s="576"/>
      <c r="U24" s="576">
        <v>0</v>
      </c>
      <c r="V24" s="576"/>
      <c r="Y24" s="460"/>
    </row>
    <row r="25" spans="1:31" x14ac:dyDescent="0.25">
      <c r="B25" s="11"/>
      <c r="C25" s="548" t="s">
        <v>72</v>
      </c>
      <c r="D25" s="550">
        <f>+D23</f>
        <v>0</v>
      </c>
      <c r="E25" s="550" t="e">
        <f t="shared" ref="E25:Q25" si="19">+E23</f>
        <v>#DIV/0!</v>
      </c>
      <c r="F25" s="550">
        <f t="shared" si="19"/>
        <v>0</v>
      </c>
      <c r="G25" s="550" t="e">
        <f t="shared" si="19"/>
        <v>#DIV/0!</v>
      </c>
      <c r="H25" s="550">
        <f t="shared" si="19"/>
        <v>0</v>
      </c>
      <c r="I25" s="550" t="e">
        <f t="shared" si="19"/>
        <v>#DIV/0!</v>
      </c>
      <c r="J25" s="550"/>
      <c r="K25" s="550" t="str">
        <f t="shared" si="19"/>
        <v/>
      </c>
      <c r="L25" s="550">
        <f t="shared" si="19"/>
        <v>0</v>
      </c>
      <c r="M25" s="550" t="e">
        <f t="shared" si="19"/>
        <v>#DIV/0!</v>
      </c>
      <c r="N25" s="550">
        <f t="shared" si="19"/>
        <v>0</v>
      </c>
      <c r="O25" s="550" t="e">
        <f t="shared" si="19"/>
        <v>#DIV/0!</v>
      </c>
      <c r="P25" s="550">
        <f t="shared" si="19"/>
        <v>0</v>
      </c>
      <c r="Q25" s="550" t="e">
        <f t="shared" si="19"/>
        <v>#DIV/0!</v>
      </c>
      <c r="R25" s="550"/>
      <c r="S25" s="556" t="str">
        <f t="shared" si="10"/>
        <v/>
      </c>
      <c r="T25" s="576">
        <v>234906</v>
      </c>
      <c r="U25" s="576">
        <v>0</v>
      </c>
      <c r="V25" s="576">
        <v>235000</v>
      </c>
      <c r="W25" s="579"/>
      <c r="AC25" s="579"/>
    </row>
    <row r="26" spans="1:31" ht="15.75" thickBot="1" x14ac:dyDescent="0.3">
      <c r="B26" s="11"/>
      <c r="C26" s="548" t="s">
        <v>74</v>
      </c>
      <c r="D26" s="550">
        <f>+D22+D25</f>
        <v>0</v>
      </c>
      <c r="E26" s="550" t="e">
        <f t="shared" ref="E26:O26" si="20">+E22+E25</f>
        <v>#DIV/0!</v>
      </c>
      <c r="F26" s="550"/>
      <c r="G26" s="550" t="e">
        <f t="shared" si="20"/>
        <v>#DIV/0!</v>
      </c>
      <c r="H26" s="550">
        <f t="shared" si="20"/>
        <v>0</v>
      </c>
      <c r="I26" s="550" t="e">
        <f t="shared" si="20"/>
        <v>#DIV/0!</v>
      </c>
      <c r="J26" s="550">
        <f t="shared" si="20"/>
        <v>0</v>
      </c>
      <c r="K26" s="550" t="e">
        <f t="shared" si="20"/>
        <v>#VALUE!</v>
      </c>
      <c r="L26" s="550">
        <f t="shared" si="20"/>
        <v>0</v>
      </c>
      <c r="M26" s="550" t="e">
        <f t="shared" si="20"/>
        <v>#DIV/0!</v>
      </c>
      <c r="N26" s="580">
        <f t="shared" si="20"/>
        <v>0</v>
      </c>
      <c r="O26" s="446" t="e">
        <f t="shared" si="20"/>
        <v>#DIV/0!</v>
      </c>
      <c r="P26" s="550">
        <f>+P22+P25</f>
        <v>0</v>
      </c>
      <c r="Q26" s="554" t="e">
        <f t="shared" si="13"/>
        <v>#DIV/0!</v>
      </c>
      <c r="R26" s="555" t="str">
        <f t="shared" si="9"/>
        <v/>
      </c>
      <c r="S26" s="556" t="str">
        <f t="shared" si="10"/>
        <v/>
      </c>
      <c r="T26" s="576">
        <v>234906</v>
      </c>
      <c r="U26" s="576">
        <v>0</v>
      </c>
      <c r="V26" s="576">
        <v>235000</v>
      </c>
    </row>
    <row r="27" spans="1:31" ht="15.75" thickBot="1" x14ac:dyDescent="0.3">
      <c r="B27" s="11"/>
      <c r="C27" s="581" t="s">
        <v>75</v>
      </c>
      <c r="D27" s="582">
        <f>+D17-D25</f>
        <v>0</v>
      </c>
      <c r="E27" s="582" t="e">
        <f t="shared" ref="E27:P27" si="21">E19-E26</f>
        <v>#DIV/0!</v>
      </c>
      <c r="F27" s="582"/>
      <c r="G27" s="582" t="e">
        <f t="shared" si="21"/>
        <v>#DIV/0!</v>
      </c>
      <c r="H27" s="582">
        <f t="shared" si="21"/>
        <v>0</v>
      </c>
      <c r="I27" s="582" t="e">
        <f t="shared" si="21"/>
        <v>#DIV/0!</v>
      </c>
      <c r="J27" s="582"/>
      <c r="K27" s="582" t="e">
        <f t="shared" si="21"/>
        <v>#VALUE!</v>
      </c>
      <c r="L27" s="582">
        <f t="shared" si="21"/>
        <v>0</v>
      </c>
      <c r="M27" s="582" t="e">
        <f t="shared" si="21"/>
        <v>#DIV/0!</v>
      </c>
      <c r="N27" s="582">
        <f t="shared" si="21"/>
        <v>0</v>
      </c>
      <c r="O27" s="582" t="e">
        <f t="shared" si="21"/>
        <v>#DIV/0!</v>
      </c>
      <c r="P27" s="582">
        <f t="shared" si="21"/>
        <v>0</v>
      </c>
      <c r="Q27" s="582" t="e">
        <f t="shared" ref="Q27:S27" si="22">+Q26</f>
        <v>#DIV/0!</v>
      </c>
      <c r="R27" s="582" t="str">
        <f t="shared" si="22"/>
        <v/>
      </c>
      <c r="S27" s="582" t="str">
        <f t="shared" si="22"/>
        <v/>
      </c>
      <c r="T27" s="576">
        <v>-234906</v>
      </c>
      <c r="U27" s="576">
        <v>0</v>
      </c>
      <c r="V27" s="576">
        <v>-235000</v>
      </c>
    </row>
    <row r="28" spans="1:31" x14ac:dyDescent="0.25">
      <c r="B28" s="11" t="s">
        <v>106</v>
      </c>
      <c r="C28" s="566" t="s">
        <v>76</v>
      </c>
      <c r="D28" s="190">
        <v>0</v>
      </c>
      <c r="E28" s="567" t="e">
        <f t="shared" si="14"/>
        <v>#DIV/0!</v>
      </c>
      <c r="F28" s="190"/>
      <c r="G28" s="567" t="e">
        <f t="shared" si="15"/>
        <v>#DIV/0!</v>
      </c>
      <c r="H28" s="190"/>
      <c r="I28" s="568" t="e">
        <f t="shared" si="11"/>
        <v>#DIV/0!</v>
      </c>
      <c r="J28" s="569"/>
      <c r="K28" s="570" t="str">
        <f t="shared" si="7"/>
        <v/>
      </c>
      <c r="L28" s="190">
        <v>0</v>
      </c>
      <c r="M28" s="567" t="e">
        <f t="shared" si="16"/>
        <v>#DIV/0!</v>
      </c>
      <c r="N28" s="571">
        <f>+T28+F28</f>
        <v>0</v>
      </c>
      <c r="O28" s="567" t="e">
        <f t="shared" si="17"/>
        <v>#DIV/0!</v>
      </c>
      <c r="P28" s="572">
        <f>+U28+H28</f>
        <v>0</v>
      </c>
      <c r="Q28" s="573" t="e">
        <f t="shared" si="13"/>
        <v>#DIV/0!</v>
      </c>
      <c r="R28" s="575" t="str">
        <f t="shared" si="9"/>
        <v/>
      </c>
      <c r="S28" s="575" t="str">
        <f t="shared" si="10"/>
        <v/>
      </c>
      <c r="T28" s="576">
        <v>0</v>
      </c>
      <c r="U28" s="576">
        <v>0</v>
      </c>
      <c r="V28" s="576">
        <v>0</v>
      </c>
    </row>
    <row r="29" spans="1:31" ht="15.75" thickBot="1" x14ac:dyDescent="0.3">
      <c r="B29" s="11" t="s">
        <v>107</v>
      </c>
      <c r="C29" s="566" t="s">
        <v>77</v>
      </c>
      <c r="D29" s="190"/>
      <c r="E29" s="567" t="e">
        <f t="shared" si="14"/>
        <v>#DIV/0!</v>
      </c>
      <c r="F29" s="190"/>
      <c r="G29" s="567" t="e">
        <f t="shared" si="15"/>
        <v>#DIV/0!</v>
      </c>
      <c r="H29" s="190"/>
      <c r="I29" s="568" t="e">
        <f t="shared" si="11"/>
        <v>#DIV/0!</v>
      </c>
      <c r="J29" s="569" t="str">
        <f t="shared" si="6"/>
        <v/>
      </c>
      <c r="K29" s="570" t="str">
        <f t="shared" si="7"/>
        <v/>
      </c>
      <c r="L29" s="190">
        <v>0</v>
      </c>
      <c r="M29" s="567" t="e">
        <f t="shared" si="16"/>
        <v>#DIV/0!</v>
      </c>
      <c r="N29" s="190"/>
      <c r="O29" s="567" t="e">
        <f t="shared" si="17"/>
        <v>#DIV/0!</v>
      </c>
      <c r="P29" s="572"/>
      <c r="Q29" s="573" t="e">
        <f t="shared" si="13"/>
        <v>#DIV/0!</v>
      </c>
      <c r="R29" s="575" t="str">
        <f t="shared" si="9"/>
        <v/>
      </c>
      <c r="S29" s="575" t="str">
        <f t="shared" si="10"/>
        <v/>
      </c>
      <c r="T29" s="576">
        <v>0</v>
      </c>
      <c r="U29" s="576">
        <v>1199879</v>
      </c>
      <c r="V29" s="448"/>
    </row>
    <row r="30" spans="1:31" ht="15.75" thickBot="1" x14ac:dyDescent="0.3">
      <c r="B30" s="11"/>
      <c r="C30" s="581" t="s">
        <v>78</v>
      </c>
      <c r="D30" s="582">
        <f>D27+D28-D29</f>
        <v>0</v>
      </c>
      <c r="E30" s="583" t="e">
        <f t="shared" si="14"/>
        <v>#DIV/0!</v>
      </c>
      <c r="F30" s="582">
        <f>+F29</f>
        <v>0</v>
      </c>
      <c r="G30" s="583" t="e">
        <f t="shared" si="15"/>
        <v>#DIV/0!</v>
      </c>
      <c r="H30" s="582">
        <f>H27+H28-H29</f>
        <v>0</v>
      </c>
      <c r="I30" s="584" t="e">
        <f t="shared" si="11"/>
        <v>#DIV/0!</v>
      </c>
      <c r="J30" s="585" t="str">
        <f t="shared" si="6"/>
        <v/>
      </c>
      <c r="K30" s="586" t="str">
        <f t="shared" si="7"/>
        <v/>
      </c>
      <c r="L30" s="582">
        <f>L27+L28-L29</f>
        <v>0</v>
      </c>
      <c r="M30" s="583" t="e">
        <f t="shared" si="16"/>
        <v>#DIV/0!</v>
      </c>
      <c r="N30" s="582">
        <f>N27+N28-N29</f>
        <v>0</v>
      </c>
      <c r="O30" s="583" t="e">
        <f t="shared" si="17"/>
        <v>#DIV/0!</v>
      </c>
      <c r="P30" s="582">
        <f>+P27+P28-P29</f>
        <v>0</v>
      </c>
      <c r="Q30" s="587" t="e">
        <f t="shared" si="13"/>
        <v>#DIV/0!</v>
      </c>
      <c r="R30" s="588" t="str">
        <f t="shared" si="9"/>
        <v/>
      </c>
      <c r="S30" s="589" t="str">
        <f t="shared" si="10"/>
        <v/>
      </c>
      <c r="T30" s="448">
        <v>-234906</v>
      </c>
      <c r="U30" s="448">
        <v>-1199879</v>
      </c>
      <c r="V30" s="590">
        <v>-235000</v>
      </c>
    </row>
    <row r="31" spans="1:31" ht="15.75" thickBot="1" x14ac:dyDescent="0.3">
      <c r="B31" s="11" t="s">
        <v>108</v>
      </c>
      <c r="C31" s="566" t="s">
        <v>62</v>
      </c>
      <c r="D31" s="190"/>
      <c r="E31" s="567" t="e">
        <f t="shared" si="14"/>
        <v>#DIV/0!</v>
      </c>
      <c r="F31" s="190"/>
      <c r="G31" s="567"/>
      <c r="H31" s="190"/>
      <c r="I31" s="568"/>
      <c r="J31" s="569" t="str">
        <f t="shared" si="6"/>
        <v/>
      </c>
      <c r="K31" s="570" t="str">
        <f t="shared" si="7"/>
        <v/>
      </c>
      <c r="L31" s="190"/>
      <c r="M31" s="567" t="e">
        <f t="shared" si="16"/>
        <v>#DIV/0!</v>
      </c>
      <c r="N31" s="571">
        <f>+T31+F31</f>
        <v>0</v>
      </c>
      <c r="O31" s="567"/>
      <c r="P31" s="572"/>
      <c r="Q31" s="573" t="e">
        <f t="shared" si="13"/>
        <v>#DIV/0!</v>
      </c>
      <c r="R31" s="575" t="str">
        <f t="shared" si="9"/>
        <v/>
      </c>
      <c r="S31" s="575"/>
      <c r="T31" s="448"/>
      <c r="U31" s="448">
        <v>0</v>
      </c>
      <c r="V31" s="448"/>
    </row>
    <row r="32" spans="1:31" ht="15.75" thickBot="1" x14ac:dyDescent="0.3">
      <c r="B32" s="11"/>
      <c r="C32" s="581" t="s">
        <v>79</v>
      </c>
      <c r="D32" s="582">
        <f>D30-D31</f>
        <v>0</v>
      </c>
      <c r="E32" s="583" t="e">
        <f t="shared" si="14"/>
        <v>#DIV/0!</v>
      </c>
      <c r="F32" s="582">
        <f>+F30</f>
        <v>0</v>
      </c>
      <c r="G32" s="583" t="e">
        <f t="shared" si="15"/>
        <v>#DIV/0!</v>
      </c>
      <c r="H32" s="582">
        <f>+H30-H31</f>
        <v>0</v>
      </c>
      <c r="I32" s="584" t="e">
        <f t="shared" si="11"/>
        <v>#DIV/0!</v>
      </c>
      <c r="J32" s="585" t="str">
        <f t="shared" si="6"/>
        <v/>
      </c>
      <c r="K32" s="586" t="str">
        <f t="shared" si="7"/>
        <v/>
      </c>
      <c r="L32" s="582">
        <f>L30-L31</f>
        <v>0</v>
      </c>
      <c r="M32" s="583" t="e">
        <f t="shared" si="16"/>
        <v>#DIV/0!</v>
      </c>
      <c r="N32" s="582">
        <f>+N30-N31</f>
        <v>0</v>
      </c>
      <c r="O32" s="583" t="e">
        <f>+N32/$N$17</f>
        <v>#DIV/0!</v>
      </c>
      <c r="P32" s="582">
        <f>P30-P31</f>
        <v>0</v>
      </c>
      <c r="Q32" s="587" t="e">
        <f t="shared" si="13"/>
        <v>#DIV/0!</v>
      </c>
      <c r="R32" s="588" t="str">
        <f t="shared" si="9"/>
        <v/>
      </c>
      <c r="S32" s="589" t="str">
        <f t="shared" si="10"/>
        <v/>
      </c>
      <c r="T32" s="448">
        <v>-234906</v>
      </c>
      <c r="U32" s="448">
        <v>-1199879</v>
      </c>
      <c r="V32" s="448">
        <v>-235000</v>
      </c>
    </row>
    <row r="33" spans="2:31" ht="15.75" thickBot="1" x14ac:dyDescent="0.3">
      <c r="B33" s="11"/>
      <c r="C33" s="581" t="s">
        <v>81</v>
      </c>
      <c r="D33" s="582">
        <f>+D32</f>
        <v>0</v>
      </c>
      <c r="E33" s="583" t="e">
        <f t="shared" si="14"/>
        <v>#DIV/0!</v>
      </c>
      <c r="F33" s="582">
        <f>+F27</f>
        <v>0</v>
      </c>
      <c r="G33" s="583" t="e">
        <f t="shared" si="15"/>
        <v>#DIV/0!</v>
      </c>
      <c r="H33" s="582">
        <f>+H32</f>
        <v>0</v>
      </c>
      <c r="I33" s="582" t="e">
        <f t="shared" ref="I33:Q33" si="23">+I20</f>
        <v>#DIV/0!</v>
      </c>
      <c r="J33" s="582" t="str">
        <f t="shared" si="23"/>
        <v/>
      </c>
      <c r="K33" s="582" t="str">
        <f t="shared" si="23"/>
        <v/>
      </c>
      <c r="L33" s="582">
        <f>-L25</f>
        <v>0</v>
      </c>
      <c r="M33" s="582" t="e">
        <f t="shared" si="23"/>
        <v>#DIV/0!</v>
      </c>
      <c r="N33" s="582"/>
      <c r="O33" s="582" t="e">
        <f t="shared" si="23"/>
        <v>#DIV/0!</v>
      </c>
      <c r="P33" s="582">
        <f>+P32</f>
        <v>0</v>
      </c>
      <c r="Q33" s="582" t="e">
        <f t="shared" si="23"/>
        <v>#DIV/0!</v>
      </c>
      <c r="R33" s="588" t="str">
        <f t="shared" si="9"/>
        <v/>
      </c>
      <c r="S33" s="589" t="str">
        <f t="shared" si="10"/>
        <v/>
      </c>
      <c r="T33" s="448">
        <v>-234906</v>
      </c>
      <c r="U33" s="448"/>
      <c r="V33" s="448">
        <v>-235000</v>
      </c>
    </row>
    <row r="34" spans="2:31" ht="15.75" thickBot="1" x14ac:dyDescent="0.3">
      <c r="B34" s="11" t="s">
        <v>109</v>
      </c>
      <c r="C34" s="387" t="s">
        <v>45</v>
      </c>
      <c r="D34" s="388"/>
      <c r="E34" s="389" t="e">
        <f t="shared" si="14"/>
        <v>#DIV/0!</v>
      </c>
      <c r="F34" s="388"/>
      <c r="G34" s="389" t="e">
        <f t="shared" si="15"/>
        <v>#DIV/0!</v>
      </c>
      <c r="H34" s="388"/>
      <c r="I34" s="591" t="e">
        <f t="shared" si="11"/>
        <v>#DIV/0!</v>
      </c>
      <c r="J34" s="592" t="str">
        <f t="shared" si="6"/>
        <v/>
      </c>
      <c r="K34" s="593" t="str">
        <f t="shared" si="7"/>
        <v/>
      </c>
      <c r="L34" s="388"/>
      <c r="M34" s="389" t="e">
        <f t="shared" si="16"/>
        <v>#DIV/0!</v>
      </c>
      <c r="N34" s="388"/>
      <c r="O34" s="389" t="e">
        <f>+N34/$N$17</f>
        <v>#DIV/0!</v>
      </c>
      <c r="P34" s="388"/>
      <c r="Q34" s="392"/>
      <c r="R34" s="594" t="str">
        <f t="shared" si="9"/>
        <v/>
      </c>
      <c r="S34" s="594" t="str">
        <f t="shared" si="10"/>
        <v/>
      </c>
      <c r="T34" s="448"/>
      <c r="U34" s="448"/>
      <c r="V34" s="448"/>
    </row>
    <row r="35" spans="2:31" x14ac:dyDescent="0.25">
      <c r="C35" s="595"/>
      <c r="H35" s="140"/>
      <c r="P35" s="15">
        <v>-1459992</v>
      </c>
      <c r="S35" s="596"/>
      <c r="T35" s="448"/>
      <c r="U35" s="448"/>
      <c r="V35" s="448">
        <v>-1459992</v>
      </c>
    </row>
    <row r="36" spans="2:31" x14ac:dyDescent="0.25">
      <c r="E36" s="140"/>
      <c r="G36" s="140"/>
      <c r="I36" s="140"/>
      <c r="J36" s="140"/>
      <c r="K36" s="140"/>
      <c r="P36" s="15">
        <v>-477411.68000000005</v>
      </c>
      <c r="T36" s="448"/>
      <c r="U36" s="448"/>
      <c r="V36" s="460"/>
    </row>
    <row r="37" spans="2:31" s="177" customFormat="1" x14ac:dyDescent="0.25">
      <c r="C37" s="192"/>
      <c r="D37" s="192"/>
      <c r="E37" s="192"/>
      <c r="F37" s="192"/>
      <c r="G37" s="446"/>
      <c r="H37" s="228"/>
      <c r="I37" s="446"/>
      <c r="J37" s="446"/>
      <c r="K37" s="446"/>
      <c r="L37" s="192"/>
      <c r="M37" s="192"/>
      <c r="N37" s="192"/>
      <c r="O37" s="192"/>
      <c r="P37" s="15">
        <v>-982580.32</v>
      </c>
      <c r="Q37" s="192"/>
      <c r="R37" s="192"/>
      <c r="S37" s="192"/>
      <c r="T37" s="448"/>
      <c r="U37" s="448"/>
      <c r="V37" s="460"/>
      <c r="W37" s="597"/>
      <c r="X37" s="597"/>
      <c r="Y37" s="597"/>
      <c r="Z37" s="597"/>
      <c r="AA37" s="597"/>
      <c r="AB37" s="597"/>
      <c r="AC37" s="597"/>
      <c r="AD37" s="597"/>
      <c r="AE37" s="597"/>
    </row>
    <row r="38" spans="2:31" s="177" customFormat="1" x14ac:dyDescent="0.25">
      <c r="C38" s="192"/>
      <c r="D38" s="192"/>
      <c r="E38" s="192"/>
      <c r="F38" s="192"/>
      <c r="G38" s="446"/>
      <c r="H38" s="228"/>
      <c r="I38" s="446"/>
      <c r="J38" s="446"/>
      <c r="K38" s="446"/>
      <c r="L38" s="192"/>
      <c r="M38" s="192"/>
      <c r="N38" s="192"/>
      <c r="O38" s="192"/>
      <c r="P38" s="15">
        <v>-904627</v>
      </c>
      <c r="Q38" s="192"/>
      <c r="R38" s="192"/>
      <c r="S38" s="192"/>
      <c r="T38" s="448"/>
      <c r="U38" s="448"/>
      <c r="V38" s="460"/>
      <c r="W38" s="597"/>
      <c r="X38" s="597"/>
      <c r="Y38" s="597"/>
      <c r="Z38" s="597"/>
      <c r="AA38" s="597"/>
      <c r="AB38" s="597"/>
      <c r="AC38" s="597"/>
      <c r="AD38" s="597"/>
      <c r="AE38" s="597"/>
    </row>
    <row r="39" spans="2:31" s="15" customFormat="1" x14ac:dyDescent="0.25">
      <c r="C39" s="20"/>
      <c r="D39" s="20"/>
      <c r="E39" s="20"/>
      <c r="F39" s="446"/>
      <c r="G39" s="446"/>
      <c r="H39" s="446"/>
      <c r="I39" s="446"/>
      <c r="J39" s="446"/>
      <c r="K39" s="446"/>
      <c r="L39" s="20"/>
      <c r="M39" s="20"/>
      <c r="N39" s="20"/>
      <c r="O39" s="20"/>
      <c r="Q39" s="20"/>
      <c r="R39" s="20"/>
      <c r="S39" s="20"/>
      <c r="T39" s="448"/>
      <c r="U39" s="448"/>
      <c r="V39" s="460"/>
      <c r="W39" s="12"/>
      <c r="X39" s="12"/>
      <c r="Y39" s="12"/>
      <c r="Z39" s="12"/>
      <c r="AA39" s="12"/>
      <c r="AB39" s="12"/>
      <c r="AC39" s="12"/>
      <c r="AD39" s="12"/>
      <c r="AE39" s="12"/>
    </row>
    <row r="40" spans="2:31" s="15" customFormat="1" x14ac:dyDescent="0.25">
      <c r="C40" s="20"/>
      <c r="D40" s="20"/>
      <c r="E40" s="20"/>
      <c r="F40" s="14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448"/>
      <c r="U40" s="448"/>
      <c r="V40" s="460"/>
      <c r="W40" s="12"/>
      <c r="X40" s="12"/>
      <c r="Y40" s="12"/>
      <c r="Z40" s="12"/>
      <c r="AA40" s="12"/>
      <c r="AB40" s="12"/>
      <c r="AC40" s="12"/>
      <c r="AD40" s="12"/>
      <c r="AE40" s="12"/>
    </row>
    <row r="41" spans="2:31" s="15" customFormat="1" x14ac:dyDescent="0.25"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4" spans="2:31" x14ac:dyDescent="0.25">
      <c r="B44" s="10" t="s">
        <v>82</v>
      </c>
      <c r="D44" s="598"/>
      <c r="E44" s="598"/>
      <c r="G44" s="598"/>
      <c r="H44" s="78"/>
      <c r="I44" s="598"/>
      <c r="J44" s="598"/>
      <c r="K44" s="598"/>
      <c r="L44" s="78"/>
      <c r="M44" s="598"/>
      <c r="O44" s="598"/>
      <c r="P44" s="598"/>
    </row>
    <row r="46" spans="2:31" x14ac:dyDescent="0.25">
      <c r="N46" s="598"/>
    </row>
    <row r="48" spans="2:31" x14ac:dyDescent="0.25">
      <c r="F48" s="598"/>
    </row>
  </sheetData>
  <mergeCells count="10">
    <mergeCell ref="C3:S3"/>
    <mergeCell ref="W3:AC3"/>
    <mergeCell ref="D4:K4"/>
    <mergeCell ref="L4:S4"/>
    <mergeCell ref="D5:E5"/>
    <mergeCell ref="F5:G5"/>
    <mergeCell ref="H5:I5"/>
    <mergeCell ref="L5:M5"/>
    <mergeCell ref="N5:O5"/>
    <mergeCell ref="P5:Q5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E08F9-5861-4220-BE75-8EAB65E57863}">
  <dimension ref="A1:AH48"/>
  <sheetViews>
    <sheetView topLeftCell="E4" zoomScale="84" zoomScaleNormal="84" workbookViewId="0">
      <selection activeCell="N8" sqref="N8"/>
    </sheetView>
  </sheetViews>
  <sheetFormatPr baseColWidth="10" defaultRowHeight="15" x14ac:dyDescent="0.25"/>
  <cols>
    <col min="1" max="2" width="11.42578125" style="10" hidden="1" customWidth="1"/>
    <col min="3" max="3" width="35.7109375" style="10" customWidth="1"/>
    <col min="4" max="4" width="14.28515625" style="10" customWidth="1"/>
    <col min="5" max="5" width="6.140625" style="10" customWidth="1"/>
    <col min="6" max="6" width="11" style="10" customWidth="1"/>
    <col min="7" max="7" width="7.7109375" style="10" customWidth="1"/>
    <col min="8" max="8" width="11" style="10" customWidth="1"/>
    <col min="9" max="9" width="8.42578125" style="10" customWidth="1"/>
    <col min="10" max="11" width="9.42578125" style="10" customWidth="1"/>
    <col min="12" max="12" width="11.7109375" style="10" customWidth="1"/>
    <col min="13" max="13" width="8.42578125" style="10" customWidth="1"/>
    <col min="14" max="14" width="13.28515625" style="20" customWidth="1"/>
    <col min="15" max="15" width="7" style="10" customWidth="1"/>
    <col min="16" max="16" width="15.140625" style="10" customWidth="1"/>
    <col min="17" max="17" width="5.7109375" style="10" customWidth="1"/>
    <col min="18" max="19" width="9.42578125" style="10" customWidth="1"/>
    <col min="20" max="20" width="11.42578125" style="15"/>
    <col min="21" max="21" width="11.42578125" style="15" customWidth="1"/>
    <col min="22" max="22" width="11.42578125" style="178" customWidth="1"/>
    <col min="23" max="23" width="34.140625" style="10" customWidth="1"/>
    <col min="24" max="24" width="11.42578125" style="10"/>
    <col min="25" max="25" width="11.5703125" style="10" customWidth="1"/>
    <col min="26" max="30" width="11.42578125" style="10"/>
    <col min="31" max="31" width="10" style="10" customWidth="1"/>
    <col min="32" max="32" width="9.42578125" style="10" customWidth="1"/>
    <col min="33" max="16384" width="11.42578125" style="10"/>
  </cols>
  <sheetData>
    <row r="1" spans="1:34" s="4" customFormat="1" ht="30.75" hidden="1" thickBot="1" x14ac:dyDescent="0.3">
      <c r="C1" s="3" t="s">
        <v>0</v>
      </c>
      <c r="D1" s="4" t="s">
        <v>1</v>
      </c>
      <c r="F1" s="4" t="s">
        <v>2</v>
      </c>
      <c r="H1" s="4" t="s">
        <v>3</v>
      </c>
      <c r="K1" s="4" t="s">
        <v>4</v>
      </c>
      <c r="L1" s="4" t="s">
        <v>5</v>
      </c>
      <c r="N1" s="397" t="s">
        <v>6</v>
      </c>
      <c r="P1" s="4" t="s">
        <v>7</v>
      </c>
      <c r="T1" s="8" t="s">
        <v>5</v>
      </c>
      <c r="U1" s="8" t="s">
        <v>6</v>
      </c>
      <c r="V1" s="8" t="s">
        <v>7</v>
      </c>
    </row>
    <row r="2" spans="1:34" ht="31.5" hidden="1" thickBot="1" x14ac:dyDescent="0.35">
      <c r="A2" s="4" t="s">
        <v>8</v>
      </c>
      <c r="B2" s="195">
        <v>201301</v>
      </c>
      <c r="D2" s="11">
        <f>B2</f>
        <v>201301</v>
      </c>
      <c r="F2" s="10" t="str">
        <f>CONCATENATE(LEFT(B2,4)-1,RIGHT(B2,2))</f>
        <v>201201</v>
      </c>
      <c r="H2" s="10">
        <f>B2</f>
        <v>201301</v>
      </c>
      <c r="L2" s="10" t="str">
        <f>CONCATENATE(LEFT(D2,4),"01")</f>
        <v>201301</v>
      </c>
      <c r="N2" s="20" t="str">
        <f>+F2</f>
        <v>201201</v>
      </c>
      <c r="P2" s="11">
        <f>D2</f>
        <v>201301</v>
      </c>
      <c r="T2" s="15" t="s">
        <v>10</v>
      </c>
      <c r="U2" s="15" t="s">
        <v>83</v>
      </c>
      <c r="V2" s="178">
        <v>201301</v>
      </c>
      <c r="Z2" s="14"/>
      <c r="AA2" s="14"/>
      <c r="AB2" s="14"/>
      <c r="AC2" s="14"/>
    </row>
    <row r="3" spans="1:34" ht="19.5" hidden="1" thickBot="1" x14ac:dyDescent="0.35">
      <c r="B3" s="10">
        <v>1000</v>
      </c>
      <c r="C3" s="17" t="s">
        <v>163</v>
      </c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450"/>
      <c r="W3" s="19" t="str">
        <f>+C3</f>
        <v>MUSICAR S.A. VENEZUELA</v>
      </c>
      <c r="X3" s="19"/>
      <c r="Y3" s="19"/>
      <c r="Z3" s="19"/>
      <c r="AA3" s="19"/>
      <c r="AB3" s="19"/>
      <c r="AC3" s="19"/>
      <c r="AD3" s="19"/>
      <c r="AE3" s="19"/>
      <c r="AF3" s="19"/>
    </row>
    <row r="4" spans="1:34" ht="20.25" thickTop="1" thickBot="1" x14ac:dyDescent="0.35">
      <c r="A4" s="10" t="s">
        <v>93</v>
      </c>
      <c r="B4" s="10">
        <v>1</v>
      </c>
      <c r="C4" s="21"/>
      <c r="D4" s="182">
        <f>+'COLOMB$ '!D4:K4</f>
        <v>44712</v>
      </c>
      <c r="E4" s="26"/>
      <c r="F4" s="26"/>
      <c r="G4" s="26"/>
      <c r="H4" s="27"/>
      <c r="I4" s="27"/>
      <c r="J4" s="402"/>
      <c r="K4" s="403"/>
      <c r="L4" s="25" t="s">
        <v>12</v>
      </c>
      <c r="M4" s="26"/>
      <c r="N4" s="26"/>
      <c r="O4" s="26"/>
      <c r="P4" s="27"/>
      <c r="Q4" s="27"/>
      <c r="R4" s="27"/>
      <c r="S4" s="27"/>
      <c r="T4" s="15" t="s">
        <v>12</v>
      </c>
      <c r="W4" s="14"/>
      <c r="X4" s="201" t="str">
        <f>+'COLOMB$ '!X4:Z4</f>
        <v>MAYO</v>
      </c>
      <c r="Y4" s="202"/>
      <c r="Z4" s="202"/>
      <c r="AA4" s="599" t="str">
        <f>+'COLOMB$ '!AA4:AC4</f>
        <v>ACUM  MAYO</v>
      </c>
      <c r="AB4" s="600"/>
      <c r="AC4" s="601"/>
      <c r="AD4" s="10" t="s">
        <v>23</v>
      </c>
      <c r="AE4" s="10" t="s">
        <v>19</v>
      </c>
      <c r="AF4" s="10" t="s">
        <v>20</v>
      </c>
    </row>
    <row r="5" spans="1:34" ht="15.75" customHeight="1" thickBot="1" x14ac:dyDescent="0.3">
      <c r="A5" s="10" t="s">
        <v>94</v>
      </c>
      <c r="B5" s="10" t="s">
        <v>95</v>
      </c>
      <c r="C5" s="36" t="s">
        <v>164</v>
      </c>
      <c r="D5" s="184" t="str">
        <f>+'EL SALVADOR USD'!D5:E5</f>
        <v>Ppto 2022</v>
      </c>
      <c r="E5" s="185"/>
      <c r="F5" s="184" t="str">
        <f>+'EL SALVADOR USD'!F5:G5</f>
        <v>Real 2021</v>
      </c>
      <c r="G5" s="185"/>
      <c r="H5" s="184" t="str">
        <f>+'EL SALVADOR USD'!H5:I5</f>
        <v>real 2022</v>
      </c>
      <c r="I5" s="408"/>
      <c r="J5" s="409" t="s">
        <v>19</v>
      </c>
      <c r="K5" s="409" t="s">
        <v>20</v>
      </c>
      <c r="L5" s="410" t="str">
        <f>+D5</f>
        <v>Ppto 2022</v>
      </c>
      <c r="M5" s="206"/>
      <c r="N5" s="410" t="str">
        <f>+F5</f>
        <v>Real 2021</v>
      </c>
      <c r="O5" s="206"/>
      <c r="P5" s="410" t="str">
        <f>+H5</f>
        <v>real 2022</v>
      </c>
      <c r="Q5" s="206"/>
      <c r="R5" s="411" t="s">
        <v>19</v>
      </c>
      <c r="S5" s="412" t="s">
        <v>20</v>
      </c>
      <c r="T5" s="454" t="s">
        <v>170</v>
      </c>
      <c r="U5" s="455" t="s">
        <v>171</v>
      </c>
      <c r="V5" s="178" t="s">
        <v>87</v>
      </c>
      <c r="W5" s="338" t="s">
        <v>164</v>
      </c>
      <c r="X5" s="43" t="str">
        <f>+D5</f>
        <v>Ppto 2022</v>
      </c>
      <c r="Y5" s="209" t="str">
        <f>+F5</f>
        <v>Real 2021</v>
      </c>
      <c r="Z5" s="210" t="str">
        <f>+P5</f>
        <v>real 2022</v>
      </c>
      <c r="AA5" s="602" t="str">
        <f>+X5</f>
        <v>Ppto 2022</v>
      </c>
      <c r="AB5" s="209" t="str">
        <f>+Y5</f>
        <v>Real 2021</v>
      </c>
      <c r="AC5" s="245" t="str">
        <f>+'VZLA BFS'!AC5</f>
        <v>real 2022</v>
      </c>
      <c r="AD5" s="47" t="s">
        <v>172</v>
      </c>
      <c r="AE5" s="47" t="s">
        <v>19</v>
      </c>
      <c r="AF5" s="47" t="s">
        <v>20</v>
      </c>
    </row>
    <row r="6" spans="1:34" ht="15.75" thickBot="1" x14ac:dyDescent="0.3">
      <c r="C6" s="50" t="s">
        <v>25</v>
      </c>
      <c r="D6" s="51" t="s">
        <v>26</v>
      </c>
      <c r="E6" s="52" t="s">
        <v>27</v>
      </c>
      <c r="F6" s="51" t="s">
        <v>26</v>
      </c>
      <c r="G6" s="53" t="s">
        <v>27</v>
      </c>
      <c r="H6" s="186" t="s">
        <v>26</v>
      </c>
      <c r="I6" s="54" t="s">
        <v>27</v>
      </c>
      <c r="J6" s="417" t="s">
        <v>28</v>
      </c>
      <c r="K6" s="417" t="s">
        <v>28</v>
      </c>
      <c r="L6" s="186" t="s">
        <v>26</v>
      </c>
      <c r="M6" s="52" t="s">
        <v>27</v>
      </c>
      <c r="N6" s="51" t="s">
        <v>26</v>
      </c>
      <c r="O6" s="54" t="s">
        <v>27</v>
      </c>
      <c r="P6" s="186" t="s">
        <v>26</v>
      </c>
      <c r="Q6" s="54" t="s">
        <v>27</v>
      </c>
      <c r="R6" s="55" t="s">
        <v>28</v>
      </c>
      <c r="S6" s="54" t="s">
        <v>28</v>
      </c>
      <c r="T6" s="457" t="s">
        <v>26</v>
      </c>
      <c r="U6" s="458" t="s">
        <v>26</v>
      </c>
      <c r="V6" s="458" t="s">
        <v>26</v>
      </c>
      <c r="W6" s="346" t="str">
        <f>+'COLOMB$ '!W6</f>
        <v xml:space="preserve">Flujo de Caja </v>
      </c>
      <c r="X6" s="58"/>
      <c r="Y6" s="63"/>
      <c r="Z6" s="59"/>
      <c r="AA6" s="252" t="str">
        <f>+'VZLA BFS'!AA6</f>
        <v>ACUM</v>
      </c>
      <c r="AB6" s="253"/>
      <c r="AC6" s="254"/>
      <c r="AD6" s="62"/>
      <c r="AE6" s="63" t="s">
        <v>28</v>
      </c>
      <c r="AF6" s="349" t="s">
        <v>28</v>
      </c>
    </row>
    <row r="7" spans="1:34" ht="15.75" thickBot="1" x14ac:dyDescent="0.3">
      <c r="B7" s="11" t="s">
        <v>96</v>
      </c>
      <c r="C7" s="65" t="str">
        <f>+'COLOMB$ '!C7</f>
        <v>Fact. Musical Experience  (Ambiental)</v>
      </c>
      <c r="D7" s="66">
        <f>+'VZLA BFS'!D7+'VZLA VIT. bls '!D7+'VZLA Otros BLS'!D7</f>
        <v>0</v>
      </c>
      <c r="E7" s="67" t="e">
        <f t="shared" ref="E7:E14" si="0">+D7/$D$17</f>
        <v>#DIV/0!</v>
      </c>
      <c r="F7" s="66">
        <f>+'VZLA BFS'!F7+'VZLA VIT. bls '!F7+'VZLA Otros BLS'!F7</f>
        <v>2819322440</v>
      </c>
      <c r="G7" s="67">
        <f t="shared" ref="G7:G12" si="1">+F7/$F$17</f>
        <v>0.43797631041626972</v>
      </c>
      <c r="H7" s="66">
        <f>+'VZLA BFS'!H7+'VZLA VIT. bls '!H7+'VZLA Otros BLS'!H7</f>
        <v>10709</v>
      </c>
      <c r="I7" s="68">
        <f t="shared" ref="I7:I12" si="2">+H7/$H$17</f>
        <v>0.54246955605535629</v>
      </c>
      <c r="J7" s="418" t="str">
        <f>IF(D7=0,"",(H7-D7)/ABS(D7)+1)</f>
        <v/>
      </c>
      <c r="K7" s="418">
        <f>IF(F7=0,"",(H7-F7)/ABS(F7))</f>
        <v>-0.99999620156962254</v>
      </c>
      <c r="L7" s="66">
        <f>+'VZLA BFS'!L7+'VZLA VIT. bls '!L7+'VZLA Otros BLS'!L7</f>
        <v>0</v>
      </c>
      <c r="M7" s="67" t="e">
        <f t="shared" ref="M7:M12" si="3">+L7/$L$17</f>
        <v>#DIV/0!</v>
      </c>
      <c r="N7" s="66">
        <f>+'VZLA BFS'!N7+'VZLA VIT. bls '!N7+'VZLA Otros BLS'!N7</f>
        <v>8075583754</v>
      </c>
      <c r="O7" s="67">
        <f t="shared" ref="O7:O12" si="4">+N7/$N$17</f>
        <v>0.46605508895082715</v>
      </c>
      <c r="P7" s="66">
        <f>+'VZLA BFS'!P7+'VZLA VIT. bls '!P7+'VZLA Otros BLS'!P7</f>
        <v>40566</v>
      </c>
      <c r="Q7" s="68">
        <f t="shared" ref="Q7:Q12" si="5">+P7/$P$17</f>
        <v>0.2872392243337209</v>
      </c>
      <c r="R7" s="69" t="str">
        <f>IF(L7=0,"",(P7-L7)/ABS(L7)+1)</f>
        <v/>
      </c>
      <c r="S7" s="351">
        <f>IF(N7=0,"",(P7-N7)/ABS(N7))</f>
        <v>-0.99999497670989046</v>
      </c>
      <c r="T7" s="448">
        <v>509719.68399999995</v>
      </c>
      <c r="U7" s="448">
        <v>1038462</v>
      </c>
      <c r="V7" s="448">
        <v>478105.71020000003</v>
      </c>
      <c r="W7" s="73" t="s">
        <v>34</v>
      </c>
      <c r="X7" s="258">
        <f>+'VZLA BFS'!X7</f>
        <v>236652</v>
      </c>
      <c r="Y7" s="258">
        <f>+'VZLA BFS'!Y7</f>
        <v>718053916.06000018</v>
      </c>
      <c r="Z7" s="74">
        <f>+'VZLA BFS'!Z7</f>
        <v>8223</v>
      </c>
      <c r="AA7" s="258">
        <f>+'VZLA BFS'!AA7</f>
        <v>236652</v>
      </c>
      <c r="AB7" s="258">
        <f>+'VZLA BFS'!AB7</f>
        <v>458570656.94</v>
      </c>
      <c r="AC7" s="269">
        <f>+'VZLA BFS'!AC7</f>
        <v>14767</v>
      </c>
      <c r="AD7" s="76">
        <f>+AC7-AA7</f>
        <v>-221885</v>
      </c>
      <c r="AE7" s="77">
        <f>IF(AA7=0,"",(AC7-AA7)/ABS(AA7)+1)</f>
        <v>6.2399641667934325E-2</v>
      </c>
      <c r="AF7" s="77">
        <f>IF(Y7=0,"",(AC7-AB7)/ABS(AB7))</f>
        <v>-0.99996779776512845</v>
      </c>
    </row>
    <row r="8" spans="1:34" x14ac:dyDescent="0.25">
      <c r="B8" s="11" t="s">
        <v>97</v>
      </c>
      <c r="C8" s="65" t="s">
        <v>36</v>
      </c>
      <c r="D8" s="66">
        <f>+'VZLA BFS'!D8+'VZLA VIT. bls '!D8+'VZLA Otros BLS'!D8</f>
        <v>0</v>
      </c>
      <c r="E8" s="67" t="e">
        <f t="shared" si="0"/>
        <v>#DIV/0!</v>
      </c>
      <c r="F8" s="66">
        <f>+'VZLA BFS'!F8+'VZLA VIT. bls '!F8+'VZLA Otros BLS'!F8</f>
        <v>1991064041.3</v>
      </c>
      <c r="G8" s="67">
        <f t="shared" si="1"/>
        <v>0.3093079635868401</v>
      </c>
      <c r="H8" s="66">
        <f>+'VZLA BFS'!H8+'VZLA VIT. bls '!H8+'VZLA Otros BLS'!H8</f>
        <v>1433.2</v>
      </c>
      <c r="I8" s="68">
        <f t="shared" si="2"/>
        <v>7.2599436711040868E-2</v>
      </c>
      <c r="J8" s="418" t="str">
        <f t="shared" ref="J8:J34" si="6">IF(D8=0,"",(H8-D8)/ABS(D8)+1)</f>
        <v/>
      </c>
      <c r="K8" s="418">
        <f t="shared" ref="K8:K34" si="7">IF(F8=0,"",(H8-F8)/ABS(F8))</f>
        <v>-0.9999992801838764</v>
      </c>
      <c r="L8" s="66">
        <f>+'VZLA BFS'!L8+'VZLA VIT. bls '!L8+'VZLA Otros BLS'!L8</f>
        <v>0</v>
      </c>
      <c r="M8" s="67" t="e">
        <f t="shared" si="3"/>
        <v>#DIV/0!</v>
      </c>
      <c r="N8" s="66">
        <f>+'VZLA BFS'!N8+'VZLA VIT. bls '!N8+'VZLA Otros BLS'!N8</f>
        <v>3352810590</v>
      </c>
      <c r="O8" s="67">
        <f t="shared" si="4"/>
        <v>0.19349615895986969</v>
      </c>
      <c r="P8" s="66">
        <f>+'VZLA BFS'!P8+'VZLA VIT. bls '!P8+'VZLA Otros BLS'!P8</f>
        <v>11403.75</v>
      </c>
      <c r="Q8" s="68">
        <f t="shared" si="5"/>
        <v>8.0747530062014239E-2</v>
      </c>
      <c r="R8" s="69" t="str">
        <f t="shared" ref="R8:R34" si="8">IF(L8=0,"",(P8-L8)/ABS(L8)+1)</f>
        <v/>
      </c>
      <c r="S8" s="351">
        <f t="shared" ref="S8:S34" si="9">IF(N8=0,"",(P8-N8)/ABS(N8))</f>
        <v>-0.99999659874911095</v>
      </c>
      <c r="T8" s="448">
        <v>132157.95000000001</v>
      </c>
      <c r="U8" s="448">
        <v>0</v>
      </c>
      <c r="V8" s="448">
        <v>201389.5</v>
      </c>
      <c r="W8" s="81" t="s">
        <v>37</v>
      </c>
      <c r="X8" s="90">
        <f>+'VZLA BFS'!X8</f>
        <v>0</v>
      </c>
      <c r="Y8" s="90">
        <f>+'VZLA BFS'!Y8</f>
        <v>6296997658.5600004</v>
      </c>
      <c r="Z8" s="91">
        <f>+'VZLA BFS'!Z8</f>
        <v>18032.32</v>
      </c>
      <c r="AA8" s="261">
        <f>+'VZLA BFS'!AA8</f>
        <v>0</v>
      </c>
      <c r="AB8" s="90">
        <f>+'VZLA BFS'!AB8</f>
        <v>15447725070.09</v>
      </c>
      <c r="AC8" s="262">
        <f>+'VZLA BFS'!AC8</f>
        <v>135231.32</v>
      </c>
      <c r="AD8" s="85">
        <f>+AC8-AA8</f>
        <v>135231.32</v>
      </c>
      <c r="AE8" s="86" t="str">
        <f>IF(AA8=0,"",(AC8-AA8)/ABS(AA8)+1)</f>
        <v/>
      </c>
      <c r="AF8" s="86">
        <f>IF(AB8=0,"",(AC8-AB8)/ABS(AB8))</f>
        <v>-0.99999124587475596</v>
      </c>
    </row>
    <row r="9" spans="1:34" x14ac:dyDescent="0.25">
      <c r="B9" s="11" t="s">
        <v>98</v>
      </c>
      <c r="C9" s="65" t="s">
        <v>173</v>
      </c>
      <c r="D9" s="66">
        <f>+'VZLA BFS'!D9+'VZLA VIT. bls '!D9+'VZLA Otros BLS'!D9</f>
        <v>0</v>
      </c>
      <c r="E9" s="67" t="e">
        <f t="shared" si="0"/>
        <v>#DIV/0!</v>
      </c>
      <c r="F9" s="66">
        <f>+'VZLA BFS'!F9+'VZLA VIT. bls '!F9+'VZLA Otros BLS'!F9</f>
        <v>676449148.29999995</v>
      </c>
      <c r="G9" s="67">
        <f t="shared" si="1"/>
        <v>0.10508507219793634</v>
      </c>
      <c r="H9" s="66">
        <f>+'VZLA BFS'!H9+'VZLA VIT. bls '!H9+'VZLA Otros BLS'!H9</f>
        <v>3667.68</v>
      </c>
      <c r="I9" s="68">
        <f t="shared" si="2"/>
        <v>0.18578809798796425</v>
      </c>
      <c r="J9" s="418" t="str">
        <f t="shared" si="6"/>
        <v/>
      </c>
      <c r="K9" s="418">
        <f t="shared" si="7"/>
        <v>-0.99999457804033143</v>
      </c>
      <c r="L9" s="66">
        <f>+'VZLA BFS'!L9+'VZLA VIT. bls '!L9+'VZLA Otros BLS'!L9</f>
        <v>0</v>
      </c>
      <c r="M9" s="67" t="e">
        <f t="shared" si="3"/>
        <v>#DIV/0!</v>
      </c>
      <c r="N9" s="66">
        <f>+'VZLA BFS'!N9+'VZLA VIT. bls '!N9+'VZLA Otros BLS'!N9</f>
        <v>2780606667.9400001</v>
      </c>
      <c r="O9" s="67">
        <f t="shared" si="4"/>
        <v>0.16047333882484302</v>
      </c>
      <c r="P9" s="66">
        <f>+'VZLA BFS'!P9+'VZLA VIT. bls '!P9+'VZLA Otros BLS'!P9</f>
        <v>16788.969999999998</v>
      </c>
      <c r="Q9" s="68">
        <f t="shared" si="5"/>
        <v>0.11887912833806906</v>
      </c>
      <c r="R9" s="69" t="str">
        <f t="shared" si="8"/>
        <v/>
      </c>
      <c r="S9" s="351">
        <f t="shared" si="9"/>
        <v>-0.99999396211978009</v>
      </c>
      <c r="T9" s="448">
        <v>503744.32</v>
      </c>
      <c r="U9" s="448">
        <v>0</v>
      </c>
      <c r="V9" s="448">
        <v>458645.56180000002</v>
      </c>
      <c r="W9" s="81" t="s">
        <v>40</v>
      </c>
      <c r="X9" s="90">
        <f>+'VZLA BFS'!X9</f>
        <v>0</v>
      </c>
      <c r="Y9" s="90">
        <f>+'VZLA BFS'!Y9</f>
        <v>0</v>
      </c>
      <c r="Z9" s="91">
        <f>+'VZLA BFS'!Z9</f>
        <v>0</v>
      </c>
      <c r="AA9" s="261">
        <f>+'VZLA BFS'!AA9</f>
        <v>0</v>
      </c>
      <c r="AB9" s="90">
        <f>+'VZLA BFS'!AB9</f>
        <v>0</v>
      </c>
      <c r="AC9" s="262">
        <f>+'VZLA BFS'!AC9</f>
        <v>0</v>
      </c>
      <c r="AD9" s="85">
        <f>+AA9-AC9</f>
        <v>0</v>
      </c>
      <c r="AE9" s="86" t="str">
        <f>IF(AA9=0,"",(AC9-AA9)/ABS(AA9)+1)</f>
        <v/>
      </c>
      <c r="AF9" s="86" t="str">
        <f t="shared" ref="AF9:AF21" si="10">IF(AB9=0,"",(AC9-AB9)/ABS(AB9))</f>
        <v/>
      </c>
    </row>
    <row r="10" spans="1:34" x14ac:dyDescent="0.25">
      <c r="B10" s="219" t="s">
        <v>99</v>
      </c>
      <c r="C10" s="89" t="s">
        <v>174</v>
      </c>
      <c r="D10" s="66">
        <f>+'VZLA BFS'!D10+'VZLA VIT. bls '!D10+'VZLA Otros BLS'!D10</f>
        <v>0</v>
      </c>
      <c r="E10" s="67" t="e">
        <f t="shared" si="0"/>
        <v>#DIV/0!</v>
      </c>
      <c r="F10" s="66">
        <f>+'VZLA BFS'!F10+'VZLA VIT. bls '!F10+'VZLA Otros BLS'!F10</f>
        <v>0</v>
      </c>
      <c r="G10" s="67">
        <f t="shared" si="1"/>
        <v>0</v>
      </c>
      <c r="H10" s="66">
        <f>+'VZLA BFS'!H10+'VZLA VIT. bls '!H10+'VZLA Otros BLS'!H10</f>
        <v>0</v>
      </c>
      <c r="I10" s="68">
        <f t="shared" si="2"/>
        <v>0</v>
      </c>
      <c r="J10" s="418" t="str">
        <f>IF(D10=0,"",(H10-D10)/ABS(D10)+1)</f>
        <v/>
      </c>
      <c r="K10" s="418" t="str">
        <f>IF(F10=0,"",(H10-F10)/ABS(F10))</f>
        <v/>
      </c>
      <c r="L10" s="66">
        <f>+'VZLA BFS'!L10+'VZLA VIT. bls '!L10+'VZLA Otros BLS'!L10</f>
        <v>0</v>
      </c>
      <c r="M10" s="67" t="e">
        <f t="shared" si="3"/>
        <v>#DIV/0!</v>
      </c>
      <c r="N10" s="66">
        <f>+'VZLA BFS'!N10+'VZLA VIT. bls '!N10+'VZLA Otros BLS'!N10</f>
        <v>330235664</v>
      </c>
      <c r="O10" s="67">
        <f t="shared" si="4"/>
        <v>1.9058437934473989E-2</v>
      </c>
      <c r="P10" s="66">
        <f>+'VZLA BFS'!P10+'VZLA VIT. bls '!P10+'VZLA Otros BLS'!P10</f>
        <v>57866.07</v>
      </c>
      <c r="Q10" s="68">
        <f t="shared" si="5"/>
        <v>0.40973734314551091</v>
      </c>
      <c r="R10" s="69" t="str">
        <f>IF(L10=0,"",(P10-L10)/ABS(L10)+1)</f>
        <v/>
      </c>
      <c r="S10" s="351">
        <f>IF(N10=0,"",(P10-N10)/ABS(N10))</f>
        <v>-0.99982477340787757</v>
      </c>
      <c r="T10" s="448">
        <v>62433.930000000008</v>
      </c>
      <c r="U10" s="448">
        <v>0</v>
      </c>
      <c r="V10" s="448">
        <v>217317.54</v>
      </c>
      <c r="W10" s="81" t="s">
        <v>43</v>
      </c>
      <c r="X10" s="90">
        <f>+'VZLA BFS'!X10</f>
        <v>0</v>
      </c>
      <c r="Y10" s="90">
        <f>+'VZLA BFS'!Y10</f>
        <v>0</v>
      </c>
      <c r="Z10" s="91">
        <f>+'VZLA BFS'!Z10</f>
        <v>0</v>
      </c>
      <c r="AA10" s="261">
        <f>+'VZLA BFS'!AA10</f>
        <v>0</v>
      </c>
      <c r="AB10" s="90">
        <f>+'VZLA BFS'!AB10</f>
        <v>0</v>
      </c>
      <c r="AC10" s="262">
        <f>+'VZLA BFS'!AC10</f>
        <v>0</v>
      </c>
      <c r="AD10" s="85">
        <f>+AA10-AC10</f>
        <v>0</v>
      </c>
      <c r="AE10" s="86" t="str">
        <f t="shared" ref="AE10:AE21" si="11">IF(AA10=0,"",(AC10-AA10)/ABS(AA10)+1)</f>
        <v/>
      </c>
      <c r="AF10" s="86" t="str">
        <f t="shared" si="10"/>
        <v/>
      </c>
    </row>
    <row r="11" spans="1:34" x14ac:dyDescent="0.25">
      <c r="B11" s="11">
        <v>4170250500</v>
      </c>
      <c r="C11" s="89" t="s">
        <v>44</v>
      </c>
      <c r="D11" s="66">
        <f>+'VZLA BFS'!D11+'VZLA VIT. bls '!D11+'VZLA Otros BLS'!D11</f>
        <v>0</v>
      </c>
      <c r="E11" s="67" t="e">
        <f t="shared" si="0"/>
        <v>#DIV/0!</v>
      </c>
      <c r="F11" s="66">
        <f>+'VZLA BFS'!F11+'VZLA VIT. bls '!F11+'VZLA Otros BLS'!F11</f>
        <v>0</v>
      </c>
      <c r="G11" s="67">
        <f t="shared" si="1"/>
        <v>0</v>
      </c>
      <c r="H11" s="66">
        <f>+'VZLA BFS'!H11+'VZLA VIT. bls '!H11+'VZLA Otros BLS'!H11</f>
        <v>0</v>
      </c>
      <c r="I11" s="68">
        <f t="shared" si="2"/>
        <v>0</v>
      </c>
      <c r="J11" s="418" t="str">
        <f>IF(D11=0,"",(H11-D11)/ABS(D11)+1)</f>
        <v/>
      </c>
      <c r="K11" s="418" t="str">
        <f>IF(F11=0,"",(H11-F11)/ABS(F11))</f>
        <v/>
      </c>
      <c r="L11" s="66">
        <f>+'VZLA BFS'!L11+'VZLA VIT. bls '!L11+'VZLA Otros BLS'!L11</f>
        <v>0</v>
      </c>
      <c r="M11" s="67" t="e">
        <f t="shared" si="3"/>
        <v>#DIV/0!</v>
      </c>
      <c r="N11" s="66">
        <f>+'VZLA BFS'!N11+'VZLA VIT. bls '!N11+'VZLA Otros BLS'!N11</f>
        <v>0</v>
      </c>
      <c r="O11" s="67">
        <f t="shared" si="4"/>
        <v>0</v>
      </c>
      <c r="P11" s="66">
        <f>+'VZLA BFS'!P11+'VZLA VIT. bls '!P11+'VZLA Otros BLS'!P11</f>
        <v>0</v>
      </c>
      <c r="Q11" s="68">
        <f t="shared" si="5"/>
        <v>0</v>
      </c>
      <c r="R11" s="69" t="str">
        <f>IF(L11=0,"",(P11-L11)/ABS(L11)+1)</f>
        <v/>
      </c>
      <c r="S11" s="351" t="str">
        <f>IF(N11=0,"",(P11-N11)/ABS(N11))</f>
        <v/>
      </c>
      <c r="T11" s="448">
        <v>0</v>
      </c>
      <c r="U11" s="448">
        <v>0</v>
      </c>
      <c r="V11" s="448">
        <v>0</v>
      </c>
      <c r="W11" s="81" t="s">
        <v>45</v>
      </c>
      <c r="X11" s="90">
        <f>+'VZLA BFS'!X11</f>
        <v>0</v>
      </c>
      <c r="Y11" s="90">
        <f>+'VZLA BFS'!Y11</f>
        <v>655587845.79999995</v>
      </c>
      <c r="Z11" s="91">
        <f>+'VZLA BFS'!Z11</f>
        <v>8445.6200000000008</v>
      </c>
      <c r="AA11" s="261">
        <f>+'VZLA BFS'!AA11</f>
        <v>0</v>
      </c>
      <c r="AB11" s="90">
        <f>+'VZLA BFS'!AB11</f>
        <v>2469172501.5</v>
      </c>
      <c r="AC11" s="262">
        <f>+'VZLA BFS'!AC11</f>
        <v>29932.620000000003</v>
      </c>
      <c r="AD11" s="85">
        <f>+AA11-AC11</f>
        <v>-29932.620000000003</v>
      </c>
      <c r="AE11" s="86" t="str">
        <f t="shared" si="11"/>
        <v/>
      </c>
      <c r="AF11" s="86">
        <f t="shared" si="10"/>
        <v>-0.99998787746907858</v>
      </c>
      <c r="AH11" s="149"/>
    </row>
    <row r="12" spans="1:34" x14ac:dyDescent="0.25">
      <c r="B12" s="11"/>
      <c r="C12" s="65" t="s">
        <v>175</v>
      </c>
      <c r="D12" s="66">
        <f>+'VZLA BFS'!D12+'VZLA VIT. bls '!D12+'VZLA Otros BLS'!D12</f>
        <v>0</v>
      </c>
      <c r="E12" s="67" t="e">
        <f t="shared" si="0"/>
        <v>#DIV/0!</v>
      </c>
      <c r="F12" s="66">
        <f>+'VZLA BFS'!F12+'VZLA VIT. bls '!F12+'VZLA Otros BLS'!F12</f>
        <v>950321753</v>
      </c>
      <c r="G12" s="67">
        <f t="shared" si="1"/>
        <v>0.14763065379895376</v>
      </c>
      <c r="H12" s="66">
        <f>+'VZLA BFS'!H12+'VZLA VIT. bls '!H12+'VZLA Otros BLS'!H12</f>
        <v>3931.32</v>
      </c>
      <c r="I12" s="68">
        <f t="shared" si="2"/>
        <v>0.19914290924563857</v>
      </c>
      <c r="J12" s="418" t="str">
        <f t="shared" si="6"/>
        <v/>
      </c>
      <c r="K12" s="418">
        <f t="shared" si="7"/>
        <v>-0.99999586316951328</v>
      </c>
      <c r="L12" s="66">
        <f>+'VZLA BFS'!L12+'VZLA VIT. bls '!L12+'VZLA Otros BLS'!L12</f>
        <v>0</v>
      </c>
      <c r="M12" s="67" t="e">
        <f t="shared" si="3"/>
        <v>#DIV/0!</v>
      </c>
      <c r="N12" s="66">
        <f>+'VZLA BFS'!N12+'VZLA VIT. bls '!N12+'VZLA Otros BLS'!N12</f>
        <v>2788293793</v>
      </c>
      <c r="O12" s="67">
        <f t="shared" si="4"/>
        <v>0.16091697532998606</v>
      </c>
      <c r="P12" s="66">
        <f>+'VZLA BFS'!P12+'VZLA VIT. bls '!P12+'VZLA Otros BLS'!P12</f>
        <v>14602.439999999999</v>
      </c>
      <c r="Q12" s="68">
        <f t="shared" si="5"/>
        <v>0.10339677412068478</v>
      </c>
      <c r="R12" s="69"/>
      <c r="S12" s="351">
        <f t="shared" si="9"/>
        <v>-0.99999476294785117</v>
      </c>
      <c r="T12" s="448">
        <v>183738.34</v>
      </c>
      <c r="U12" s="448">
        <v>0</v>
      </c>
      <c r="V12" s="448">
        <v>190063.2</v>
      </c>
      <c r="W12" s="81" t="s">
        <v>48</v>
      </c>
      <c r="X12" s="90">
        <f>+'VZLA BFS'!X12</f>
        <v>0</v>
      </c>
      <c r="Y12" s="90">
        <f>+'VZLA BFS'!Y12</f>
        <v>3768356503.5999999</v>
      </c>
      <c r="Z12" s="91">
        <f>+'VZLA BFS'!Z12</f>
        <v>3932.95</v>
      </c>
      <c r="AA12" s="261">
        <f>+'VZLA BFS'!AA12</f>
        <v>0</v>
      </c>
      <c r="AB12" s="90">
        <f>+'VZLA BFS'!AB12</f>
        <v>9956149212.1700001</v>
      </c>
      <c r="AC12" s="262">
        <f>+'VZLA BFS'!AC12</f>
        <v>78080.95</v>
      </c>
      <c r="AD12" s="85">
        <f>+AA12-AC12</f>
        <v>-78080.95</v>
      </c>
      <c r="AE12" s="86" t="str">
        <f t="shared" si="11"/>
        <v/>
      </c>
      <c r="AF12" s="86">
        <f t="shared" si="10"/>
        <v>-0.99999215751508574</v>
      </c>
    </row>
    <row r="13" spans="1:34" ht="15.75" thickBot="1" x14ac:dyDescent="0.3">
      <c r="C13" s="65" t="str">
        <f>+'EL SALVADOR USD'!C13</f>
        <v>Fact. Servicio Satelital</v>
      </c>
      <c r="D13" s="66">
        <f>+'VZLA BFS'!D13+'VZLA VIT. bls '!D13+'VZLA Otros BLS'!D13</f>
        <v>0</v>
      </c>
      <c r="E13" s="67" t="e">
        <f t="shared" si="0"/>
        <v>#DIV/0!</v>
      </c>
      <c r="F13" s="66">
        <f>+'VZLA BFS'!F13+'VZLA VIT. bls '!F13+'VZLA Otros BLS'!F13</f>
        <v>0</v>
      </c>
      <c r="G13" s="67"/>
      <c r="H13" s="66">
        <f>+'VZLA BFS'!H13+'VZLA VIT. bls '!H13+'VZLA Otros BLS'!H13</f>
        <v>0</v>
      </c>
      <c r="I13" s="68"/>
      <c r="J13" s="418"/>
      <c r="K13" s="418"/>
      <c r="L13" s="66">
        <f>+'VZLA BFS'!L13+'VZLA VIT. bls '!L13+'VZLA Otros BLS'!L13</f>
        <v>0</v>
      </c>
      <c r="M13" s="67"/>
      <c r="N13" s="66">
        <f>+'VZLA BFS'!N13+'VZLA VIT. bls '!N13+'VZLA Otros BLS'!N13</f>
        <v>0</v>
      </c>
      <c r="O13" s="67"/>
      <c r="P13" s="66">
        <f>+'VZLA BFS'!P13+'VZLA VIT. bls '!P13+'VZLA Otros BLS'!P13</f>
        <v>0</v>
      </c>
      <c r="Q13" s="68"/>
      <c r="R13" s="69"/>
      <c r="S13" s="351"/>
      <c r="T13" s="448"/>
      <c r="U13" s="448">
        <v>0</v>
      </c>
      <c r="V13" s="448"/>
      <c r="W13" s="81" t="s">
        <v>50</v>
      </c>
      <c r="X13" s="90">
        <f>X9+X10+X11+X12</f>
        <v>0</v>
      </c>
      <c r="Y13" s="90">
        <f>Y9+Y10+Y11+Y12</f>
        <v>4423944349.3999996</v>
      </c>
      <c r="Z13" s="91">
        <f>+'VZLA BFS'!Z13</f>
        <v>12378.57</v>
      </c>
      <c r="AA13" s="261">
        <f>+'VZLA BFS'!AA13</f>
        <v>0</v>
      </c>
      <c r="AB13" s="261">
        <f>+'VZLA BFS'!AB13</f>
        <v>12425321713.67</v>
      </c>
      <c r="AC13" s="262">
        <f>+'VZLA BFS'!AC13</f>
        <v>108013.57</v>
      </c>
      <c r="AD13" s="85">
        <f>+AC13-AA13</f>
        <v>108013.57</v>
      </c>
      <c r="AE13" s="86" t="str">
        <f t="shared" si="11"/>
        <v/>
      </c>
      <c r="AF13" s="86">
        <f t="shared" si="10"/>
        <v>-0.99999130698001315</v>
      </c>
    </row>
    <row r="14" spans="1:34" ht="15.75" thickBot="1" x14ac:dyDescent="0.3">
      <c r="C14" s="65" t="str">
        <f>+'EL SALVADOR USD'!C14</f>
        <v>Fact. Visual Experience</v>
      </c>
      <c r="D14" s="66">
        <f>+'VZLA BFS'!D14+'VZLA VIT. bls '!D14+'VZLA Otros BLS'!D14</f>
        <v>0</v>
      </c>
      <c r="E14" s="67" t="e">
        <f t="shared" si="0"/>
        <v>#DIV/0!</v>
      </c>
      <c r="F14" s="66">
        <f>+'VZLA BFS'!F14+'VZLA VIT. bls '!F14+'VZLA Otros BLS'!F14</f>
        <v>0</v>
      </c>
      <c r="G14" s="67"/>
      <c r="H14" s="66">
        <f>+'VZLA BFS'!H14+'VZLA VIT. bls '!H14+'VZLA Otros BLS'!H14</f>
        <v>0</v>
      </c>
      <c r="I14" s="68"/>
      <c r="J14" s="418"/>
      <c r="K14" s="418"/>
      <c r="L14" s="66">
        <f>+'VZLA BFS'!L14+'VZLA VIT. bls '!L14+'VZLA Otros BLS'!L14</f>
        <v>0</v>
      </c>
      <c r="M14" s="67"/>
      <c r="N14" s="66">
        <f>+'VZLA BFS'!N14+'VZLA VIT. bls '!N14+'VZLA Otros BLS'!N14</f>
        <v>0</v>
      </c>
      <c r="O14" s="67"/>
      <c r="P14" s="66">
        <f>+'VZLA BFS'!P14+'VZLA VIT. bls '!P14+'VZLA Otros BLS'!P14</f>
        <v>0</v>
      </c>
      <c r="Q14" s="68"/>
      <c r="R14" s="69"/>
      <c r="S14" s="351"/>
      <c r="T14" s="448"/>
      <c r="U14" s="448"/>
      <c r="V14" s="448"/>
      <c r="W14" s="73" t="s">
        <v>52</v>
      </c>
      <c r="X14" s="75">
        <f t="shared" ref="X14:AC14" si="12">+X8-X13</f>
        <v>0</v>
      </c>
      <c r="Y14" s="75">
        <f t="shared" si="12"/>
        <v>1873053309.1600008</v>
      </c>
      <c r="Z14" s="74">
        <f t="shared" si="12"/>
        <v>5653.75</v>
      </c>
      <c r="AA14" s="258">
        <f t="shared" si="12"/>
        <v>0</v>
      </c>
      <c r="AB14" s="75">
        <f t="shared" si="12"/>
        <v>3022403356.4200001</v>
      </c>
      <c r="AC14" s="269">
        <f t="shared" si="12"/>
        <v>27217.75</v>
      </c>
      <c r="AD14" s="76">
        <f>+AC14-AA14</f>
        <v>27217.75</v>
      </c>
      <c r="AE14" s="77" t="str">
        <f t="shared" si="11"/>
        <v/>
      </c>
      <c r="AF14" s="77">
        <f t="shared" si="10"/>
        <v>-0.99999099466656483</v>
      </c>
    </row>
    <row r="15" spans="1:34" x14ac:dyDescent="0.25">
      <c r="C15" s="65" t="str">
        <f>+'EL SALVADOR USD'!C15</f>
        <v>Fac.   Olfa Experience</v>
      </c>
      <c r="D15" s="66"/>
      <c r="E15" s="67"/>
      <c r="F15" s="66"/>
      <c r="G15" s="67"/>
      <c r="H15" s="66"/>
      <c r="I15" s="68"/>
      <c r="J15" s="418"/>
      <c r="K15" s="418"/>
      <c r="L15" s="66"/>
      <c r="M15" s="67"/>
      <c r="N15" s="66"/>
      <c r="O15" s="67"/>
      <c r="P15" s="66"/>
      <c r="Q15" s="68"/>
      <c r="R15" s="69"/>
      <c r="S15" s="351"/>
      <c r="T15" s="448"/>
      <c r="U15" s="448"/>
      <c r="V15" s="448"/>
      <c r="W15" s="89"/>
      <c r="X15" s="97"/>
      <c r="Y15" s="97"/>
      <c r="Z15" s="98"/>
      <c r="AA15" s="271"/>
      <c r="AB15" s="97"/>
      <c r="AC15" s="603"/>
      <c r="AD15" s="103"/>
      <c r="AE15" s="102"/>
      <c r="AF15" s="102"/>
    </row>
    <row r="16" spans="1:34" ht="15.75" thickBot="1" x14ac:dyDescent="0.3">
      <c r="C16" s="65" t="s">
        <v>176</v>
      </c>
      <c r="D16" s="66">
        <f>+'VZLA BFS'!D16+'VZLA VIT. bls '!D15+'VZLA Otros BLS'!D16</f>
        <v>0</v>
      </c>
      <c r="E16" s="67" t="e">
        <f>+D16/$D$17</f>
        <v>#DIV/0!</v>
      </c>
      <c r="F16" s="66">
        <f>+'VZLA BFS'!F16+'VZLA VIT. bls '!F15+'VZLA Otros BLS'!F16</f>
        <v>0</v>
      </c>
      <c r="G16" s="67"/>
      <c r="H16" s="66">
        <f>+'VZLA BFS'!H16+'VZLA VIT. bls '!H15+'VZLA Otros BLS'!H16</f>
        <v>0</v>
      </c>
      <c r="I16" s="68"/>
      <c r="J16" s="418"/>
      <c r="K16" s="418"/>
      <c r="L16" s="66">
        <f>+'VZLA BFS'!L16+'VZLA VIT. bls '!L15+'VZLA Otros BLS'!L16</f>
        <v>0</v>
      </c>
      <c r="M16" s="67"/>
      <c r="N16" s="66">
        <f>+'VZLA BFS'!N16+'VZLA VIT. bls '!N15+'VZLA Otros BLS'!N16</f>
        <v>0</v>
      </c>
      <c r="O16" s="67"/>
      <c r="P16" s="66">
        <f>+'VZLA BFS'!P16+'VZLA VIT. bls '!P15+'VZLA Otros BLS'!P16</f>
        <v>0</v>
      </c>
      <c r="Q16" s="68"/>
      <c r="R16" s="69"/>
      <c r="S16" s="351"/>
      <c r="T16" s="448"/>
      <c r="U16" s="448"/>
      <c r="V16" s="448"/>
      <c r="W16" s="89"/>
      <c r="X16" s="97"/>
      <c r="Y16" s="97"/>
      <c r="Z16" s="98"/>
      <c r="AA16" s="271"/>
      <c r="AB16" s="97"/>
      <c r="AC16" s="603"/>
      <c r="AD16" s="103"/>
      <c r="AE16" s="102"/>
      <c r="AF16" s="102" t="str">
        <f t="shared" si="10"/>
        <v/>
      </c>
    </row>
    <row r="17" spans="1:34" x14ac:dyDescent="0.25">
      <c r="B17" s="11"/>
      <c r="C17" s="104" t="s">
        <v>57</v>
      </c>
      <c r="D17" s="105">
        <f>SUM(D7:D13)</f>
        <v>0</v>
      </c>
      <c r="E17" s="106" t="e">
        <f t="shared" ref="E17:E34" si="13">+D17/$D$17</f>
        <v>#DIV/0!</v>
      </c>
      <c r="F17" s="105">
        <f>SUM(F7:F14)</f>
        <v>6437157382.6000004</v>
      </c>
      <c r="G17" s="106">
        <f t="shared" ref="G17:G34" si="14">+F17/$F$17</f>
        <v>1</v>
      </c>
      <c r="H17" s="105">
        <f>SUM(H7:H16)</f>
        <v>19741.2</v>
      </c>
      <c r="I17" s="107">
        <f t="shared" ref="I17:I34" si="15">+H17/$H$17</f>
        <v>1</v>
      </c>
      <c r="J17" s="422" t="str">
        <f t="shared" si="6"/>
        <v/>
      </c>
      <c r="K17" s="422">
        <f t="shared" si="7"/>
        <v>-0.99999693324260597</v>
      </c>
      <c r="L17" s="105">
        <f>SUM(L7:L16)</f>
        <v>0</v>
      </c>
      <c r="M17" s="106" t="e">
        <f t="shared" ref="M17:M34" si="16">+L17/$L$17</f>
        <v>#DIV/0!</v>
      </c>
      <c r="N17" s="105">
        <f>SUM(N7:N16)</f>
        <v>17327530468.940002</v>
      </c>
      <c r="O17" s="106">
        <f t="shared" ref="O17:O31" si="17">+N17/$N$17</f>
        <v>1</v>
      </c>
      <c r="P17" s="105">
        <f>SUM(P7:P16)</f>
        <v>141227.23000000001</v>
      </c>
      <c r="Q17" s="107">
        <f t="shared" ref="Q17:Q34" si="18">+P17/$P$17</f>
        <v>1</v>
      </c>
      <c r="R17" s="108" t="str">
        <f t="shared" si="8"/>
        <v/>
      </c>
      <c r="S17" s="108">
        <f t="shared" si="9"/>
        <v>-0.99999184954657838</v>
      </c>
      <c r="T17" s="448">
        <v>1391794.2239999999</v>
      </c>
      <c r="U17" s="448">
        <v>1038462</v>
      </c>
      <c r="V17" s="448">
        <v>1545521.5120000001</v>
      </c>
      <c r="W17" s="81" t="s">
        <v>58</v>
      </c>
      <c r="X17" s="82">
        <f>+X7+X14</f>
        <v>236652</v>
      </c>
      <c r="Y17" s="82">
        <f>+Y7+Y14</f>
        <v>2591107225.2200012</v>
      </c>
      <c r="Z17" s="83">
        <f>+Z7+Z14</f>
        <v>13876.75</v>
      </c>
      <c r="AA17" s="261">
        <f>+'VZLA BFS'!AA17</f>
        <v>236652</v>
      </c>
      <c r="AB17" s="90">
        <f>+'VZLA BFS'!AB17</f>
        <v>3480974013.3600001</v>
      </c>
      <c r="AC17" s="262">
        <f>+'VZLA BFS'!AC17</f>
        <v>41984.75</v>
      </c>
      <c r="AD17" s="85">
        <f>+AC17-AA17</f>
        <v>-194667.25</v>
      </c>
      <c r="AE17" s="86">
        <f t="shared" si="11"/>
        <v>0.17741134661866365</v>
      </c>
      <c r="AF17" s="86">
        <f t="shared" si="10"/>
        <v>-0.99998793879246473</v>
      </c>
    </row>
    <row r="18" spans="1:34" x14ac:dyDescent="0.25">
      <c r="B18" s="11" t="s">
        <v>100</v>
      </c>
      <c r="C18" s="112" t="s">
        <v>59</v>
      </c>
      <c r="D18" s="117">
        <f>+'VZLA BFS'!D18+'VZLA VIT. bls '!D17+'VZLA Otros BLS'!D18</f>
        <v>0</v>
      </c>
      <c r="E18" s="113" t="e">
        <f t="shared" si="13"/>
        <v>#DIV/0!</v>
      </c>
      <c r="F18" s="117">
        <f>+'VZLA BFS'!F18+'VZLA VIT. bls '!F17+'VZLA Otros BLS'!F18</f>
        <v>0</v>
      </c>
      <c r="G18" s="113">
        <f t="shared" si="14"/>
        <v>0</v>
      </c>
      <c r="H18" s="117">
        <f>+'VZLA BFS'!H18+'VZLA VIT. bls '!H17+'VZLA Otros BLS'!H18</f>
        <v>0</v>
      </c>
      <c r="I18" s="115">
        <f t="shared" si="15"/>
        <v>0</v>
      </c>
      <c r="J18" s="425" t="str">
        <f t="shared" si="6"/>
        <v/>
      </c>
      <c r="K18" s="425" t="str">
        <f t="shared" si="7"/>
        <v/>
      </c>
      <c r="L18" s="117">
        <f>+'VZLA BFS'!L18+'VZLA VIT. bls '!L17+'VZLA Otros BLS'!L18</f>
        <v>0</v>
      </c>
      <c r="M18" s="113" t="e">
        <f t="shared" si="16"/>
        <v>#DIV/0!</v>
      </c>
      <c r="N18" s="117">
        <f>+'VZLA BFS'!N18+'VZLA VIT. bls '!N17+'VZLA Otros BLS'!N18</f>
        <v>0</v>
      </c>
      <c r="O18" s="113">
        <f t="shared" si="17"/>
        <v>0</v>
      </c>
      <c r="P18" s="117">
        <f>+'VZLA BFS'!P18+'VZLA VIT. bls '!P17+'VZLA Otros BLS'!P18</f>
        <v>54617.06</v>
      </c>
      <c r="Q18" s="115">
        <f t="shared" si="18"/>
        <v>0.38673179386156614</v>
      </c>
      <c r="R18" s="116" t="str">
        <f t="shared" si="8"/>
        <v/>
      </c>
      <c r="S18" s="374" t="str">
        <f t="shared" si="9"/>
        <v/>
      </c>
      <c r="T18" s="448">
        <v>71074</v>
      </c>
      <c r="U18" s="448">
        <v>38307</v>
      </c>
      <c r="V18" s="448">
        <v>7521</v>
      </c>
      <c r="W18" s="81" t="s">
        <v>60</v>
      </c>
      <c r="X18" s="90">
        <f>+'VZLA BFS'!X18</f>
        <v>0</v>
      </c>
      <c r="Y18" s="90">
        <f>+'VZLA BFS'!Y18</f>
        <v>0</v>
      </c>
      <c r="Z18" s="91">
        <f>+'VZLA BFS'!Z18</f>
        <v>0</v>
      </c>
      <c r="AA18" s="261">
        <f>+'VZLA BFS'!AA18</f>
        <v>0</v>
      </c>
      <c r="AB18" s="90">
        <f>+'VZLA BFS'!AB18</f>
        <v>0</v>
      </c>
      <c r="AC18" s="262">
        <f>+'VZLA BFS'!AC18</f>
        <v>0</v>
      </c>
      <c r="AD18" s="85">
        <f t="shared" ref="AD18:AD21" si="19">+AC18-AA18</f>
        <v>0</v>
      </c>
      <c r="AE18" s="86" t="str">
        <f t="shared" si="11"/>
        <v/>
      </c>
      <c r="AF18" s="86" t="str">
        <f t="shared" si="10"/>
        <v/>
      </c>
      <c r="AH18" s="149"/>
    </row>
    <row r="19" spans="1:34" ht="15.75" thickBot="1" x14ac:dyDescent="0.3">
      <c r="B19" s="11"/>
      <c r="C19" s="119" t="s">
        <v>61</v>
      </c>
      <c r="D19" s="120">
        <f>+D17-D18</f>
        <v>0</v>
      </c>
      <c r="E19" s="121" t="e">
        <f t="shared" si="13"/>
        <v>#DIV/0!</v>
      </c>
      <c r="F19" s="120">
        <f>+F17-F18</f>
        <v>6437157382.6000004</v>
      </c>
      <c r="G19" s="121">
        <f t="shared" si="14"/>
        <v>1</v>
      </c>
      <c r="H19" s="120">
        <f>+H17-H18</f>
        <v>19741.2</v>
      </c>
      <c r="I19" s="122">
        <f t="shared" si="15"/>
        <v>1</v>
      </c>
      <c r="J19" s="426" t="str">
        <f t="shared" si="6"/>
        <v/>
      </c>
      <c r="K19" s="426">
        <f t="shared" si="7"/>
        <v>-0.99999693324260597</v>
      </c>
      <c r="L19" s="120">
        <f>+L17-L18</f>
        <v>0</v>
      </c>
      <c r="M19" s="121" t="e">
        <f t="shared" si="16"/>
        <v>#DIV/0!</v>
      </c>
      <c r="N19" s="120">
        <f>+N17-N18</f>
        <v>17327530468.940002</v>
      </c>
      <c r="O19" s="121">
        <f t="shared" si="17"/>
        <v>1</v>
      </c>
      <c r="P19" s="120">
        <f>+P17-P18</f>
        <v>86610.170000000013</v>
      </c>
      <c r="Q19" s="122">
        <f t="shared" si="18"/>
        <v>0.6132682061384338</v>
      </c>
      <c r="R19" s="124" t="str">
        <f t="shared" si="8"/>
        <v/>
      </c>
      <c r="S19" s="124">
        <f t="shared" si="9"/>
        <v>-0.99999500158605092</v>
      </c>
      <c r="T19" s="448">
        <v>1299398.1002499999</v>
      </c>
      <c r="U19" s="448">
        <v>1000155</v>
      </c>
      <c r="V19" s="448">
        <v>1538000.5120000001</v>
      </c>
      <c r="W19" s="81" t="s">
        <v>62</v>
      </c>
      <c r="X19" s="90">
        <f>+'VZLA BFS'!X19</f>
        <v>0</v>
      </c>
      <c r="Y19" s="90">
        <f>+'VZLA BFS'!Y19</f>
        <v>754058721.32000005</v>
      </c>
      <c r="Z19" s="91">
        <f>+'VZLA BFS'!Z19</f>
        <v>1736.09</v>
      </c>
      <c r="AA19" s="261">
        <f>+'VZLA BFS'!AA19</f>
        <v>0</v>
      </c>
      <c r="AB19" s="90">
        <f>+'VZLA BFS'!AB19</f>
        <v>1643925509.46</v>
      </c>
      <c r="AC19" s="262">
        <f>+'VZLA BFS'!AC19</f>
        <v>29844.09</v>
      </c>
      <c r="AD19" s="85">
        <f t="shared" si="19"/>
        <v>29844.09</v>
      </c>
      <c r="AE19" s="86" t="str">
        <f t="shared" si="11"/>
        <v/>
      </c>
      <c r="AF19" s="86">
        <f t="shared" si="10"/>
        <v>-0.99998184583800898</v>
      </c>
    </row>
    <row r="20" spans="1:34" x14ac:dyDescent="0.25">
      <c r="B20" s="11" t="s">
        <v>101</v>
      </c>
      <c r="C20" s="81" t="s">
        <v>63</v>
      </c>
      <c r="D20" s="83">
        <f>+'VZLA BFS'!D20+'VZLA VIT. bls '!D19+'VZLA Otros BLS'!D20</f>
        <v>0</v>
      </c>
      <c r="E20" s="126" t="e">
        <f t="shared" si="13"/>
        <v>#DIV/0!</v>
      </c>
      <c r="F20" s="83">
        <f>+'VZLA BFS'!F20+'VZLA VIT. bls '!F19+'VZLA Otros BLS'!F20</f>
        <v>84308433.460000008</v>
      </c>
      <c r="G20" s="126">
        <f t="shared" si="14"/>
        <v>1.3097152741346742E-2</v>
      </c>
      <c r="H20" s="83">
        <f>+'VZLA BFS'!H20+'VZLA VIT. bls '!H19+'VZLA Otros BLS'!H20</f>
        <v>412.39000000000004</v>
      </c>
      <c r="I20" s="127">
        <f t="shared" si="15"/>
        <v>2.0889814195692261E-2</v>
      </c>
      <c r="J20" s="427" t="str">
        <f t="shared" si="6"/>
        <v/>
      </c>
      <c r="K20" s="427">
        <f t="shared" si="7"/>
        <v>-0.99999510855577456</v>
      </c>
      <c r="L20" s="83">
        <f>+'VZLA BFS'!L20+'VZLA VIT. bls '!L19+'VZLA Otros BLS'!L20</f>
        <v>0</v>
      </c>
      <c r="M20" s="126" t="e">
        <f t="shared" si="16"/>
        <v>#DIV/0!</v>
      </c>
      <c r="N20" s="83">
        <f>+'VZLA BFS'!N20+'VZLA VIT. bls '!N19+'VZLA Otros BLS'!N20</f>
        <v>239265382.96999997</v>
      </c>
      <c r="O20" s="126">
        <f t="shared" si="17"/>
        <v>1.3808394877671038E-2</v>
      </c>
      <c r="P20" s="83">
        <f>+'VZLA BFS'!P20+'VZLA VIT. bls '!P19+'VZLA Otros BLS'!P20</f>
        <v>1917.7600000000002</v>
      </c>
      <c r="Q20" s="127">
        <f t="shared" si="18"/>
        <v>1.3579250970227202E-2</v>
      </c>
      <c r="R20" s="128" t="str">
        <f t="shared" si="8"/>
        <v/>
      </c>
      <c r="S20" s="148">
        <f t="shared" si="9"/>
        <v>-0.99999198479957196</v>
      </c>
      <c r="T20" s="604">
        <v>409784</v>
      </c>
      <c r="U20" s="448">
        <v>255096</v>
      </c>
      <c r="V20" s="448">
        <v>294014</v>
      </c>
      <c r="W20" s="81" t="s">
        <v>64</v>
      </c>
      <c r="X20" s="90">
        <f>+'VZLA BFS'!X20</f>
        <v>0</v>
      </c>
      <c r="Y20" s="90">
        <f>+'VZLA BFS'!Y20</f>
        <v>0</v>
      </c>
      <c r="Z20" s="91">
        <f>+'VZLA BFS'!Z20</f>
        <v>0</v>
      </c>
      <c r="AA20" s="261">
        <f>+'VZLA BFS'!AA20</f>
        <v>0</v>
      </c>
      <c r="AB20" s="90">
        <f>+'VZLA BFS'!AB20</f>
        <v>0</v>
      </c>
      <c r="AC20" s="262">
        <f>+'VZLA BFS'!AC20</f>
        <v>0</v>
      </c>
      <c r="AD20" s="85">
        <f t="shared" si="19"/>
        <v>0</v>
      </c>
      <c r="AE20" s="86" t="str">
        <f t="shared" si="11"/>
        <v/>
      </c>
      <c r="AF20" s="86" t="str">
        <f t="shared" si="10"/>
        <v/>
      </c>
      <c r="AH20" s="149"/>
    </row>
    <row r="21" spans="1:34" ht="15.75" thickBot="1" x14ac:dyDescent="0.3">
      <c r="B21" s="11" t="s">
        <v>102</v>
      </c>
      <c r="C21" s="81" t="s">
        <v>65</v>
      </c>
      <c r="D21" s="83">
        <f>+'VZLA BFS'!D21+'VZLA VIT. bls '!D20+'VZLA Otros BLS'!D21</f>
        <v>0</v>
      </c>
      <c r="E21" s="126" t="e">
        <f t="shared" si="13"/>
        <v>#DIV/0!</v>
      </c>
      <c r="F21" s="83">
        <f>+'VZLA BFS'!F21+'VZLA VIT. bls '!F20+'VZLA Otros BLS'!F21</f>
        <v>1495973447.5799999</v>
      </c>
      <c r="G21" s="126">
        <f t="shared" si="14"/>
        <v>0.23239659350627354</v>
      </c>
      <c r="H21" s="83">
        <f>+'VZLA BFS'!H21+'VZLA VIT. bls '!H20+'VZLA Otros BLS'!H21</f>
        <v>2224.7600000000002</v>
      </c>
      <c r="I21" s="127">
        <f t="shared" si="15"/>
        <v>0.112696289992503</v>
      </c>
      <c r="J21" s="427" t="str">
        <f t="shared" si="6"/>
        <v/>
      </c>
      <c r="K21" s="427">
        <f t="shared" si="7"/>
        <v>-0.99999851283456698</v>
      </c>
      <c r="L21" s="83">
        <f>+'VZLA BFS'!L21+'VZLA VIT. bls '!L20+'VZLA Otros BLS'!L21</f>
        <v>0</v>
      </c>
      <c r="M21" s="126" t="e">
        <f t="shared" si="16"/>
        <v>#DIV/0!</v>
      </c>
      <c r="N21" s="83">
        <f>+'VZLA BFS'!N21+'VZLA VIT. bls '!N20+'VZLA Otros BLS'!N21</f>
        <v>3902014430.46</v>
      </c>
      <c r="O21" s="126">
        <f t="shared" si="17"/>
        <v>0.22519160693178122</v>
      </c>
      <c r="P21" s="83">
        <f>+'VZLA BFS'!P21+'VZLA VIT. bls '!P20+'VZLA Otros BLS'!P21</f>
        <v>15608.409999999998</v>
      </c>
      <c r="Q21" s="127">
        <f t="shared" si="18"/>
        <v>0.11051983388755834</v>
      </c>
      <c r="R21" s="128" t="str">
        <f t="shared" si="8"/>
        <v/>
      </c>
      <c r="S21" s="148">
        <f t="shared" si="9"/>
        <v>-0.99999599990971899</v>
      </c>
      <c r="T21" s="604">
        <v>274824</v>
      </c>
      <c r="U21" s="448">
        <v>67780</v>
      </c>
      <c r="V21" s="448">
        <v>221142</v>
      </c>
      <c r="W21" s="81" t="s">
        <v>66</v>
      </c>
      <c r="X21" s="90">
        <f>+'VZLA BFS'!X21</f>
        <v>0</v>
      </c>
      <c r="Y21" s="90">
        <f>+'VZLA BFS'!Y21</f>
        <v>0</v>
      </c>
      <c r="Z21" s="91">
        <f>+'VZLA BFS'!Z21</f>
        <v>0</v>
      </c>
      <c r="AA21" s="261">
        <f>+'VZLA BFS'!AA21</f>
        <v>0</v>
      </c>
      <c r="AB21" s="90"/>
      <c r="AC21" s="262">
        <f>+'VZLA BFS'!AC21</f>
        <v>0</v>
      </c>
      <c r="AD21" s="85">
        <f t="shared" si="19"/>
        <v>0</v>
      </c>
      <c r="AE21" s="86" t="str">
        <f t="shared" si="11"/>
        <v/>
      </c>
      <c r="AF21" s="86" t="str">
        <f t="shared" si="10"/>
        <v/>
      </c>
    </row>
    <row r="22" spans="1:34" ht="15.75" thickBot="1" x14ac:dyDescent="0.3">
      <c r="B22" s="11"/>
      <c r="C22" s="112" t="s">
        <v>67</v>
      </c>
      <c r="D22" s="117">
        <f>SUM(D20:D21)</f>
        <v>0</v>
      </c>
      <c r="E22" s="113" t="e">
        <f t="shared" si="13"/>
        <v>#DIV/0!</v>
      </c>
      <c r="F22" s="117">
        <f>SUM(F20:F21)</f>
        <v>1580281881.04</v>
      </c>
      <c r="G22" s="113">
        <f t="shared" si="14"/>
        <v>0.24549374624762027</v>
      </c>
      <c r="H22" s="117">
        <f>SUM(H20:H21)</f>
        <v>2637.15</v>
      </c>
      <c r="I22" s="115">
        <f t="shared" si="15"/>
        <v>0.13358610418819525</v>
      </c>
      <c r="J22" s="425" t="str">
        <f t="shared" si="6"/>
        <v/>
      </c>
      <c r="K22" s="425">
        <f t="shared" si="7"/>
        <v>-0.99999833121544213</v>
      </c>
      <c r="L22" s="117">
        <f>SUM(L20:L21)</f>
        <v>0</v>
      </c>
      <c r="M22" s="113" t="e">
        <f t="shared" si="16"/>
        <v>#DIV/0!</v>
      </c>
      <c r="N22" s="117">
        <f>SUM(N20:N21)</f>
        <v>4141279813.4299998</v>
      </c>
      <c r="O22" s="113">
        <f t="shared" si="17"/>
        <v>0.23900000180945227</v>
      </c>
      <c r="P22" s="117">
        <f>SUM(P20:P21)</f>
        <v>17526.169999999998</v>
      </c>
      <c r="Q22" s="115">
        <f t="shared" si="18"/>
        <v>0.12409908485778555</v>
      </c>
      <c r="R22" s="116" t="str">
        <f t="shared" si="8"/>
        <v/>
      </c>
      <c r="S22" s="374">
        <f t="shared" si="9"/>
        <v>-0.99999576793387801</v>
      </c>
      <c r="T22" s="448">
        <v>684608</v>
      </c>
      <c r="U22" s="448">
        <v>322876</v>
      </c>
      <c r="V22" s="448">
        <v>515156</v>
      </c>
      <c r="W22" s="73" t="s">
        <v>68</v>
      </c>
      <c r="X22" s="75">
        <f>+X17-X19-X18</f>
        <v>236652</v>
      </c>
      <c r="Y22" s="75">
        <f>+Y17-Y19-Y18</f>
        <v>1837048503.900001</v>
      </c>
      <c r="Z22" s="74">
        <f>+Z17-Z19-Z18+Z20</f>
        <v>12140.66</v>
      </c>
      <c r="AA22" s="278">
        <f>+AA17-AA19-AA18-AA20</f>
        <v>236652</v>
      </c>
      <c r="AB22" s="279">
        <f>+AB17-AB19-AB18-AB20</f>
        <v>1837048503.9000001</v>
      </c>
      <c r="AC22" s="605">
        <f>+AC17-AC19-AC18+AC20</f>
        <v>12140.66</v>
      </c>
      <c r="AD22" s="76">
        <f t="shared" ref="AD22" si="20">Z22-X22</f>
        <v>-224511.34</v>
      </c>
      <c r="AE22" s="77">
        <f t="shared" ref="AE22" si="21">IF(X22=0,"",(Z22-X22)/ABS(X22)+1)</f>
        <v>5.1301742643206083E-2</v>
      </c>
      <c r="AF22" s="77">
        <f t="shared" ref="AF22" si="22">IF(Y22=0,"",(Z22-Y22)/ABS(Y22))</f>
        <v>-0.99999339121423614</v>
      </c>
    </row>
    <row r="23" spans="1:34" x14ac:dyDescent="0.25">
      <c r="B23" s="11" t="s">
        <v>103</v>
      </c>
      <c r="C23" s="81" t="s">
        <v>69</v>
      </c>
      <c r="D23" s="83">
        <f>+'VZLA BFS'!D23+'VZLA VIT. bls '!D22+'VZLA Otros BLS'!D23</f>
        <v>0</v>
      </c>
      <c r="E23" s="126" t="e">
        <f t="shared" si="13"/>
        <v>#DIV/0!</v>
      </c>
      <c r="F23" s="83">
        <f>+'VZLA BFS'!F23+'VZLA VIT. bls '!F22+'VZLA Otros BLS'!F23</f>
        <v>2237380788.5799999</v>
      </c>
      <c r="G23" s="126">
        <f t="shared" si="14"/>
        <v>0.34757279581632827</v>
      </c>
      <c r="H23" s="83">
        <f>+'VZLA BFS'!H23+'VZLA VIT. bls '!H22+'VZLA Otros BLS'!H23</f>
        <v>15573.17</v>
      </c>
      <c r="I23" s="127">
        <f t="shared" si="15"/>
        <v>0.7888664316252304</v>
      </c>
      <c r="J23" s="427" t="str">
        <f t="shared" si="6"/>
        <v/>
      </c>
      <c r="K23" s="427">
        <f t="shared" si="7"/>
        <v>-0.99999303955317775</v>
      </c>
      <c r="L23" s="83">
        <f>+'VZLA BFS'!L23+'VZLA VIT. bls '!L22+'VZLA Otros BLS'!L23</f>
        <v>0</v>
      </c>
      <c r="M23" s="126" t="e">
        <f t="shared" si="16"/>
        <v>#DIV/0!</v>
      </c>
      <c r="N23" s="83">
        <f>+'VZLA BFS'!N23+'VZLA VIT. bls '!N22+'VZLA Otros BLS'!N23</f>
        <v>6478515013.4399996</v>
      </c>
      <c r="O23" s="126">
        <f t="shared" si="17"/>
        <v>0.37388565122149903</v>
      </c>
      <c r="P23" s="83">
        <f>+'VZLA BFS'!P23+'VZLA VIT. bls '!P22+'VZLA Otros BLS'!P23</f>
        <v>58493.59</v>
      </c>
      <c r="Q23" s="127">
        <f t="shared" si="18"/>
        <v>0.41418067889598903</v>
      </c>
      <c r="R23" s="128" t="str">
        <f t="shared" si="8"/>
        <v/>
      </c>
      <c r="S23" s="148">
        <f t="shared" si="9"/>
        <v>-0.99999097114232527</v>
      </c>
      <c r="T23" s="448">
        <v>559344</v>
      </c>
      <c r="U23" s="448">
        <v>465412</v>
      </c>
      <c r="V23" s="448">
        <v>516407</v>
      </c>
    </row>
    <row r="24" spans="1:34" x14ac:dyDescent="0.25">
      <c r="A24" s="11" t="s">
        <v>104</v>
      </c>
      <c r="B24" s="11" t="s">
        <v>105</v>
      </c>
      <c r="C24" s="81" t="s">
        <v>71</v>
      </c>
      <c r="D24" s="83">
        <f>+'VZLA BFS'!D24+'VZLA VIT. bls '!D23+'VZLA Otros BLS'!D24</f>
        <v>0</v>
      </c>
      <c r="E24" s="126" t="e">
        <f t="shared" si="13"/>
        <v>#DIV/0!</v>
      </c>
      <c r="F24" s="83">
        <f>+'VZLA BFS'!F24+'VZLA VIT. bls '!F23+'VZLA Otros BLS'!F24</f>
        <v>878520871.48000002</v>
      </c>
      <c r="G24" s="126">
        <f t="shared" si="14"/>
        <v>0.13647652515917841</v>
      </c>
      <c r="H24" s="83">
        <f>+'VZLA BFS'!H24+'VZLA VIT. bls '!H23+'VZLA Otros BLS'!H24</f>
        <v>1990.9</v>
      </c>
      <c r="I24" s="127">
        <f t="shared" si="15"/>
        <v>0.10084999898689036</v>
      </c>
      <c r="J24" s="427" t="str">
        <f t="shared" si="6"/>
        <v/>
      </c>
      <c r="K24" s="427">
        <f t="shared" si="7"/>
        <v>-0.99999773380455192</v>
      </c>
      <c r="L24" s="83">
        <f>+'VZLA BFS'!L24+'VZLA VIT. bls '!L23+'VZLA Otros BLS'!L24</f>
        <v>0</v>
      </c>
      <c r="M24" s="126" t="e">
        <f t="shared" si="16"/>
        <v>#DIV/0!</v>
      </c>
      <c r="N24" s="83">
        <f>+'VZLA BFS'!N24+'VZLA VIT. bls '!N23+'VZLA Otros BLS'!N24</f>
        <v>2969719713.1300001</v>
      </c>
      <c r="O24" s="126">
        <f t="shared" si="17"/>
        <v>0.17138736061975426</v>
      </c>
      <c r="P24" s="83">
        <f>+'VZLA BFS'!P24+'VZLA VIT. bls '!P23+'VZLA Otros BLS'!P24</f>
        <v>11311.939999999999</v>
      </c>
      <c r="Q24" s="127">
        <f t="shared" si="18"/>
        <v>8.0097442964788004E-2</v>
      </c>
      <c r="R24" s="128" t="str">
        <f t="shared" si="8"/>
        <v/>
      </c>
      <c r="S24" s="148">
        <f t="shared" si="9"/>
        <v>-0.99999619090651892</v>
      </c>
      <c r="T24" s="448">
        <f>134499+10</f>
        <v>134509</v>
      </c>
      <c r="U24" s="448">
        <v>112080</v>
      </c>
      <c r="V24" s="448">
        <v>138572</v>
      </c>
      <c r="X24" s="472"/>
      <c r="Y24" s="473"/>
      <c r="Z24" s="472"/>
      <c r="AA24" s="472"/>
      <c r="AB24" s="472"/>
      <c r="AC24" s="472"/>
    </row>
    <row r="25" spans="1:34" x14ac:dyDescent="0.25">
      <c r="B25" s="11"/>
      <c r="C25" s="112" t="s">
        <v>72</v>
      </c>
      <c r="D25" s="117">
        <f>SUM(D23:D24)</f>
        <v>0</v>
      </c>
      <c r="E25" s="113" t="e">
        <f t="shared" si="13"/>
        <v>#DIV/0!</v>
      </c>
      <c r="F25" s="117">
        <f>SUM(F23:F24)</f>
        <v>3115901660.0599999</v>
      </c>
      <c r="G25" s="113">
        <f t="shared" si="14"/>
        <v>0.48404932097550668</v>
      </c>
      <c r="H25" s="117">
        <f>SUM(H23:H24)</f>
        <v>17564.07</v>
      </c>
      <c r="I25" s="115">
        <f t="shared" si="15"/>
        <v>0.8897164306121208</v>
      </c>
      <c r="J25" s="425" t="str">
        <f t="shared" si="6"/>
        <v/>
      </c>
      <c r="K25" s="425">
        <f t="shared" si="7"/>
        <v>-0.99999436308590051</v>
      </c>
      <c r="L25" s="117">
        <f>SUM(L23:L24)</f>
        <v>0</v>
      </c>
      <c r="M25" s="113" t="e">
        <f t="shared" si="16"/>
        <v>#DIV/0!</v>
      </c>
      <c r="N25" s="117">
        <f>SUM(N23:N24)</f>
        <v>9448234726.5699997</v>
      </c>
      <c r="O25" s="113">
        <f t="shared" si="17"/>
        <v>0.54527301184125332</v>
      </c>
      <c r="P25" s="117">
        <f>SUM(P23:P24)</f>
        <v>69805.53</v>
      </c>
      <c r="Q25" s="115">
        <f t="shared" si="18"/>
        <v>0.49427812186077708</v>
      </c>
      <c r="R25" s="116" t="str">
        <f t="shared" si="8"/>
        <v/>
      </c>
      <c r="S25" s="374">
        <f t="shared" si="9"/>
        <v>-0.99999261179130061</v>
      </c>
      <c r="T25" s="448">
        <v>727464</v>
      </c>
      <c r="U25" s="448">
        <v>577492</v>
      </c>
      <c r="V25" s="448">
        <v>654979</v>
      </c>
      <c r="W25" s="474" t="s">
        <v>73</v>
      </c>
      <c r="X25" s="472"/>
      <c r="Y25" s="472"/>
      <c r="Z25" s="472"/>
      <c r="AA25" s="472"/>
      <c r="AB25" s="472"/>
      <c r="AC25" s="472"/>
      <c r="AF25" s="474"/>
    </row>
    <row r="26" spans="1:34" ht="15.75" thickBot="1" x14ac:dyDescent="0.3">
      <c r="B26" s="11"/>
      <c r="C26" s="112" t="s">
        <v>74</v>
      </c>
      <c r="D26" s="117">
        <f>D22+D25</f>
        <v>0</v>
      </c>
      <c r="E26" s="113" t="e">
        <f t="shared" si="13"/>
        <v>#DIV/0!</v>
      </c>
      <c r="F26" s="117">
        <f>+F22+F25</f>
        <v>4696183541.1000004</v>
      </c>
      <c r="G26" s="113">
        <f t="shared" si="14"/>
        <v>0.72954306722312701</v>
      </c>
      <c r="H26" s="117">
        <f>H22+H25</f>
        <v>20201.22</v>
      </c>
      <c r="I26" s="115">
        <f t="shared" si="15"/>
        <v>1.0233025348003162</v>
      </c>
      <c r="J26" s="425" t="str">
        <f t="shared" si="6"/>
        <v/>
      </c>
      <c r="K26" s="425">
        <f t="shared" si="7"/>
        <v>-0.99999569837511171</v>
      </c>
      <c r="L26" s="117">
        <f>L22+L25</f>
        <v>0</v>
      </c>
      <c r="M26" s="113" t="e">
        <f t="shared" si="16"/>
        <v>#DIV/0!</v>
      </c>
      <c r="N26" s="117">
        <f>N22+N25</f>
        <v>13589514540</v>
      </c>
      <c r="O26" s="113">
        <f t="shared" si="17"/>
        <v>0.78427301365070556</v>
      </c>
      <c r="P26" s="117">
        <f>P22+P25</f>
        <v>87331.7</v>
      </c>
      <c r="Q26" s="115">
        <f t="shared" si="18"/>
        <v>0.61837720671856267</v>
      </c>
      <c r="R26" s="116" t="str">
        <f t="shared" si="8"/>
        <v/>
      </c>
      <c r="S26" s="374">
        <f t="shared" si="9"/>
        <v>-0.99999357359677976</v>
      </c>
      <c r="T26" s="448">
        <v>1412072</v>
      </c>
      <c r="U26" s="448">
        <v>900368</v>
      </c>
      <c r="V26" s="448">
        <v>1170135</v>
      </c>
      <c r="X26" s="472"/>
      <c r="Y26" s="472"/>
      <c r="Z26" s="472"/>
      <c r="AA26" s="472"/>
      <c r="AB26" s="472"/>
      <c r="AC26" s="472"/>
    </row>
    <row r="27" spans="1:34" ht="15.75" thickBot="1" x14ac:dyDescent="0.3">
      <c r="B27" s="11"/>
      <c r="C27" s="73" t="s">
        <v>75</v>
      </c>
      <c r="D27" s="141">
        <f>D19-D26</f>
        <v>0</v>
      </c>
      <c r="E27" s="142" t="e">
        <f t="shared" si="13"/>
        <v>#DIV/0!</v>
      </c>
      <c r="F27" s="141">
        <f>+F19-F26</f>
        <v>1740973841.5</v>
      </c>
      <c r="G27" s="142">
        <f t="shared" si="14"/>
        <v>0.27045693277687299</v>
      </c>
      <c r="H27" s="141">
        <f>H19-H26</f>
        <v>-460.02000000000044</v>
      </c>
      <c r="I27" s="143">
        <f t="shared" si="15"/>
        <v>-2.3302534800316112E-2</v>
      </c>
      <c r="J27" s="435" t="str">
        <f t="shared" si="6"/>
        <v/>
      </c>
      <c r="K27" s="435">
        <f t="shared" si="7"/>
        <v>-1.0000002642314256</v>
      </c>
      <c r="L27" s="141">
        <f>L19-L26</f>
        <v>0</v>
      </c>
      <c r="M27" s="142" t="e">
        <f t="shared" si="16"/>
        <v>#DIV/0!</v>
      </c>
      <c r="N27" s="141">
        <f>N19-N26</f>
        <v>3738015928.9400024</v>
      </c>
      <c r="O27" s="142">
        <f t="shared" si="17"/>
        <v>0.21572698634929438</v>
      </c>
      <c r="P27" s="141">
        <f>P19-P26</f>
        <v>-721.52999999998428</v>
      </c>
      <c r="Q27" s="145">
        <f t="shared" si="18"/>
        <v>-5.1090005801288051E-3</v>
      </c>
      <c r="R27" s="146" t="str">
        <f t="shared" si="8"/>
        <v/>
      </c>
      <c r="S27" s="146">
        <f t="shared" si="9"/>
        <v>-1.0000001930248597</v>
      </c>
      <c r="T27" s="448">
        <v>-112673.8997500001</v>
      </c>
      <c r="U27" s="448">
        <v>99787</v>
      </c>
      <c r="V27" s="448">
        <v>367865.5120000001</v>
      </c>
    </row>
    <row r="28" spans="1:34" x14ac:dyDescent="0.25">
      <c r="B28" s="11" t="s">
        <v>106</v>
      </c>
      <c r="C28" s="81" t="s">
        <v>76</v>
      </c>
      <c r="D28" s="83"/>
      <c r="E28" s="126" t="e">
        <f t="shared" si="13"/>
        <v>#DIV/0!</v>
      </c>
      <c r="F28" s="83">
        <f>+'VZLA BFS'!F28+'VZLA VIT. bls '!F27+'VZLA Otros BLS'!F28</f>
        <v>0</v>
      </c>
      <c r="G28" s="126">
        <f t="shared" si="14"/>
        <v>0</v>
      </c>
      <c r="H28" s="83">
        <f>+'VZLA BFS'!H28+'VZLA VIT. bls '!H27+'VZLA Otros BLS'!H28</f>
        <v>0</v>
      </c>
      <c r="I28" s="127">
        <f t="shared" si="15"/>
        <v>0</v>
      </c>
      <c r="J28" s="427" t="str">
        <f t="shared" si="6"/>
        <v/>
      </c>
      <c r="K28" s="427"/>
      <c r="L28" s="83">
        <f>+'VZLA BFS'!L28+'VZLA VIT. bls '!L27+'VZLA Otros BLS'!L28</f>
        <v>0</v>
      </c>
      <c r="M28" s="126" t="e">
        <f>+L28/$L$17</f>
        <v>#DIV/0!</v>
      </c>
      <c r="N28" s="83">
        <f>+'VZLA BFS'!N28+'VZLA VIT. bls '!N27+'VZLA Otros BLS'!N28</f>
        <v>0</v>
      </c>
      <c r="O28" s="126">
        <f>+N28/$N$17</f>
        <v>0</v>
      </c>
      <c r="P28" s="83">
        <f>+'VZLA BFS'!P28+'VZLA VIT. bls '!P27+'VZLA Otros BLS'!P28</f>
        <v>0</v>
      </c>
      <c r="Q28" s="127">
        <f t="shared" si="18"/>
        <v>0</v>
      </c>
      <c r="R28" s="148" t="str">
        <f>IF(L28=0,"",(P28-L28)/ABS(L28)+1)</f>
        <v/>
      </c>
      <c r="S28" s="148" t="str">
        <f>IF(N28=0,"",(P28-N28)/ABS(N28))</f>
        <v/>
      </c>
      <c r="T28" s="448">
        <v>0</v>
      </c>
      <c r="U28" s="448">
        <v>-2238</v>
      </c>
      <c r="V28" s="448">
        <v>1940</v>
      </c>
    </row>
    <row r="29" spans="1:34" ht="15.75" thickBot="1" x14ac:dyDescent="0.3">
      <c r="B29" s="11" t="s">
        <v>107</v>
      </c>
      <c r="C29" s="81" t="s">
        <v>77</v>
      </c>
      <c r="D29" s="83"/>
      <c r="E29" s="126" t="e">
        <f t="shared" si="13"/>
        <v>#DIV/0!</v>
      </c>
      <c r="F29" s="83">
        <f>+'VZLA BFS'!F29+'VZLA VIT. bls '!F28+'VZLA Otros BLS'!F29</f>
        <v>77461853.019999996</v>
      </c>
      <c r="G29" s="126">
        <f t="shared" si="14"/>
        <v>1.2033549658018889E-2</v>
      </c>
      <c r="H29" s="83">
        <f>+'VZLA BFS'!H29+'VZLA VIT. bls '!H28+'VZLA Otros BLS'!H29</f>
        <v>285</v>
      </c>
      <c r="I29" s="127">
        <f t="shared" si="15"/>
        <v>1.4436812351832714E-2</v>
      </c>
      <c r="J29" s="427" t="str">
        <f t="shared" si="6"/>
        <v/>
      </c>
      <c r="K29" s="427">
        <f t="shared" si="7"/>
        <v>-0.99999632076965772</v>
      </c>
      <c r="L29" s="83">
        <f>+'VZLA BFS'!L29+'VZLA VIT. bls '!L28+'VZLA Otros BLS'!L29</f>
        <v>0</v>
      </c>
      <c r="M29" s="126" t="e">
        <f>+L29/$L$17</f>
        <v>#DIV/0!</v>
      </c>
      <c r="N29" s="83">
        <f>+'VZLA BFS'!N29+'VZLA VIT. bls '!N28+'VZLA Otros BLS'!N29</f>
        <v>222594517.43000001</v>
      </c>
      <c r="O29" s="126">
        <f>+N29/$N$17</f>
        <v>1.2846292080051789E-2</v>
      </c>
      <c r="P29" s="83">
        <f>+'VZLA BFS'!P29+'VZLA VIT. bls '!P28+'VZLA Otros BLS'!P29</f>
        <v>2562.06</v>
      </c>
      <c r="Q29" s="127">
        <f t="shared" si="18"/>
        <v>1.8141402334379848E-2</v>
      </c>
      <c r="R29" s="148" t="str">
        <f>IF(L29=0,"",(P29-L29)/ABS(L29)+1)</f>
        <v/>
      </c>
      <c r="S29" s="148">
        <f>IF(N29=0,"",(P29-N29)/ABS(N29))</f>
        <v>-0.99998849001300849</v>
      </c>
      <c r="T29" s="448">
        <v>0</v>
      </c>
      <c r="U29" s="448"/>
      <c r="V29" s="448">
        <f>7334-23</f>
        <v>7311</v>
      </c>
    </row>
    <row r="30" spans="1:34" ht="15.75" thickBot="1" x14ac:dyDescent="0.3">
      <c r="B30" s="11"/>
      <c r="C30" s="73" t="s">
        <v>78</v>
      </c>
      <c r="D30" s="141">
        <f>D27+D28-D29</f>
        <v>0</v>
      </c>
      <c r="E30" s="142" t="e">
        <f t="shared" si="13"/>
        <v>#DIV/0!</v>
      </c>
      <c r="F30" s="141">
        <f>+F27+F28-F29</f>
        <v>1663511988.48</v>
      </c>
      <c r="G30" s="142">
        <f t="shared" si="14"/>
        <v>0.2584233831188541</v>
      </c>
      <c r="H30" s="141">
        <f>H27+H28-H29</f>
        <v>-745.02000000000044</v>
      </c>
      <c r="I30" s="143">
        <f t="shared" si="15"/>
        <v>-3.7739347152148828E-2</v>
      </c>
      <c r="J30" s="435" t="str">
        <f t="shared" si="6"/>
        <v/>
      </c>
      <c r="K30" s="435">
        <f t="shared" si="7"/>
        <v>-1.000000447859712</v>
      </c>
      <c r="L30" s="141">
        <f>L27+L28-L29</f>
        <v>0</v>
      </c>
      <c r="M30" s="142" t="e">
        <f t="shared" si="16"/>
        <v>#DIV/0!</v>
      </c>
      <c r="N30" s="141">
        <f>N27+N28-N29</f>
        <v>3515421411.5100026</v>
      </c>
      <c r="O30" s="142">
        <f t="shared" si="17"/>
        <v>0.2028806942692426</v>
      </c>
      <c r="P30" s="141">
        <f>P27+P28-P29</f>
        <v>-3283.5899999999842</v>
      </c>
      <c r="Q30" s="143">
        <f t="shared" si="18"/>
        <v>-2.3250402914508653E-2</v>
      </c>
      <c r="R30" s="144" t="str">
        <f t="shared" si="8"/>
        <v/>
      </c>
      <c r="S30" s="146">
        <f t="shared" si="9"/>
        <v>-1.000000934053024</v>
      </c>
      <c r="T30" s="448">
        <v>-112673.8997500001</v>
      </c>
      <c r="U30" s="448">
        <v>97549</v>
      </c>
      <c r="V30" s="448">
        <v>362481.5120000001</v>
      </c>
    </row>
    <row r="31" spans="1:34" ht="15.75" thickBot="1" x14ac:dyDescent="0.3">
      <c r="B31" s="11" t="s">
        <v>108</v>
      </c>
      <c r="C31" s="81" t="s">
        <v>62</v>
      </c>
      <c r="D31" s="117">
        <f>+'VZLA BFS'!D31+'VZLA VIT. bls '!D30+'VZLA Otros BLS'!D31</f>
        <v>0</v>
      </c>
      <c r="E31" s="436" t="e">
        <f t="shared" si="13"/>
        <v>#DIV/0!</v>
      </c>
      <c r="F31" s="117">
        <f>+'VZLA BFS'!F31+'VZLA VIT. bls '!F30+'VZLA Otros BLS'!F31</f>
        <v>0</v>
      </c>
      <c r="G31" s="436">
        <f t="shared" si="14"/>
        <v>0</v>
      </c>
      <c r="H31" s="117">
        <f>+'VZLA BFS'!H31+'VZLA VIT. bls '!H30+'VZLA Otros BLS'!H31</f>
        <v>0</v>
      </c>
      <c r="I31" s="437">
        <f t="shared" si="15"/>
        <v>0</v>
      </c>
      <c r="J31" s="438" t="str">
        <f t="shared" si="6"/>
        <v/>
      </c>
      <c r="K31" s="438" t="str">
        <f t="shared" si="7"/>
        <v/>
      </c>
      <c r="L31" s="83">
        <f>+'VZLA BFS'!L31+'VZLA VIT. bls '!L30+'VZLA Otros BLS'!L31</f>
        <v>0</v>
      </c>
      <c r="M31" s="436" t="e">
        <f t="shared" si="16"/>
        <v>#DIV/0!</v>
      </c>
      <c r="N31" s="117">
        <f>+'VZLA BFS'!N31+'VZLA VIT. bls '!N30+'VZLA Otros BLS'!N31</f>
        <v>19797676.789999999</v>
      </c>
      <c r="O31" s="436">
        <f t="shared" si="17"/>
        <v>1.1425561666440461E-3</v>
      </c>
      <c r="P31" s="83">
        <f>+'VZLA BFS'!P31+'VZLA VIT. bls '!P30+'VZLA Otros BLS'!P31</f>
        <v>0</v>
      </c>
      <c r="Q31" s="437">
        <f t="shared" si="18"/>
        <v>0</v>
      </c>
      <c r="R31" s="439" t="str">
        <f t="shared" si="8"/>
        <v/>
      </c>
      <c r="S31" s="439">
        <f t="shared" si="9"/>
        <v>-1</v>
      </c>
      <c r="T31" s="448">
        <v>-19632</v>
      </c>
      <c r="U31" s="448">
        <v>33166.660000000003</v>
      </c>
      <c r="V31" s="448"/>
    </row>
    <row r="32" spans="1:34" ht="15.75" thickBot="1" x14ac:dyDescent="0.3">
      <c r="B32" s="11"/>
      <c r="C32" s="73" t="s">
        <v>79</v>
      </c>
      <c r="D32" s="141">
        <f>D30-D31</f>
        <v>0</v>
      </c>
      <c r="E32" s="142" t="e">
        <f t="shared" si="13"/>
        <v>#DIV/0!</v>
      </c>
      <c r="F32" s="141">
        <f>F30-F31</f>
        <v>1663511988.48</v>
      </c>
      <c r="G32" s="142">
        <f t="shared" si="14"/>
        <v>0.2584233831188541</v>
      </c>
      <c r="H32" s="141">
        <f>+H30-H31</f>
        <v>-745.02000000000044</v>
      </c>
      <c r="I32" s="143">
        <f t="shared" si="15"/>
        <v>-3.7739347152148828E-2</v>
      </c>
      <c r="J32" s="435" t="str">
        <f t="shared" si="6"/>
        <v/>
      </c>
      <c r="K32" s="435">
        <f t="shared" si="7"/>
        <v>-1.000000447859712</v>
      </c>
      <c r="L32" s="141">
        <f>L30-L31</f>
        <v>0</v>
      </c>
      <c r="M32" s="142" t="e">
        <f t="shared" si="16"/>
        <v>#DIV/0!</v>
      </c>
      <c r="N32" s="141">
        <f>N30-N31</f>
        <v>3495623734.7200027</v>
      </c>
      <c r="O32" s="142">
        <f>+N32/$N$17</f>
        <v>0.20173813810259855</v>
      </c>
      <c r="P32" s="141">
        <f>P30-P31</f>
        <v>-3283.5899999999842</v>
      </c>
      <c r="Q32" s="143">
        <f t="shared" si="18"/>
        <v>-2.3250402914508653E-2</v>
      </c>
      <c r="R32" s="144" t="str">
        <f t="shared" si="8"/>
        <v/>
      </c>
      <c r="S32" s="146">
        <f t="shared" si="9"/>
        <v>-1.00000093934309</v>
      </c>
      <c r="T32" s="448">
        <v>-74364.773835000058</v>
      </c>
      <c r="U32" s="448">
        <v>64382.34</v>
      </c>
      <c r="V32" s="448">
        <v>239237.79792000004</v>
      </c>
    </row>
    <row r="33" spans="2:22" ht="15.75" thickBot="1" x14ac:dyDescent="0.3">
      <c r="B33" s="11"/>
      <c r="C33" s="73" t="s">
        <v>81</v>
      </c>
      <c r="D33" s="141">
        <f>+'VZLA BFS'!D33+'VZLA VIT. bls '!D32+'VZLA Otros BLS'!D33</f>
        <v>0</v>
      </c>
      <c r="E33" s="142" t="e">
        <f t="shared" si="13"/>
        <v>#DIV/0!</v>
      </c>
      <c r="F33" s="141">
        <f>+'VZLA BFS'!F33+'VZLA VIT. bls '!F32+'VZLA Otros BLS'!F33</f>
        <v>1663511988.48</v>
      </c>
      <c r="G33" s="142">
        <f t="shared" si="14"/>
        <v>0.2584233831188541</v>
      </c>
      <c r="H33" s="141">
        <f>+'VZLA BFS'!H33+'VZLA VIT. bls '!H32+'VZLA Otros BLS'!H33</f>
        <v>-745.02000000000044</v>
      </c>
      <c r="I33" s="143">
        <f t="shared" si="15"/>
        <v>-3.7739347152148828E-2</v>
      </c>
      <c r="J33" s="435" t="str">
        <f t="shared" si="6"/>
        <v/>
      </c>
      <c r="K33" s="435">
        <f t="shared" si="7"/>
        <v>-1.000000447859712</v>
      </c>
      <c r="L33" s="141">
        <f>+'VZLA BFS'!L33+'VZLA VIT. bls '!L32+'VZLA Otros BLS'!L33</f>
        <v>0</v>
      </c>
      <c r="M33" s="142" t="e">
        <f t="shared" si="16"/>
        <v>#DIV/0!</v>
      </c>
      <c r="N33" s="141">
        <f>+'VZLA BFS'!N33+'VZLA VIT. bls '!N32+'VZLA Otros BLS'!N33</f>
        <v>3495623734.7200027</v>
      </c>
      <c r="O33" s="142">
        <f>+N33/$N$17</f>
        <v>0.20173813810259855</v>
      </c>
      <c r="P33" s="141">
        <f>+'VZLA BFS'!P33+'VZLA VIT. bls '!P32+'VZLA Otros BLS'!P33</f>
        <v>-3283.5899999999842</v>
      </c>
      <c r="Q33" s="143">
        <f t="shared" si="18"/>
        <v>-2.3250402914508653E-2</v>
      </c>
      <c r="R33" s="144" t="str">
        <f t="shared" si="8"/>
        <v/>
      </c>
      <c r="S33" s="146">
        <f t="shared" si="9"/>
        <v>-1.00000093934309</v>
      </c>
      <c r="T33" s="448">
        <v>27414</v>
      </c>
      <c r="U33" s="448">
        <f>151353+2238</f>
        <v>153591</v>
      </c>
      <c r="V33" s="448">
        <v>397406</v>
      </c>
    </row>
    <row r="34" spans="2:22" ht="15.75" thickBot="1" x14ac:dyDescent="0.3">
      <c r="B34" s="11" t="s">
        <v>109</v>
      </c>
      <c r="C34" s="153" t="s">
        <v>45</v>
      </c>
      <c r="D34" s="158">
        <f>+'VZLA BFS'!D34+'VZLA VIT. bls '!D33+'VZLA Otros BLS'!D34</f>
        <v>0</v>
      </c>
      <c r="E34" s="155" t="e">
        <f t="shared" si="13"/>
        <v>#DIV/0!</v>
      </c>
      <c r="F34" s="158">
        <f>+'VZLA BFS'!F34+'VZLA VIT. bls '!F33+'VZLA Otros BLS'!F34</f>
        <v>1008875316.26</v>
      </c>
      <c r="G34" s="155">
        <f t="shared" si="14"/>
        <v>0.15672683706429905</v>
      </c>
      <c r="H34" s="158">
        <f>+'VZLA BFS'!H34+'VZLA VIT. bls '!H33+'VZLA Otros BLS'!H34</f>
        <v>11187.17</v>
      </c>
      <c r="I34" s="156">
        <f t="shared" si="15"/>
        <v>0.56669148785281542</v>
      </c>
      <c r="J34" s="479" t="str">
        <f t="shared" si="6"/>
        <v/>
      </c>
      <c r="K34" s="479">
        <f t="shared" si="7"/>
        <v>-0.99998891124619693</v>
      </c>
      <c r="L34" s="158">
        <f>+'VZLA BFS'!L34+'VZLA VIT. bls '!L33+'VZLA Otros BLS'!L34</f>
        <v>0</v>
      </c>
      <c r="M34" s="155" t="e">
        <f t="shared" si="16"/>
        <v>#DIV/0!</v>
      </c>
      <c r="N34" s="158">
        <f>+'VZLA BFS'!N34+'VZLA VIT. bls '!N33+'VZLA Otros BLS'!N34</f>
        <v>3674357952.3200002</v>
      </c>
      <c r="O34" s="155">
        <f>+N34/$N$17</f>
        <v>0.2120531808561163</v>
      </c>
      <c r="P34" s="158">
        <f>+'VZLA BFS'!P34+'VZLA VIT. bls '!P33+'VZLA Otros BLS'!P34</f>
        <v>41264.71</v>
      </c>
      <c r="Q34" s="159">
        <f t="shared" si="18"/>
        <v>0.29218664134388245</v>
      </c>
      <c r="R34" s="160" t="str">
        <f t="shared" si="8"/>
        <v/>
      </c>
      <c r="S34" s="160">
        <f t="shared" si="9"/>
        <v>-0.99998876954544558</v>
      </c>
      <c r="T34" s="448">
        <v>550333</v>
      </c>
      <c r="U34" s="448">
        <f>285769+15000-789</f>
        <v>299980</v>
      </c>
      <c r="V34" s="448">
        <v>547719</v>
      </c>
    </row>
    <row r="35" spans="2:22" s="606" customFormat="1" x14ac:dyDescent="0.25">
      <c r="C35" s="607"/>
      <c r="D35" s="87">
        <f>+'VZLA BFS'!D32+'VZLA VIT. bls '!D31+'VZLA Otros BLS'!D32</f>
        <v>0</v>
      </c>
      <c r="E35" s="87"/>
      <c r="F35" s="87"/>
      <c r="G35" s="608"/>
      <c r="H35" s="608"/>
      <c r="I35" s="608"/>
      <c r="J35" s="608"/>
      <c r="K35" s="608"/>
      <c r="L35" s="608"/>
      <c r="M35" s="608"/>
      <c r="N35" s="608"/>
      <c r="O35" s="608"/>
      <c r="P35" s="608"/>
      <c r="Q35" s="608"/>
      <c r="S35" s="608"/>
      <c r="T35" s="609"/>
      <c r="U35" s="609"/>
      <c r="V35" s="610"/>
    </row>
    <row r="36" spans="2:22" s="606" customFormat="1" x14ac:dyDescent="0.25">
      <c r="D36" s="87"/>
      <c r="E36" s="87"/>
      <c r="F36" s="87"/>
      <c r="G36" s="608"/>
      <c r="H36" s="608"/>
      <c r="I36" s="608"/>
      <c r="J36" s="608"/>
      <c r="K36" s="608"/>
      <c r="L36" s="608"/>
      <c r="M36" s="608"/>
      <c r="N36" s="608"/>
      <c r="O36" s="608"/>
      <c r="P36" s="608"/>
      <c r="Q36" s="608"/>
      <c r="S36" s="608"/>
      <c r="T36" s="609"/>
      <c r="U36" s="609"/>
      <c r="V36" s="610"/>
    </row>
    <row r="37" spans="2:22" s="606" customFormat="1" x14ac:dyDescent="0.25">
      <c r="C37" s="606" t="s">
        <v>177</v>
      </c>
      <c r="D37" s="87"/>
      <c r="E37" s="87"/>
      <c r="F37" s="87"/>
      <c r="G37" s="608"/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T37" s="609"/>
      <c r="U37" s="609"/>
      <c r="V37" s="610"/>
    </row>
    <row r="38" spans="2:22" s="606" customFormat="1" x14ac:dyDescent="0.25">
      <c r="D38" s="608"/>
      <c r="E38" s="608"/>
      <c r="F38" s="608"/>
      <c r="G38" s="608"/>
      <c r="H38" s="608"/>
      <c r="I38" s="608"/>
      <c r="J38" s="608"/>
      <c r="K38" s="608"/>
      <c r="L38" s="608"/>
      <c r="N38" s="608"/>
      <c r="P38" s="608"/>
      <c r="T38" s="610"/>
      <c r="U38" s="610"/>
      <c r="V38" s="610"/>
    </row>
    <row r="39" spans="2:22" s="606" customFormat="1" x14ac:dyDescent="0.25">
      <c r="D39" s="608"/>
      <c r="E39" s="608"/>
      <c r="F39" s="608"/>
      <c r="G39" s="608"/>
      <c r="H39" s="608"/>
      <c r="I39" s="608"/>
      <c r="J39" s="608"/>
      <c r="K39" s="608"/>
      <c r="L39" s="608"/>
      <c r="N39" s="608"/>
      <c r="P39" s="608"/>
      <c r="T39" s="610"/>
      <c r="U39" s="610"/>
      <c r="V39" s="610"/>
    </row>
    <row r="40" spans="2:22" s="606" customFormat="1" x14ac:dyDescent="0.25">
      <c r="D40" s="608"/>
      <c r="E40" s="608"/>
      <c r="F40" s="608"/>
      <c r="G40" s="608"/>
      <c r="H40" s="608"/>
      <c r="I40" s="608"/>
      <c r="J40" s="608"/>
      <c r="K40" s="608"/>
      <c r="L40" s="608"/>
      <c r="M40" s="608"/>
      <c r="N40" s="608"/>
      <c r="P40" s="608"/>
      <c r="T40" s="610"/>
      <c r="U40" s="610"/>
      <c r="V40" s="610"/>
    </row>
    <row r="41" spans="2:22" s="401" customFormat="1" x14ac:dyDescent="0.25">
      <c r="D41" s="611"/>
      <c r="E41" s="611"/>
      <c r="F41" s="611"/>
      <c r="G41" s="611"/>
      <c r="H41" s="611"/>
      <c r="I41" s="611"/>
      <c r="J41" s="611"/>
      <c r="K41" s="611"/>
      <c r="L41" s="611"/>
      <c r="M41" s="611"/>
      <c r="N41" s="140"/>
      <c r="P41" s="611"/>
      <c r="V41" s="612"/>
    </row>
    <row r="42" spans="2:22" s="401" customFormat="1" x14ac:dyDescent="0.25">
      <c r="D42" s="611"/>
      <c r="E42" s="611"/>
      <c r="F42" s="611"/>
      <c r="G42" s="611"/>
      <c r="H42" s="611"/>
      <c r="I42" s="611"/>
      <c r="J42" s="611"/>
      <c r="K42" s="611"/>
      <c r="L42" s="611"/>
      <c r="M42" s="611"/>
      <c r="N42" s="140"/>
      <c r="P42" s="611"/>
      <c r="V42" s="612"/>
    </row>
    <row r="43" spans="2:22" s="401" customFormat="1" x14ac:dyDescent="0.25">
      <c r="D43" s="611"/>
      <c r="E43" s="611"/>
      <c r="F43" s="611"/>
      <c r="G43" s="611"/>
      <c r="H43" s="611"/>
      <c r="I43" s="611"/>
      <c r="J43" s="611"/>
      <c r="K43" s="611"/>
      <c r="L43" s="611"/>
      <c r="M43" s="611"/>
      <c r="N43" s="140"/>
      <c r="P43" s="611"/>
      <c r="V43" s="612"/>
    </row>
    <row r="44" spans="2:22" s="15" customFormat="1" x14ac:dyDescent="0.25">
      <c r="B44" s="15" t="s">
        <v>82</v>
      </c>
      <c r="D44" s="232"/>
      <c r="E44" s="232"/>
      <c r="G44" s="232"/>
      <c r="H44" s="79"/>
      <c r="I44" s="232"/>
      <c r="J44" s="232"/>
      <c r="K44" s="232"/>
      <c r="L44" s="79"/>
      <c r="M44" s="232"/>
      <c r="N44" s="140"/>
      <c r="O44" s="232"/>
      <c r="P44" s="232"/>
      <c r="V44" s="178"/>
    </row>
    <row r="46" spans="2:22" x14ac:dyDescent="0.25">
      <c r="N46" s="78"/>
    </row>
    <row r="48" spans="2:22" x14ac:dyDescent="0.25">
      <c r="F48" s="304"/>
    </row>
  </sheetData>
  <mergeCells count="13">
    <mergeCell ref="AA6:AC6"/>
    <mergeCell ref="D5:E5"/>
    <mergeCell ref="F5:G5"/>
    <mergeCell ref="H5:I5"/>
    <mergeCell ref="L5:M5"/>
    <mergeCell ref="N5:O5"/>
    <mergeCell ref="P5:Q5"/>
    <mergeCell ref="C3:S3"/>
    <mergeCell ref="W3:AF3"/>
    <mergeCell ref="D4:K4"/>
    <mergeCell ref="L4:S4"/>
    <mergeCell ref="X4:Z4"/>
    <mergeCell ref="AA4:AC4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COLOMB$ </vt:lpstr>
      <vt:lpstr>PROY SAT$</vt:lpstr>
      <vt:lpstr>COL. CONS.$</vt:lpstr>
      <vt:lpstr>COLOMBIA USD</vt:lpstr>
      <vt:lpstr>EL SALVADOR USD</vt:lpstr>
      <vt:lpstr>VZLA BFS</vt:lpstr>
      <vt:lpstr>VZLA VIT. bls </vt:lpstr>
      <vt:lpstr>VZLA Otros BLS</vt:lpstr>
      <vt:lpstr>VZLA CONS .BL </vt:lpstr>
      <vt:lpstr>VENEZUELA USD</vt:lpstr>
      <vt:lpstr>PANAMA USD</vt:lpstr>
      <vt:lpstr>CONSOLIDADO</vt:lpstr>
      <vt:lpstr>ctas</vt:lpstr>
      <vt:lpstr>b2w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Gutierrez Rodriguez</dc:creator>
  <cp:lastModifiedBy>Robert Gutierrez</cp:lastModifiedBy>
  <dcterms:created xsi:type="dcterms:W3CDTF">2022-06-15T16:54:18Z</dcterms:created>
  <dcterms:modified xsi:type="dcterms:W3CDTF">2022-06-15T18:28:20Z</dcterms:modified>
</cp:coreProperties>
</file>