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sicar-my.sharepoint.com/personal/robert_gutierrez_musicar_onmicrosoft_com/Documents/Musicar/Documents/Informes de Junta/2022/Consolidados/"/>
    </mc:Choice>
  </mc:AlternateContent>
  <xr:revisionPtr revIDLastSave="3" documentId="8_{3AFC4532-70B0-4E06-8246-20C38EDFF660}" xr6:coauthVersionLast="47" xr6:coauthVersionMax="47" xr10:uidLastSave="{AD86D1E2-32A1-40BD-814E-47EBEDD03308}"/>
  <bookViews>
    <workbookView xWindow="-120" yWindow="-120" windowWidth="20730" windowHeight="11160" activeTab="2" xr2:uid="{E3779BB3-3668-46B5-8024-30EFA989EAEA}"/>
  </bookViews>
  <sheets>
    <sheet name="COLOMB$ " sheetId="2" r:id="rId1"/>
    <sheet name="PROY SAT$" sheetId="3" r:id="rId2"/>
    <sheet name="COL. CONS.$" sheetId="4" r:id="rId3"/>
    <sheet name="COLOMBIA USD" sheetId="5" r:id="rId4"/>
    <sheet name="EL SALVADOR USD" sheetId="6" r:id="rId5"/>
    <sheet name="VZLA BFS" sheetId="7" r:id="rId6"/>
    <sheet name="VZLA VIT. bls " sheetId="8" r:id="rId7"/>
    <sheet name="VZLA Otros BLS" sheetId="9" r:id="rId8"/>
    <sheet name="VZLA CONS .BL " sheetId="10" r:id="rId9"/>
    <sheet name="VENEZUELA USD" sheetId="11" r:id="rId10"/>
    <sheet name="PANAMA USD" sheetId="12" r:id="rId11"/>
    <sheet name="CONSOLIDADO" sheetId="13" r:id="rId12"/>
    <sheet name="ctas" sheetId="14" r:id="rId13"/>
  </sheets>
  <externalReferences>
    <externalReference r:id="rId14"/>
  </externalReferences>
  <definedNames>
    <definedName name="__BIA_0237574" localSheetId="12" hidden="1">[1]!Consulta(11,"Presupuesto por Cuenta","Zoom","Cuenta","IN",ctas!$A$187:$A$222,"Periodo","=",201605)</definedName>
    <definedName name="__BIA_4422336" localSheetId="12" hidden="1">"-"</definedName>
    <definedName name="__BIA_4423615" localSheetId="12" hidden="1">"-"</definedName>
    <definedName name="__BIA_8159523" localSheetId="12" hidden="1">[1]!Consulta(4,"Presupuesto por flujo de efectivo","Zoom","Periodo","=",201909,"Cpto Flujo de Efectivo","IN",ctas!$A$544:$A$552)</definedName>
    <definedName name="b2w">'COLOMB$ '!$F$2</definedName>
  </definedNames>
  <calcPr calcId="191029"/>
  <pivotCaches>
    <pivotCache cacheId="2" r:id="rId15"/>
    <pivotCache cacheId="1" r:id="rId16"/>
    <pivotCache cacheId="0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9" i="14" l="1"/>
  <c r="AL25" i="13"/>
  <c r="AL24" i="13"/>
  <c r="AL23" i="13"/>
  <c r="AL16" i="13"/>
  <c r="AF16" i="13"/>
  <c r="W6" i="13"/>
  <c r="H5" i="13"/>
  <c r="P5" i="13" s="1"/>
  <c r="Z5" i="13" s="1"/>
  <c r="F5" i="13"/>
  <c r="Y5" i="13" s="1"/>
  <c r="AB5" i="13" s="1"/>
  <c r="D5" i="13"/>
  <c r="X5" i="13" s="1"/>
  <c r="AA5" i="13" s="1"/>
  <c r="X4" i="13"/>
  <c r="W3" i="13"/>
  <c r="H2" i="13"/>
  <c r="F2" i="13"/>
  <c r="N2" i="13" s="1"/>
  <c r="D2" i="13"/>
  <c r="P2" i="13" s="1"/>
  <c r="S34" i="12"/>
  <c r="R34" i="12"/>
  <c r="K34" i="12"/>
  <c r="J34" i="12"/>
  <c r="G34" i="12"/>
  <c r="N31" i="12"/>
  <c r="S31" i="12" s="1"/>
  <c r="L31" i="12"/>
  <c r="R31" i="12" s="1"/>
  <c r="K31" i="12"/>
  <c r="J31" i="12"/>
  <c r="G31" i="12"/>
  <c r="D28" i="12"/>
  <c r="J28" i="12" s="1"/>
  <c r="R23" i="12"/>
  <c r="P23" i="12"/>
  <c r="N23" i="12"/>
  <c r="K23" i="12"/>
  <c r="G23" i="12"/>
  <c r="D23" i="12"/>
  <c r="R22" i="12"/>
  <c r="H22" i="12"/>
  <c r="G22" i="12"/>
  <c r="F22" i="12"/>
  <c r="N22" i="12" s="1"/>
  <c r="S21" i="12"/>
  <c r="R21" i="12"/>
  <c r="P21" i="12"/>
  <c r="K21" i="12"/>
  <c r="G21" i="12"/>
  <c r="D21" i="12"/>
  <c r="E21" i="12" s="1"/>
  <c r="AF20" i="12"/>
  <c r="AE20" i="12"/>
  <c r="AC20" i="12"/>
  <c r="AD20" i="12" s="1"/>
  <c r="AA20" i="12"/>
  <c r="S20" i="12"/>
  <c r="R20" i="12"/>
  <c r="P20" i="12"/>
  <c r="K20" i="12"/>
  <c r="G20" i="12"/>
  <c r="D20" i="12"/>
  <c r="AF19" i="12"/>
  <c r="AC19" i="12"/>
  <c r="AA19" i="12"/>
  <c r="AE19" i="12" s="1"/>
  <c r="AF18" i="12"/>
  <c r="AE18" i="12"/>
  <c r="AD18" i="12"/>
  <c r="AC18" i="12"/>
  <c r="AA18" i="12"/>
  <c r="S18" i="12"/>
  <c r="R18" i="12"/>
  <c r="P18" i="12"/>
  <c r="O18" i="12"/>
  <c r="K18" i="12"/>
  <c r="J18" i="12"/>
  <c r="G18" i="12"/>
  <c r="S17" i="12"/>
  <c r="N17" i="12"/>
  <c r="O34" i="12" s="1"/>
  <c r="K17" i="12"/>
  <c r="I17" i="12"/>
  <c r="H17" i="12"/>
  <c r="I28" i="12" s="1"/>
  <c r="G17" i="12"/>
  <c r="D17" i="12"/>
  <c r="E34" i="12" s="1"/>
  <c r="AF16" i="12"/>
  <c r="S12" i="12"/>
  <c r="R12" i="12"/>
  <c r="O12" i="12"/>
  <c r="K12" i="12"/>
  <c r="J12" i="12"/>
  <c r="I12" i="12"/>
  <c r="G12" i="12"/>
  <c r="E12" i="12"/>
  <c r="AF11" i="12"/>
  <c r="AE11" i="12"/>
  <c r="AD11" i="12"/>
  <c r="S11" i="12"/>
  <c r="R11" i="12"/>
  <c r="O11" i="12"/>
  <c r="K11" i="12"/>
  <c r="J11" i="12"/>
  <c r="I11" i="12"/>
  <c r="G11" i="12"/>
  <c r="AF10" i="12"/>
  <c r="AE10" i="12"/>
  <c r="AD10" i="12"/>
  <c r="S10" i="12"/>
  <c r="R10" i="12"/>
  <c r="O10" i="12"/>
  <c r="K10" i="12"/>
  <c r="J10" i="12"/>
  <c r="G10" i="12"/>
  <c r="E10" i="12"/>
  <c r="AF9" i="12"/>
  <c r="AE9" i="12"/>
  <c r="AD9" i="12"/>
  <c r="S9" i="12"/>
  <c r="R9" i="12"/>
  <c r="O9" i="12"/>
  <c r="K9" i="12"/>
  <c r="J9" i="12"/>
  <c r="I9" i="12"/>
  <c r="G9" i="12"/>
  <c r="E9" i="12"/>
  <c r="S8" i="12"/>
  <c r="R8" i="12"/>
  <c r="O8" i="12"/>
  <c r="K8" i="12"/>
  <c r="J8" i="12"/>
  <c r="I8" i="12"/>
  <c r="G8" i="12"/>
  <c r="E8" i="12"/>
  <c r="S7" i="12"/>
  <c r="R7" i="12"/>
  <c r="P7" i="12"/>
  <c r="P17" i="12" s="1"/>
  <c r="O7" i="12"/>
  <c r="L7" i="12"/>
  <c r="K7" i="12"/>
  <c r="J7" i="12"/>
  <c r="I7" i="12"/>
  <c r="G7" i="12"/>
  <c r="E7" i="12"/>
  <c r="W6" i="12"/>
  <c r="H5" i="12"/>
  <c r="P5" i="12" s="1"/>
  <c r="Z5" i="12" s="1"/>
  <c r="F5" i="12"/>
  <c r="Y5" i="12" s="1"/>
  <c r="AB5" i="12" s="1"/>
  <c r="D5" i="12"/>
  <c r="L5" i="12" s="1"/>
  <c r="D4" i="12"/>
  <c r="B4" i="12"/>
  <c r="A4" i="12"/>
  <c r="W3" i="12"/>
  <c r="B3" i="12"/>
  <c r="A3" i="12"/>
  <c r="H2" i="12"/>
  <c r="F2" i="12"/>
  <c r="N2" i="12" s="1"/>
  <c r="D2" i="12"/>
  <c r="P2" i="12" s="1"/>
  <c r="P42" i="11"/>
  <c r="N42" i="11"/>
  <c r="H42" i="11"/>
  <c r="F42" i="11"/>
  <c r="D42" i="11"/>
  <c r="N41" i="11"/>
  <c r="H39" i="11"/>
  <c r="F39" i="11"/>
  <c r="N37" i="11"/>
  <c r="L37" i="11"/>
  <c r="H37" i="11"/>
  <c r="F37" i="11"/>
  <c r="D37" i="11"/>
  <c r="H36" i="11"/>
  <c r="F36" i="11"/>
  <c r="D36" i="11"/>
  <c r="F35" i="11"/>
  <c r="F31" i="11"/>
  <c r="K31" i="11" s="1"/>
  <c r="D29" i="11"/>
  <c r="J29" i="11" s="1"/>
  <c r="D28" i="11"/>
  <c r="AF21" i="11"/>
  <c r="L21" i="11"/>
  <c r="Y20" i="11"/>
  <c r="X18" i="11"/>
  <c r="AF16" i="11"/>
  <c r="C16" i="11"/>
  <c r="C16" i="12" s="1"/>
  <c r="C16" i="13" s="1"/>
  <c r="AB14" i="11"/>
  <c r="Y14" i="11"/>
  <c r="P14" i="11"/>
  <c r="Z12" i="11"/>
  <c r="H12" i="11"/>
  <c r="C12" i="11"/>
  <c r="C12" i="12" s="1"/>
  <c r="C12" i="13" s="1"/>
  <c r="C11" i="11"/>
  <c r="C11" i="12" s="1"/>
  <c r="C11" i="13" s="1"/>
  <c r="Z10" i="11"/>
  <c r="C10" i="11"/>
  <c r="C10" i="12" s="1"/>
  <c r="C10" i="13" s="1"/>
  <c r="R9" i="11"/>
  <c r="H9" i="11"/>
  <c r="C9" i="11"/>
  <c r="C9" i="12" s="1"/>
  <c r="C9" i="13" s="1"/>
  <c r="D8" i="11"/>
  <c r="J8" i="11" s="1"/>
  <c r="C8" i="11"/>
  <c r="C8" i="12" s="1"/>
  <c r="C8" i="13" s="1"/>
  <c r="AA7" i="11"/>
  <c r="Y7" i="11"/>
  <c r="X7" i="11"/>
  <c r="C7" i="11"/>
  <c r="C7" i="12" s="1"/>
  <c r="C7" i="13" s="1"/>
  <c r="W6" i="11"/>
  <c r="X4" i="11"/>
  <c r="D4" i="11"/>
  <c r="W3" i="11"/>
  <c r="L2" i="11"/>
  <c r="H2" i="11"/>
  <c r="F2" i="11"/>
  <c r="N2" i="11" s="1"/>
  <c r="D2" i="11"/>
  <c r="P2" i="11" s="1"/>
  <c r="U34" i="10"/>
  <c r="P34" i="10"/>
  <c r="P34" i="11" s="1"/>
  <c r="N34" i="10"/>
  <c r="L34" i="10"/>
  <c r="L34" i="11" s="1"/>
  <c r="H34" i="10"/>
  <c r="H34" i="11" s="1"/>
  <c r="U29" i="11" s="1"/>
  <c r="F34" i="10"/>
  <c r="D34" i="10"/>
  <c r="D34" i="11" s="1"/>
  <c r="U33" i="10"/>
  <c r="N33" i="10"/>
  <c r="F33" i="10"/>
  <c r="H31" i="10"/>
  <c r="H31" i="11" s="1"/>
  <c r="F31" i="10"/>
  <c r="K31" i="10" s="1"/>
  <c r="V29" i="10"/>
  <c r="R29" i="10"/>
  <c r="N29" i="10"/>
  <c r="L29" i="10"/>
  <c r="L29" i="11" s="1"/>
  <c r="R29" i="11" s="1"/>
  <c r="J29" i="10"/>
  <c r="H29" i="10"/>
  <c r="H29" i="11" s="1"/>
  <c r="U24" i="11" s="1"/>
  <c r="F29" i="10"/>
  <c r="J28" i="10"/>
  <c r="H28" i="10"/>
  <c r="H28" i="11" s="1"/>
  <c r="U23" i="11" s="1"/>
  <c r="F28" i="10"/>
  <c r="F28" i="11" s="1"/>
  <c r="K28" i="11" s="1"/>
  <c r="T24" i="10"/>
  <c r="R24" i="10"/>
  <c r="P24" i="10"/>
  <c r="P24" i="11" s="1"/>
  <c r="L24" i="10"/>
  <c r="L24" i="11" s="1"/>
  <c r="R24" i="11" s="1"/>
  <c r="H24" i="10"/>
  <c r="H24" i="11" s="1"/>
  <c r="U19" i="11" s="1"/>
  <c r="F24" i="10"/>
  <c r="K24" i="10" s="1"/>
  <c r="D24" i="10"/>
  <c r="D24" i="11" s="1"/>
  <c r="J24" i="11" s="1"/>
  <c r="P23" i="10"/>
  <c r="H23" i="10"/>
  <c r="H25" i="10" s="1"/>
  <c r="F23" i="10"/>
  <c r="D23" i="10"/>
  <c r="AF21" i="10"/>
  <c r="AA21" i="10"/>
  <c r="Z21" i="10"/>
  <c r="Z21" i="11" s="1"/>
  <c r="Y21" i="10"/>
  <c r="Y21" i="11" s="1"/>
  <c r="X21" i="10"/>
  <c r="X21" i="11" s="1"/>
  <c r="P21" i="10"/>
  <c r="P21" i="11" s="1"/>
  <c r="N21" i="10"/>
  <c r="N21" i="11" s="1"/>
  <c r="L21" i="10"/>
  <c r="K21" i="10"/>
  <c r="H21" i="10"/>
  <c r="H21" i="11" s="1"/>
  <c r="F21" i="10"/>
  <c r="F21" i="11" s="1"/>
  <c r="D21" i="10"/>
  <c r="D21" i="11" s="1"/>
  <c r="AB20" i="10"/>
  <c r="AB20" i="11" s="1"/>
  <c r="AF20" i="11" s="1"/>
  <c r="Z20" i="10"/>
  <c r="Z20" i="11" s="1"/>
  <c r="Y20" i="10"/>
  <c r="X20" i="10"/>
  <c r="X20" i="11" s="1"/>
  <c r="L20" i="10"/>
  <c r="L22" i="10" s="1"/>
  <c r="H20" i="10"/>
  <c r="F20" i="10"/>
  <c r="F22" i="10" s="1"/>
  <c r="D20" i="10"/>
  <c r="AB19" i="10"/>
  <c r="AA19" i="10"/>
  <c r="Z19" i="10"/>
  <c r="Z19" i="11" s="1"/>
  <c r="Y19" i="10"/>
  <c r="Y19" i="11" s="1"/>
  <c r="X19" i="10"/>
  <c r="X19" i="11" s="1"/>
  <c r="AB18" i="10"/>
  <c r="AB18" i="11" s="1"/>
  <c r="AF18" i="11" s="1"/>
  <c r="AA18" i="10"/>
  <c r="Z18" i="10"/>
  <c r="Z18" i="11" s="1"/>
  <c r="Y18" i="10"/>
  <c r="Y18" i="11" s="1"/>
  <c r="X18" i="10"/>
  <c r="H18" i="10"/>
  <c r="H18" i="11" s="1"/>
  <c r="U9" i="11" s="1"/>
  <c r="F18" i="10"/>
  <c r="F18" i="11" s="1"/>
  <c r="K18" i="11" s="1"/>
  <c r="D18" i="10"/>
  <c r="D18" i="11" s="1"/>
  <c r="AB17" i="10"/>
  <c r="AF16" i="10"/>
  <c r="P16" i="10"/>
  <c r="P16" i="11" s="1"/>
  <c r="L16" i="10"/>
  <c r="L16" i="11" s="1"/>
  <c r="H16" i="10"/>
  <c r="H16" i="11" s="1"/>
  <c r="F16" i="10"/>
  <c r="F16" i="11" s="1"/>
  <c r="D16" i="10"/>
  <c r="D16" i="11" s="1"/>
  <c r="P14" i="10"/>
  <c r="N14" i="10"/>
  <c r="N14" i="11" s="1"/>
  <c r="L14" i="10"/>
  <c r="L14" i="11" s="1"/>
  <c r="H14" i="10"/>
  <c r="H14" i="11" s="1"/>
  <c r="F14" i="10"/>
  <c r="F14" i="11" s="1"/>
  <c r="K14" i="11" s="1"/>
  <c r="D14" i="10"/>
  <c r="AB13" i="10"/>
  <c r="P13" i="10"/>
  <c r="P13" i="11" s="1"/>
  <c r="L13" i="10"/>
  <c r="L13" i="11" s="1"/>
  <c r="H13" i="10"/>
  <c r="H13" i="11" s="1"/>
  <c r="F13" i="10"/>
  <c r="F13" i="11" s="1"/>
  <c r="K13" i="11" s="1"/>
  <c r="D13" i="10"/>
  <c r="D13" i="11" s="1"/>
  <c r="C13" i="10"/>
  <c r="C13" i="11" s="1"/>
  <c r="C13" i="12" s="1"/>
  <c r="C13" i="13" s="1"/>
  <c r="AB12" i="10"/>
  <c r="AB12" i="11" s="1"/>
  <c r="Z12" i="10"/>
  <c r="Y12" i="10"/>
  <c r="Y12" i="11" s="1"/>
  <c r="X12" i="10"/>
  <c r="X12" i="11" s="1"/>
  <c r="P12" i="10"/>
  <c r="P12" i="11" s="1"/>
  <c r="L12" i="10"/>
  <c r="L12" i="11" s="1"/>
  <c r="R12" i="11" s="1"/>
  <c r="H12" i="10"/>
  <c r="F12" i="10"/>
  <c r="D12" i="10"/>
  <c r="D12" i="11" s="1"/>
  <c r="J12" i="11" s="1"/>
  <c r="AB11" i="10"/>
  <c r="AB11" i="11" s="1"/>
  <c r="Z11" i="10"/>
  <c r="Z11" i="11" s="1"/>
  <c r="Y11" i="10"/>
  <c r="Y11" i="11" s="1"/>
  <c r="X11" i="10"/>
  <c r="X11" i="11" s="1"/>
  <c r="P11" i="10"/>
  <c r="P11" i="11" s="1"/>
  <c r="L11" i="10"/>
  <c r="K11" i="10"/>
  <c r="H11" i="10"/>
  <c r="H11" i="11" s="1"/>
  <c r="F11" i="10"/>
  <c r="F11" i="11" s="1"/>
  <c r="K11" i="11" s="1"/>
  <c r="D11" i="10"/>
  <c r="AB10" i="10"/>
  <c r="AB10" i="11" s="1"/>
  <c r="AF10" i="11" s="1"/>
  <c r="Z10" i="10"/>
  <c r="Y10" i="10"/>
  <c r="Y10" i="11" s="1"/>
  <c r="X10" i="10"/>
  <c r="X10" i="11" s="1"/>
  <c r="P10" i="10"/>
  <c r="P10" i="11" s="1"/>
  <c r="L10" i="10"/>
  <c r="L10" i="11" s="1"/>
  <c r="R10" i="11" s="1"/>
  <c r="H10" i="10"/>
  <c r="H10" i="11" s="1"/>
  <c r="F10" i="10"/>
  <c r="D10" i="10"/>
  <c r="AB9" i="10"/>
  <c r="AF9" i="10" s="1"/>
  <c r="Z9" i="10"/>
  <c r="Z9" i="11" s="1"/>
  <c r="Y9" i="10"/>
  <c r="X9" i="10"/>
  <c r="P9" i="10"/>
  <c r="P9" i="11" s="1"/>
  <c r="L9" i="10"/>
  <c r="L9" i="11" s="1"/>
  <c r="H9" i="10"/>
  <c r="F9" i="10"/>
  <c r="D9" i="10"/>
  <c r="D9" i="11" s="1"/>
  <c r="J9" i="11" s="1"/>
  <c r="AB8" i="10"/>
  <c r="Z8" i="10"/>
  <c r="Y8" i="10"/>
  <c r="X8" i="10"/>
  <c r="X8" i="11" s="1"/>
  <c r="R8" i="10"/>
  <c r="P8" i="10"/>
  <c r="P8" i="11" s="1"/>
  <c r="L8" i="10"/>
  <c r="L8" i="11" s="1"/>
  <c r="R8" i="11" s="1"/>
  <c r="H8" i="10"/>
  <c r="H8" i="11" s="1"/>
  <c r="F8" i="10"/>
  <c r="F8" i="11" s="1"/>
  <c r="D8" i="10"/>
  <c r="J8" i="10" s="1"/>
  <c r="AC7" i="10"/>
  <c r="AB7" i="10"/>
  <c r="AB7" i="11" s="1"/>
  <c r="AA7" i="10"/>
  <c r="Z7" i="10"/>
  <c r="Z7" i="11" s="1"/>
  <c r="Y7" i="10"/>
  <c r="X7" i="10"/>
  <c r="P7" i="10"/>
  <c r="N7" i="10"/>
  <c r="N7" i="11" s="1"/>
  <c r="L7" i="10"/>
  <c r="L7" i="11" s="1"/>
  <c r="R7" i="11" s="1"/>
  <c r="H7" i="10"/>
  <c r="H7" i="11" s="1"/>
  <c r="F7" i="10"/>
  <c r="D7" i="10"/>
  <c r="C7" i="10"/>
  <c r="AA6" i="10"/>
  <c r="AA6" i="12" s="1"/>
  <c r="W6" i="10"/>
  <c r="X4" i="10"/>
  <c r="D4" i="10"/>
  <c r="W3" i="10"/>
  <c r="H2" i="10"/>
  <c r="F2" i="10"/>
  <c r="N2" i="10" s="1"/>
  <c r="D2" i="10"/>
  <c r="P2" i="10" s="1"/>
  <c r="S34" i="9"/>
  <c r="R34" i="9"/>
  <c r="K34" i="9"/>
  <c r="J34" i="9"/>
  <c r="S33" i="9"/>
  <c r="F33" i="9"/>
  <c r="F41" i="11" s="1"/>
  <c r="R31" i="9"/>
  <c r="N31" i="9"/>
  <c r="N39" i="11" s="1"/>
  <c r="K31" i="9"/>
  <c r="J31" i="9"/>
  <c r="F30" i="9"/>
  <c r="S29" i="9"/>
  <c r="R29" i="9"/>
  <c r="K29" i="9"/>
  <c r="J29" i="9"/>
  <c r="R28" i="9"/>
  <c r="P28" i="9"/>
  <c r="Q28" i="9" s="1"/>
  <c r="N28" i="9"/>
  <c r="N28" i="10" s="1"/>
  <c r="K28" i="9"/>
  <c r="H25" i="9"/>
  <c r="F25" i="9"/>
  <c r="D25" i="9"/>
  <c r="R24" i="9"/>
  <c r="N24" i="9"/>
  <c r="N24" i="10" s="1"/>
  <c r="K24" i="9"/>
  <c r="J24" i="9"/>
  <c r="P23" i="9"/>
  <c r="P25" i="9" s="1"/>
  <c r="N23" i="9"/>
  <c r="S23" i="9" s="1"/>
  <c r="L23" i="9"/>
  <c r="R23" i="9" s="1"/>
  <c r="K23" i="9"/>
  <c r="K25" i="9" s="1"/>
  <c r="J23" i="9"/>
  <c r="P22" i="9"/>
  <c r="H22" i="9"/>
  <c r="H26" i="9" s="1"/>
  <c r="R21" i="9"/>
  <c r="N21" i="9"/>
  <c r="K21" i="9"/>
  <c r="J21" i="9"/>
  <c r="R20" i="9"/>
  <c r="N20" i="9"/>
  <c r="S20" i="9" s="1"/>
  <c r="K20" i="9"/>
  <c r="K33" i="9" s="1"/>
  <c r="J20" i="9"/>
  <c r="J33" i="9" s="1"/>
  <c r="S18" i="9"/>
  <c r="R18" i="9"/>
  <c r="N18" i="9"/>
  <c r="N18" i="10" s="1"/>
  <c r="N18" i="11" s="1"/>
  <c r="S18" i="11" s="1"/>
  <c r="K18" i="9"/>
  <c r="J18" i="9"/>
  <c r="R17" i="9"/>
  <c r="P17" i="9"/>
  <c r="Q21" i="9" s="1"/>
  <c r="L17" i="9"/>
  <c r="M9" i="9" s="1"/>
  <c r="H17" i="9"/>
  <c r="I28" i="9" s="1"/>
  <c r="F17" i="9"/>
  <c r="G24" i="9" s="1"/>
  <c r="D17" i="9"/>
  <c r="N16" i="9"/>
  <c r="N16" i="10" s="1"/>
  <c r="N16" i="11" s="1"/>
  <c r="C16" i="9"/>
  <c r="C15" i="9"/>
  <c r="C14" i="9"/>
  <c r="N13" i="9"/>
  <c r="N13" i="10" s="1"/>
  <c r="N13" i="11" s="1"/>
  <c r="C13" i="9"/>
  <c r="N12" i="9"/>
  <c r="N12" i="10" s="1"/>
  <c r="S12" i="10" s="1"/>
  <c r="M12" i="9"/>
  <c r="K12" i="9"/>
  <c r="J12" i="9"/>
  <c r="C12" i="9"/>
  <c r="R11" i="9"/>
  <c r="N11" i="9"/>
  <c r="M11" i="9"/>
  <c r="K11" i="9"/>
  <c r="J11" i="9"/>
  <c r="C11" i="9"/>
  <c r="R10" i="9"/>
  <c r="Q10" i="9"/>
  <c r="N10" i="9"/>
  <c r="N10" i="10" s="1"/>
  <c r="N10" i="11" s="1"/>
  <c r="S10" i="11" s="1"/>
  <c r="K10" i="9"/>
  <c r="J10" i="9"/>
  <c r="I10" i="9"/>
  <c r="G10" i="9"/>
  <c r="C10" i="9"/>
  <c r="S9" i="9"/>
  <c r="R9" i="9"/>
  <c r="N9" i="9"/>
  <c r="N9" i="10" s="1"/>
  <c r="K9" i="9"/>
  <c r="J9" i="9"/>
  <c r="I9" i="9"/>
  <c r="G9" i="9"/>
  <c r="C9" i="9"/>
  <c r="R8" i="9"/>
  <c r="N8" i="9"/>
  <c r="N8" i="10" s="1"/>
  <c r="K8" i="9"/>
  <c r="J8" i="9"/>
  <c r="I8" i="9"/>
  <c r="C8" i="9"/>
  <c r="S7" i="9"/>
  <c r="R7" i="9"/>
  <c r="Q7" i="9"/>
  <c r="M7" i="9"/>
  <c r="K7" i="9"/>
  <c r="J7" i="9"/>
  <c r="I7" i="9"/>
  <c r="C7" i="9"/>
  <c r="H5" i="9"/>
  <c r="P5" i="9" s="1"/>
  <c r="F5" i="9"/>
  <c r="N5" i="9" s="1"/>
  <c r="D5" i="9"/>
  <c r="L5" i="9" s="1"/>
  <c r="D4" i="9"/>
  <c r="H2" i="9"/>
  <c r="F2" i="9"/>
  <c r="N2" i="9" s="1"/>
  <c r="D2" i="9"/>
  <c r="P2" i="9" s="1"/>
  <c r="S33" i="8"/>
  <c r="R33" i="8"/>
  <c r="O33" i="8"/>
  <c r="K33" i="8"/>
  <c r="J33" i="8"/>
  <c r="G33" i="8"/>
  <c r="S32" i="8"/>
  <c r="O32" i="8"/>
  <c r="K32" i="8"/>
  <c r="G32" i="8"/>
  <c r="D32" i="8"/>
  <c r="J32" i="8" s="1"/>
  <c r="S31" i="8"/>
  <c r="O31" i="8"/>
  <c r="K31" i="8"/>
  <c r="G31" i="8"/>
  <c r="P30" i="8"/>
  <c r="P39" i="11" s="1"/>
  <c r="K30" i="8"/>
  <c r="G30" i="8"/>
  <c r="S29" i="8"/>
  <c r="O29" i="8"/>
  <c r="K29" i="8"/>
  <c r="G29" i="8"/>
  <c r="S28" i="8"/>
  <c r="R28" i="8"/>
  <c r="P28" i="8"/>
  <c r="O28" i="8"/>
  <c r="K28" i="8"/>
  <c r="J28" i="8"/>
  <c r="G28" i="8"/>
  <c r="S27" i="8"/>
  <c r="R27" i="8"/>
  <c r="P27" i="8"/>
  <c r="O27" i="8"/>
  <c r="K27" i="8"/>
  <c r="J27" i="8"/>
  <c r="G27" i="8"/>
  <c r="S26" i="8"/>
  <c r="O26" i="8"/>
  <c r="K26" i="8"/>
  <c r="G26" i="8"/>
  <c r="S25" i="8"/>
  <c r="O25" i="8"/>
  <c r="K25" i="8"/>
  <c r="J25" i="8"/>
  <c r="G25" i="8"/>
  <c r="S24" i="8"/>
  <c r="R24" i="8"/>
  <c r="O24" i="8"/>
  <c r="K24" i="8"/>
  <c r="J24" i="8"/>
  <c r="H24" i="8"/>
  <c r="G24" i="8"/>
  <c r="S23" i="8"/>
  <c r="R23" i="8"/>
  <c r="O23" i="8"/>
  <c r="K23" i="8"/>
  <c r="J23" i="8"/>
  <c r="G23" i="8"/>
  <c r="S22" i="8"/>
  <c r="R22" i="8"/>
  <c r="O22" i="8"/>
  <c r="K22" i="8"/>
  <c r="J22" i="8"/>
  <c r="G22" i="8"/>
  <c r="S21" i="8"/>
  <c r="R21" i="8"/>
  <c r="O21" i="8"/>
  <c r="L21" i="8"/>
  <c r="L25" i="8" s="1"/>
  <c r="K21" i="8"/>
  <c r="J21" i="8"/>
  <c r="H21" i="8"/>
  <c r="H25" i="8" s="1"/>
  <c r="G21" i="8"/>
  <c r="S20" i="8"/>
  <c r="R20" i="8"/>
  <c r="O20" i="8"/>
  <c r="K20" i="8"/>
  <c r="J20" i="8"/>
  <c r="G20" i="8"/>
  <c r="S19" i="8"/>
  <c r="R19" i="8"/>
  <c r="P19" i="8"/>
  <c r="O19" i="8"/>
  <c r="K19" i="8"/>
  <c r="J19" i="8"/>
  <c r="G19" i="8"/>
  <c r="S18" i="8"/>
  <c r="O18" i="8"/>
  <c r="K18" i="8"/>
  <c r="G18" i="8"/>
  <c r="S17" i="8"/>
  <c r="R17" i="8"/>
  <c r="P17" i="8"/>
  <c r="O17" i="8"/>
  <c r="K17" i="8"/>
  <c r="J17" i="8"/>
  <c r="G17" i="8"/>
  <c r="S16" i="8"/>
  <c r="P16" i="8"/>
  <c r="Q11" i="8" s="1"/>
  <c r="O16" i="8"/>
  <c r="L16" i="8"/>
  <c r="M20" i="8" s="1"/>
  <c r="K16" i="8"/>
  <c r="H16" i="8"/>
  <c r="I17" i="8" s="1"/>
  <c r="G16" i="8"/>
  <c r="D16" i="8"/>
  <c r="E19" i="8" s="1"/>
  <c r="Q15" i="8"/>
  <c r="P15" i="8"/>
  <c r="C15" i="8"/>
  <c r="C14" i="8"/>
  <c r="C13" i="8"/>
  <c r="S12" i="8"/>
  <c r="O12" i="8"/>
  <c r="K12" i="8"/>
  <c r="J12" i="8"/>
  <c r="G12" i="8"/>
  <c r="E12" i="8"/>
  <c r="C12" i="8"/>
  <c r="S11" i="8"/>
  <c r="R11" i="8"/>
  <c r="O11" i="8"/>
  <c r="K11" i="8"/>
  <c r="J11" i="8"/>
  <c r="G11" i="8"/>
  <c r="C11" i="8"/>
  <c r="S10" i="8"/>
  <c r="R10" i="8"/>
  <c r="O10" i="8"/>
  <c r="M10" i="8"/>
  <c r="K10" i="8"/>
  <c r="J10" i="8"/>
  <c r="G10" i="8"/>
  <c r="C10" i="8"/>
  <c r="S9" i="8"/>
  <c r="R9" i="8"/>
  <c r="O9" i="8"/>
  <c r="M9" i="8"/>
  <c r="K9" i="8"/>
  <c r="J9" i="8"/>
  <c r="G9" i="8"/>
  <c r="E9" i="8"/>
  <c r="C9" i="8"/>
  <c r="S8" i="8"/>
  <c r="R8" i="8"/>
  <c r="O8" i="8"/>
  <c r="K8" i="8"/>
  <c r="J8" i="8"/>
  <c r="G8" i="8"/>
  <c r="E8" i="8"/>
  <c r="C8" i="8"/>
  <c r="S7" i="8"/>
  <c r="R7" i="8"/>
  <c r="O7" i="8"/>
  <c r="M7" i="8"/>
  <c r="K7" i="8"/>
  <c r="J7" i="8"/>
  <c r="G7" i="8"/>
  <c r="E7" i="8"/>
  <c r="C7" i="8"/>
  <c r="H5" i="8"/>
  <c r="P5" i="8" s="1"/>
  <c r="F5" i="8"/>
  <c r="N5" i="8" s="1"/>
  <c r="D5" i="8"/>
  <c r="L5" i="8" s="1"/>
  <c r="H2" i="8"/>
  <c r="F2" i="8"/>
  <c r="N2" i="8" s="1"/>
  <c r="D2" i="8"/>
  <c r="P2" i="8" s="1"/>
  <c r="S34" i="7"/>
  <c r="R34" i="7"/>
  <c r="G34" i="7"/>
  <c r="O33" i="7"/>
  <c r="G33" i="7"/>
  <c r="O32" i="7"/>
  <c r="G32" i="7"/>
  <c r="S31" i="7"/>
  <c r="O31" i="7"/>
  <c r="O39" i="11" s="1"/>
  <c r="L31" i="7"/>
  <c r="K31" i="7"/>
  <c r="J31" i="7"/>
  <c r="G31" i="7"/>
  <c r="O30" i="7"/>
  <c r="G30" i="7"/>
  <c r="S29" i="7"/>
  <c r="R29" i="7"/>
  <c r="O29" i="7"/>
  <c r="M29" i="7"/>
  <c r="K29" i="7"/>
  <c r="J29" i="7"/>
  <c r="G29" i="7"/>
  <c r="S28" i="7"/>
  <c r="O28" i="7"/>
  <c r="L28" i="7"/>
  <c r="L36" i="11" s="1"/>
  <c r="K28" i="7"/>
  <c r="J28" i="7"/>
  <c r="G28" i="7"/>
  <c r="O27" i="7"/>
  <c r="G27" i="7"/>
  <c r="O26" i="7"/>
  <c r="G26" i="7"/>
  <c r="P25" i="7"/>
  <c r="S25" i="7" s="1"/>
  <c r="O25" i="7"/>
  <c r="L25" i="7"/>
  <c r="R25" i="7" s="1"/>
  <c r="H25" i="7"/>
  <c r="K25" i="7" s="1"/>
  <c r="G25" i="7"/>
  <c r="D25" i="7"/>
  <c r="J25" i="7" s="1"/>
  <c r="S24" i="7"/>
  <c r="R24" i="7"/>
  <c r="O24" i="7"/>
  <c r="K24" i="7"/>
  <c r="J24" i="7"/>
  <c r="I24" i="7"/>
  <c r="G24" i="7"/>
  <c r="S23" i="7"/>
  <c r="R23" i="7"/>
  <c r="O23" i="7"/>
  <c r="K23" i="7"/>
  <c r="J23" i="7"/>
  <c r="G23" i="7"/>
  <c r="P22" i="7"/>
  <c r="O22" i="7"/>
  <c r="L22" i="7"/>
  <c r="H22" i="7"/>
  <c r="G22" i="7"/>
  <c r="D22" i="7"/>
  <c r="D26" i="7" s="1"/>
  <c r="AF21" i="7"/>
  <c r="AE21" i="7"/>
  <c r="AC21" i="7"/>
  <c r="AD21" i="7" s="1"/>
  <c r="S21" i="7"/>
  <c r="R21" i="7"/>
  <c r="O21" i="7"/>
  <c r="K21" i="7"/>
  <c r="J21" i="7"/>
  <c r="I21" i="7"/>
  <c r="G21" i="7"/>
  <c r="AF20" i="7"/>
  <c r="AC20" i="7"/>
  <c r="AA20" i="7"/>
  <c r="S20" i="7"/>
  <c r="R20" i="7"/>
  <c r="Q20" i="7"/>
  <c r="O20" i="7"/>
  <c r="K20" i="7"/>
  <c r="J20" i="7"/>
  <c r="G20" i="7"/>
  <c r="AF19" i="7"/>
  <c r="AE19" i="7"/>
  <c r="AC19" i="7"/>
  <c r="AC19" i="10" s="1"/>
  <c r="AA19" i="7"/>
  <c r="AD19" i="7" s="1"/>
  <c r="O19" i="7"/>
  <c r="H19" i="7"/>
  <c r="G19" i="7"/>
  <c r="AF18" i="7"/>
  <c r="AC18" i="7"/>
  <c r="AC18" i="10" s="1"/>
  <c r="AA18" i="7"/>
  <c r="AE18" i="7" s="1"/>
  <c r="S18" i="7"/>
  <c r="Q18" i="7"/>
  <c r="O18" i="7"/>
  <c r="L18" i="7"/>
  <c r="K18" i="7"/>
  <c r="J18" i="7"/>
  <c r="I18" i="7"/>
  <c r="G18" i="7"/>
  <c r="Q17" i="7"/>
  <c r="P17" i="7"/>
  <c r="Q34" i="7" s="1"/>
  <c r="O17" i="7"/>
  <c r="M17" i="7"/>
  <c r="L17" i="7"/>
  <c r="M23" i="7" s="1"/>
  <c r="K17" i="7"/>
  <c r="H17" i="7"/>
  <c r="I31" i="7" s="1"/>
  <c r="G17" i="7"/>
  <c r="D17" i="7"/>
  <c r="E25" i="7" s="1"/>
  <c r="AF16" i="7"/>
  <c r="C16" i="7"/>
  <c r="C14" i="7"/>
  <c r="Z13" i="7"/>
  <c r="Z14" i="7" s="1"/>
  <c r="X13" i="7"/>
  <c r="X14" i="7" s="1"/>
  <c r="C13" i="7"/>
  <c r="AC12" i="7"/>
  <c r="AC12" i="10" s="1"/>
  <c r="AA12" i="7"/>
  <c r="AE12" i="7" s="1"/>
  <c r="S12" i="7"/>
  <c r="Q12" i="7"/>
  <c r="O12" i="7"/>
  <c r="K12" i="7"/>
  <c r="J12" i="7"/>
  <c r="G12" i="7"/>
  <c r="E12" i="7"/>
  <c r="C12" i="7"/>
  <c r="AF11" i="7"/>
  <c r="AE11" i="7"/>
  <c r="AC11" i="7"/>
  <c r="AA11" i="7"/>
  <c r="AA11" i="10" s="1"/>
  <c r="S11" i="7"/>
  <c r="R11" i="7"/>
  <c r="Q11" i="7"/>
  <c r="O11" i="7"/>
  <c r="K11" i="7"/>
  <c r="J11" i="7"/>
  <c r="I11" i="7"/>
  <c r="G11" i="7"/>
  <c r="C11" i="7"/>
  <c r="AF10" i="7"/>
  <c r="AC10" i="7"/>
  <c r="AC10" i="10" s="1"/>
  <c r="AC10" i="11" s="1"/>
  <c r="AA10" i="7"/>
  <c r="AA10" i="10" s="1"/>
  <c r="S10" i="7"/>
  <c r="R10" i="7"/>
  <c r="O10" i="7"/>
  <c r="K10" i="7"/>
  <c r="J10" i="7"/>
  <c r="I10" i="7"/>
  <c r="G10" i="7"/>
  <c r="C10" i="7"/>
  <c r="AF9" i="7"/>
  <c r="AC9" i="7"/>
  <c r="AA9" i="7"/>
  <c r="AE9" i="7" s="1"/>
  <c r="S9" i="7"/>
  <c r="R9" i="7"/>
  <c r="Q9" i="7"/>
  <c r="O9" i="7"/>
  <c r="K9" i="7"/>
  <c r="J9" i="7"/>
  <c r="I9" i="7"/>
  <c r="G9" i="7"/>
  <c r="E9" i="7"/>
  <c r="C9" i="7"/>
  <c r="AF8" i="7"/>
  <c r="AE8" i="7"/>
  <c r="AC8" i="7"/>
  <c r="AA8" i="7"/>
  <c r="AA8" i="10" s="1"/>
  <c r="S8" i="7"/>
  <c r="R8" i="7"/>
  <c r="Q8" i="7"/>
  <c r="O8" i="7"/>
  <c r="K8" i="7"/>
  <c r="J8" i="7"/>
  <c r="I8" i="7"/>
  <c r="G8" i="7"/>
  <c r="E8" i="7"/>
  <c r="C8" i="7"/>
  <c r="AF7" i="7"/>
  <c r="AE7" i="7"/>
  <c r="AD7" i="7"/>
  <c r="S7" i="7"/>
  <c r="R7" i="7"/>
  <c r="Q7" i="7"/>
  <c r="O7" i="7"/>
  <c r="M7" i="7"/>
  <c r="K7" i="7"/>
  <c r="J7" i="7"/>
  <c r="I7" i="7"/>
  <c r="G7" i="7"/>
  <c r="C7" i="7"/>
  <c r="W6" i="7"/>
  <c r="F5" i="7"/>
  <c r="Y5" i="7" s="1"/>
  <c r="AB5" i="7" s="1"/>
  <c r="X4" i="7"/>
  <c r="D4" i="7"/>
  <c r="W3" i="7"/>
  <c r="N2" i="7"/>
  <c r="H2" i="7"/>
  <c r="F2" i="7"/>
  <c r="D2" i="7"/>
  <c r="P2" i="7" s="1"/>
  <c r="AF21" i="6"/>
  <c r="AC21" i="6"/>
  <c r="AA21" i="6"/>
  <c r="AE21" i="6" s="1"/>
  <c r="AF20" i="6"/>
  <c r="AC20" i="6"/>
  <c r="AA20" i="6"/>
  <c r="AE20" i="6" s="1"/>
  <c r="AC19" i="6"/>
  <c r="AF19" i="6" s="1"/>
  <c r="AA19" i="6"/>
  <c r="AF18" i="6"/>
  <c r="AC18" i="6"/>
  <c r="AA18" i="6"/>
  <c r="AE18" i="6" s="1"/>
  <c r="AF16" i="6"/>
  <c r="AA16" i="6"/>
  <c r="P16" i="6"/>
  <c r="N16" i="6"/>
  <c r="C16" i="6"/>
  <c r="P15" i="6"/>
  <c r="N15" i="6"/>
  <c r="S14" i="6"/>
  <c r="P14" i="6"/>
  <c r="N14" i="6"/>
  <c r="L14" i="6"/>
  <c r="R14" i="6" s="1"/>
  <c r="K14" i="6"/>
  <c r="J14" i="6"/>
  <c r="C14" i="6"/>
  <c r="C14" i="10" s="1"/>
  <c r="C14" i="11" s="1"/>
  <c r="C14" i="12" s="1"/>
  <c r="C14" i="13" s="1"/>
  <c r="Z13" i="6"/>
  <c r="Z14" i="6" s="1"/>
  <c r="Z17" i="6" s="1"/>
  <c r="Z22" i="6" s="1"/>
  <c r="Z26" i="6" s="1"/>
  <c r="X13" i="6"/>
  <c r="X14" i="6" s="1"/>
  <c r="X17" i="6" s="1"/>
  <c r="X22" i="6" s="1"/>
  <c r="P13" i="6"/>
  <c r="N13" i="6"/>
  <c r="S13" i="6" s="1"/>
  <c r="L13" i="6"/>
  <c r="C13" i="6"/>
  <c r="AC12" i="6"/>
  <c r="AF12" i="6" s="1"/>
  <c r="AA12" i="6"/>
  <c r="AE12" i="6" s="1"/>
  <c r="C12" i="6"/>
  <c r="AC11" i="6"/>
  <c r="AF11" i="6" s="1"/>
  <c r="AA11" i="6"/>
  <c r="P11" i="6"/>
  <c r="N11" i="6"/>
  <c r="S11" i="6" s="1"/>
  <c r="L11" i="6"/>
  <c r="C11" i="6"/>
  <c r="AF10" i="6"/>
  <c r="AC10" i="6"/>
  <c r="AA10" i="6"/>
  <c r="C10" i="6"/>
  <c r="AC9" i="6"/>
  <c r="AF9" i="6" s="1"/>
  <c r="AA9" i="6"/>
  <c r="AE9" i="6" s="1"/>
  <c r="C9" i="6"/>
  <c r="AC8" i="6"/>
  <c r="AD8" i="6" s="1"/>
  <c r="AA8" i="6"/>
  <c r="C8" i="6"/>
  <c r="AF7" i="6"/>
  <c r="AE7" i="6"/>
  <c r="AD7" i="6"/>
  <c r="C7" i="6"/>
  <c r="W6" i="6"/>
  <c r="H5" i="6"/>
  <c r="P5" i="6" s="1"/>
  <c r="Z5" i="6" s="1"/>
  <c r="AC5" i="6" s="1"/>
  <c r="F5" i="6"/>
  <c r="N5" i="6" s="1"/>
  <c r="D5" i="6"/>
  <c r="X4" i="6"/>
  <c r="D4" i="6"/>
  <c r="D4" i="13" s="1"/>
  <c r="W3" i="6"/>
  <c r="H2" i="6"/>
  <c r="F2" i="6"/>
  <c r="N2" i="6" s="1"/>
  <c r="D2" i="6"/>
  <c r="P2" i="6" s="1"/>
  <c r="AF16" i="5"/>
  <c r="C16" i="5"/>
  <c r="C15" i="5"/>
  <c r="C14" i="5"/>
  <c r="C13" i="5"/>
  <c r="C12" i="5"/>
  <c r="C11" i="5"/>
  <c r="C10" i="5"/>
  <c r="C9" i="5"/>
  <c r="C8" i="5"/>
  <c r="AB7" i="5"/>
  <c r="AA7" i="5"/>
  <c r="Y7" i="5"/>
  <c r="C7" i="5"/>
  <c r="W6" i="5"/>
  <c r="X5" i="5"/>
  <c r="AA5" i="5" s="1"/>
  <c r="H5" i="5"/>
  <c r="P5" i="5" s="1"/>
  <c r="Z5" i="5" s="1"/>
  <c r="AC5" i="5" s="1"/>
  <c r="F5" i="5"/>
  <c r="Y5" i="5" s="1"/>
  <c r="AB5" i="5" s="1"/>
  <c r="D5" i="5"/>
  <c r="L5" i="5" s="1"/>
  <c r="AH4" i="5"/>
  <c r="X4" i="5"/>
  <c r="X4" i="12" s="1"/>
  <c r="D4" i="5"/>
  <c r="AJ3" i="5"/>
  <c r="AK3" i="5" s="1"/>
  <c r="AH3" i="5"/>
  <c r="W3" i="5"/>
  <c r="N2" i="5"/>
  <c r="L2" i="5"/>
  <c r="H2" i="5"/>
  <c r="F2" i="5"/>
  <c r="D2" i="5"/>
  <c r="P2" i="5" s="1"/>
  <c r="AF16" i="4"/>
  <c r="C16" i="4"/>
  <c r="C15" i="4"/>
  <c r="C15" i="6" s="1"/>
  <c r="C15" i="10" s="1"/>
  <c r="C15" i="11" s="1"/>
  <c r="C15" i="12" s="1"/>
  <c r="C15" i="13" s="1"/>
  <c r="C14" i="4"/>
  <c r="C13" i="4"/>
  <c r="C12" i="4"/>
  <c r="C11" i="4"/>
  <c r="C10" i="4"/>
  <c r="C9" i="4"/>
  <c r="C8" i="4"/>
  <c r="AE7" i="4"/>
  <c r="AC7" i="4"/>
  <c r="AC7" i="5" s="1"/>
  <c r="AB7" i="4"/>
  <c r="AA7" i="4"/>
  <c r="Y7" i="4"/>
  <c r="X7" i="4"/>
  <c r="C7" i="4"/>
  <c r="N5" i="4"/>
  <c r="H5" i="4"/>
  <c r="P5" i="4" s="1"/>
  <c r="Z5" i="4" s="1"/>
  <c r="AC5" i="4" s="1"/>
  <c r="F5" i="4"/>
  <c r="Y5" i="4" s="1"/>
  <c r="AB5" i="4" s="1"/>
  <c r="D5" i="4"/>
  <c r="D5" i="7" s="1"/>
  <c r="AA4" i="4"/>
  <c r="X4" i="4"/>
  <c r="D4" i="4"/>
  <c r="W3" i="4"/>
  <c r="H2" i="4"/>
  <c r="F2" i="4"/>
  <c r="N2" i="4" s="1"/>
  <c r="D2" i="4"/>
  <c r="L2" i="4" s="1"/>
  <c r="S34" i="3"/>
  <c r="K34" i="3"/>
  <c r="G34" i="3"/>
  <c r="S31" i="3"/>
  <c r="P31" i="3"/>
  <c r="K31" i="3"/>
  <c r="S29" i="3"/>
  <c r="R29" i="3"/>
  <c r="J29" i="3"/>
  <c r="R28" i="3"/>
  <c r="J28" i="3"/>
  <c r="R25" i="3"/>
  <c r="L25" i="3"/>
  <c r="D25" i="3"/>
  <c r="J25" i="3" s="1"/>
  <c r="R24" i="3"/>
  <c r="J24" i="3"/>
  <c r="R23" i="3"/>
  <c r="J23" i="3"/>
  <c r="K17" i="3"/>
  <c r="C16" i="3"/>
  <c r="C15" i="3"/>
  <c r="S14" i="3"/>
  <c r="R14" i="3"/>
  <c r="K14" i="3"/>
  <c r="J14" i="3"/>
  <c r="C14" i="3"/>
  <c r="S13" i="3"/>
  <c r="R13" i="3"/>
  <c r="K13" i="3"/>
  <c r="J13" i="3"/>
  <c r="G13" i="3"/>
  <c r="C13" i="3"/>
  <c r="S12" i="3"/>
  <c r="R12" i="3"/>
  <c r="K12" i="3"/>
  <c r="J12" i="3"/>
  <c r="G12" i="3"/>
  <c r="C12" i="3"/>
  <c r="R11" i="3"/>
  <c r="N11" i="3"/>
  <c r="S11" i="3" s="1"/>
  <c r="K11" i="3"/>
  <c r="J11" i="3"/>
  <c r="G11" i="3"/>
  <c r="C11" i="3"/>
  <c r="K10" i="3"/>
  <c r="G10" i="3"/>
  <c r="C10" i="3"/>
  <c r="S9" i="3"/>
  <c r="R9" i="3"/>
  <c r="N9" i="3"/>
  <c r="K9" i="3"/>
  <c r="J9" i="3"/>
  <c r="G9" i="3"/>
  <c r="C9" i="3"/>
  <c r="S8" i="3"/>
  <c r="R8" i="3"/>
  <c r="K8" i="3"/>
  <c r="J8" i="3"/>
  <c r="G8" i="3"/>
  <c r="C8" i="3"/>
  <c r="S7" i="3"/>
  <c r="R7" i="3"/>
  <c r="K7" i="3"/>
  <c r="G7" i="3"/>
  <c r="C7" i="3"/>
  <c r="P5" i="3"/>
  <c r="H5" i="3"/>
  <c r="F5" i="3"/>
  <c r="N5" i="3" s="1"/>
  <c r="D5" i="3"/>
  <c r="L5" i="3" s="1"/>
  <c r="D4" i="3"/>
  <c r="B4" i="3"/>
  <c r="A4" i="3"/>
  <c r="B3" i="3"/>
  <c r="A3" i="3"/>
  <c r="H2" i="3"/>
  <c r="F2" i="3"/>
  <c r="N2" i="3" s="1"/>
  <c r="D2" i="3"/>
  <c r="P2" i="3" s="1"/>
  <c r="AF16" i="2"/>
  <c r="AF7" i="2"/>
  <c r="AE7" i="2"/>
  <c r="AD7" i="2"/>
  <c r="Y5" i="2"/>
  <c r="X5" i="2"/>
  <c r="X5" i="11" s="1"/>
  <c r="P5" i="2"/>
  <c r="Z5" i="2" s="1"/>
  <c r="N5" i="2"/>
  <c r="L5" i="2"/>
  <c r="B5" i="2"/>
  <c r="AA4" i="2"/>
  <c r="W3" i="2"/>
  <c r="P2" i="2"/>
  <c r="L2" i="2"/>
  <c r="H2" i="2"/>
  <c r="F2" i="2"/>
  <c r="N2" i="2" s="1"/>
  <c r="D2" i="2"/>
  <c r="L8" i="4" l="1"/>
  <c r="L8" i="5" s="1"/>
  <c r="P14" i="4"/>
  <c r="P14" i="5" s="1"/>
  <c r="P14" i="13" s="1"/>
  <c r="Z7" i="5"/>
  <c r="Z7" i="4"/>
  <c r="X9" i="5"/>
  <c r="X9" i="4"/>
  <c r="L12" i="4"/>
  <c r="L12" i="5" s="1"/>
  <c r="N20" i="4"/>
  <c r="F20" i="4"/>
  <c r="P8" i="4"/>
  <c r="AA9" i="5"/>
  <c r="AA9" i="4"/>
  <c r="H18" i="4"/>
  <c r="H18" i="5" s="1"/>
  <c r="Z20" i="5"/>
  <c r="Z20" i="4"/>
  <c r="D7" i="4"/>
  <c r="P18" i="4"/>
  <c r="P18" i="5" s="1"/>
  <c r="AB8" i="4"/>
  <c r="AB8" i="5"/>
  <c r="H16" i="4"/>
  <c r="AB18" i="4"/>
  <c r="AB18" i="5"/>
  <c r="Z10" i="4"/>
  <c r="Z10" i="5"/>
  <c r="Y8" i="5"/>
  <c r="Y8" i="4"/>
  <c r="AC12" i="5"/>
  <c r="AC12" i="4"/>
  <c r="H7" i="4"/>
  <c r="F10" i="4"/>
  <c r="D8" i="4"/>
  <c r="D9" i="4"/>
  <c r="D9" i="5" s="1"/>
  <c r="P16" i="4"/>
  <c r="Y21" i="5"/>
  <c r="Y21" i="4"/>
  <c r="L7" i="4"/>
  <c r="N10" i="4"/>
  <c r="Y11" i="5"/>
  <c r="Y11" i="4"/>
  <c r="P7" i="4"/>
  <c r="H8" i="4"/>
  <c r="L9" i="4"/>
  <c r="L9" i="5" s="1"/>
  <c r="H14" i="4"/>
  <c r="H14" i="5" s="1"/>
  <c r="H14" i="13" s="1"/>
  <c r="AA19" i="5"/>
  <c r="AA19" i="4"/>
  <c r="F8" i="4"/>
  <c r="Z8" i="5"/>
  <c r="Z8" i="4"/>
  <c r="Y9" i="5"/>
  <c r="Y9" i="4"/>
  <c r="Y13" i="4" s="1"/>
  <c r="D10" i="4"/>
  <c r="L10" i="4"/>
  <c r="X10" i="4"/>
  <c r="X10" i="5"/>
  <c r="X10" i="13" s="1"/>
  <c r="H15" i="4"/>
  <c r="H15" i="5" s="1"/>
  <c r="H15" i="13" s="1"/>
  <c r="P15" i="4"/>
  <c r="P15" i="5" s="1"/>
  <c r="P15" i="13" s="1"/>
  <c r="AC18" i="5"/>
  <c r="AC18" i="4"/>
  <c r="AF18" i="4" s="1"/>
  <c r="AB19" i="5"/>
  <c r="AB19" i="4"/>
  <c r="AA20" i="5"/>
  <c r="AA20" i="4"/>
  <c r="F21" i="4"/>
  <c r="N21" i="4"/>
  <c r="Z21" i="5"/>
  <c r="Z21" i="4"/>
  <c r="D23" i="4"/>
  <c r="L23" i="4"/>
  <c r="D24" i="4"/>
  <c r="L24" i="4"/>
  <c r="D28" i="4"/>
  <c r="L28" i="4"/>
  <c r="D29" i="4"/>
  <c r="L29" i="4"/>
  <c r="D31" i="4"/>
  <c r="L31" i="4"/>
  <c r="D37" i="5"/>
  <c r="D34" i="4"/>
  <c r="L34" i="4"/>
  <c r="L37" i="5"/>
  <c r="N8" i="4"/>
  <c r="AA8" i="4"/>
  <c r="AA8" i="5"/>
  <c r="F9" i="4"/>
  <c r="N9" i="4"/>
  <c r="Z9" i="5"/>
  <c r="Z9" i="4"/>
  <c r="Z13" i="4" s="1"/>
  <c r="Z14" i="4" s="1"/>
  <c r="Y10" i="5"/>
  <c r="Y10" i="4"/>
  <c r="D11" i="4"/>
  <c r="L11" i="4"/>
  <c r="X11" i="5"/>
  <c r="X11" i="13" s="1"/>
  <c r="X11" i="4"/>
  <c r="AC19" i="5"/>
  <c r="AC19" i="4"/>
  <c r="AD19" i="4" s="1"/>
  <c r="H20" i="4"/>
  <c r="P20" i="4"/>
  <c r="AB20" i="5"/>
  <c r="AB20" i="4"/>
  <c r="AA21" i="4"/>
  <c r="AA21" i="5"/>
  <c r="D12" i="4"/>
  <c r="D12" i="5" s="1"/>
  <c r="X12" i="5"/>
  <c r="X12" i="4"/>
  <c r="L13" i="4"/>
  <c r="AC20" i="5"/>
  <c r="AC20" i="4"/>
  <c r="AE20" i="4" s="1"/>
  <c r="H21" i="4"/>
  <c r="P21" i="4"/>
  <c r="AB21" i="5"/>
  <c r="AB21" i="4"/>
  <c r="AF21" i="4" s="1"/>
  <c r="F23" i="4"/>
  <c r="N23" i="4"/>
  <c r="F24" i="4"/>
  <c r="N24" i="4"/>
  <c r="F28" i="4"/>
  <c r="N28" i="4"/>
  <c r="F29" i="4"/>
  <c r="N29" i="4"/>
  <c r="F31" i="4"/>
  <c r="N31" i="4"/>
  <c r="F34" i="4"/>
  <c r="F37" i="5"/>
  <c r="N37" i="5"/>
  <c r="N34" i="4"/>
  <c r="H9" i="4"/>
  <c r="AA10" i="5"/>
  <c r="AA10" i="4"/>
  <c r="F11" i="4"/>
  <c r="N11" i="4"/>
  <c r="Z11" i="5"/>
  <c r="Z11" i="4"/>
  <c r="Y12" i="5"/>
  <c r="Y12" i="4"/>
  <c r="D13" i="4"/>
  <c r="D14" i="4"/>
  <c r="L14" i="4"/>
  <c r="L16" i="4"/>
  <c r="R16" i="4" s="1"/>
  <c r="D18" i="4"/>
  <c r="L18" i="4"/>
  <c r="X18" i="5"/>
  <c r="X18" i="13" s="1"/>
  <c r="X18" i="4"/>
  <c r="AC21" i="5"/>
  <c r="AC21" i="4"/>
  <c r="AD21" i="4" s="1"/>
  <c r="P9" i="4"/>
  <c r="N7" i="4"/>
  <c r="AC9" i="5"/>
  <c r="AC9" i="4"/>
  <c r="P10" i="4"/>
  <c r="AB10" i="5"/>
  <c r="AB10" i="4"/>
  <c r="AF10" i="4" s="1"/>
  <c r="AA11" i="5"/>
  <c r="AA11" i="4"/>
  <c r="F12" i="4"/>
  <c r="N12" i="4"/>
  <c r="Z12" i="5"/>
  <c r="Z12" i="4"/>
  <c r="F13" i="4"/>
  <c r="N13" i="4"/>
  <c r="D15" i="4"/>
  <c r="L15" i="4"/>
  <c r="D16" i="4"/>
  <c r="J16" i="4" s="1"/>
  <c r="Y18" i="5"/>
  <c r="Y18" i="4"/>
  <c r="X19" i="5"/>
  <c r="X19" i="13" s="1"/>
  <c r="X19" i="4"/>
  <c r="H23" i="4"/>
  <c r="H23" i="5" s="1"/>
  <c r="P23" i="4"/>
  <c r="P23" i="5" s="1"/>
  <c r="H24" i="4"/>
  <c r="H24" i="5" s="1"/>
  <c r="P24" i="4"/>
  <c r="P24" i="5" s="1"/>
  <c r="P24" i="13" s="1"/>
  <c r="H28" i="4"/>
  <c r="H28" i="5" s="1"/>
  <c r="P28" i="4"/>
  <c r="P28" i="5" s="1"/>
  <c r="H29" i="4"/>
  <c r="H29" i="5" s="1"/>
  <c r="P29" i="4"/>
  <c r="P29" i="5" s="1"/>
  <c r="H31" i="4"/>
  <c r="H31" i="5" s="1"/>
  <c r="P31" i="4"/>
  <c r="P31" i="5" s="1"/>
  <c r="H34" i="4"/>
  <c r="H34" i="5" s="1"/>
  <c r="H37" i="5"/>
  <c r="P37" i="5"/>
  <c r="P34" i="4"/>
  <c r="P34" i="5" s="1"/>
  <c r="AC8" i="5"/>
  <c r="AC8" i="4"/>
  <c r="AB9" i="5"/>
  <c r="AB9" i="4"/>
  <c r="AF9" i="4" s="1"/>
  <c r="F7" i="4"/>
  <c r="H10" i="4"/>
  <c r="H10" i="5" s="1"/>
  <c r="H10" i="13" s="1"/>
  <c r="AC10" i="5"/>
  <c r="AC10" i="4"/>
  <c r="H11" i="4"/>
  <c r="H11" i="5" s="1"/>
  <c r="H11" i="13" s="1"/>
  <c r="P11" i="4"/>
  <c r="P11" i="5" s="1"/>
  <c r="P11" i="13" s="1"/>
  <c r="AB11" i="5"/>
  <c r="AB11" i="4"/>
  <c r="AA12" i="5"/>
  <c r="AA12" i="4"/>
  <c r="AD12" i="4" s="1"/>
  <c r="F14" i="4"/>
  <c r="N14" i="4"/>
  <c r="N16" i="4"/>
  <c r="S16" i="4" s="1"/>
  <c r="F18" i="4"/>
  <c r="N18" i="4"/>
  <c r="Z18" i="5"/>
  <c r="Z18" i="4"/>
  <c r="Y19" i="5"/>
  <c r="Y19" i="4"/>
  <c r="D20" i="4"/>
  <c r="L20" i="4"/>
  <c r="X20" i="5"/>
  <c r="X20" i="13" s="1"/>
  <c r="X20" i="4"/>
  <c r="X8" i="5"/>
  <c r="X8" i="4"/>
  <c r="AC11" i="5"/>
  <c r="AC11" i="4"/>
  <c r="AF11" i="4" s="1"/>
  <c r="H12" i="4"/>
  <c r="P12" i="4"/>
  <c r="AB12" i="5"/>
  <c r="AB12" i="4"/>
  <c r="AF12" i="4" s="1"/>
  <c r="H13" i="4"/>
  <c r="H13" i="5" s="1"/>
  <c r="H13" i="13" s="1"/>
  <c r="P13" i="4"/>
  <c r="P13" i="5" s="1"/>
  <c r="P13" i="13" s="1"/>
  <c r="F15" i="4"/>
  <c r="N15" i="4"/>
  <c r="F16" i="4"/>
  <c r="AA18" i="4"/>
  <c r="AE18" i="4" s="1"/>
  <c r="AA18" i="5"/>
  <c r="Z19" i="5"/>
  <c r="Z19" i="4"/>
  <c r="Y20" i="5"/>
  <c r="Y20" i="4"/>
  <c r="D21" i="4"/>
  <c r="D21" i="5" s="1"/>
  <c r="L21" i="4"/>
  <c r="L21" i="5" s="1"/>
  <c r="X21" i="5"/>
  <c r="X21" i="4"/>
  <c r="C438" i="14"/>
  <c r="Z5" i="11"/>
  <c r="AC5" i="2"/>
  <c r="AI5" i="2" s="1"/>
  <c r="AB5" i="2"/>
  <c r="AH5" i="2" s="1"/>
  <c r="Y5" i="11"/>
  <c r="AB5" i="11" s="1"/>
  <c r="X7" i="5"/>
  <c r="AD9" i="6"/>
  <c r="AE10" i="10"/>
  <c r="AA10" i="11"/>
  <c r="AD19" i="10"/>
  <c r="AC19" i="11"/>
  <c r="N8" i="11"/>
  <c r="K9" i="10"/>
  <c r="F9" i="11"/>
  <c r="X5" i="7"/>
  <c r="AA5" i="7" s="1"/>
  <c r="L5" i="7"/>
  <c r="AF7" i="4"/>
  <c r="AB7" i="13"/>
  <c r="AK7" i="13"/>
  <c r="AF12" i="10"/>
  <c r="AC12" i="11"/>
  <c r="AA8" i="11"/>
  <c r="AE8" i="11" s="1"/>
  <c r="AA19" i="11"/>
  <c r="AE19" i="11" s="1"/>
  <c r="AE19" i="10"/>
  <c r="AA4" i="13"/>
  <c r="AA4" i="10"/>
  <c r="AA4" i="11"/>
  <c r="AA4" i="6"/>
  <c r="AA4" i="7" s="1"/>
  <c r="AA5" i="2"/>
  <c r="AG5" i="2" s="1"/>
  <c r="L5" i="4"/>
  <c r="L5" i="6"/>
  <c r="X5" i="6"/>
  <c r="AA5" i="6" s="1"/>
  <c r="AD20" i="6"/>
  <c r="AC18" i="11"/>
  <c r="AD18" i="10"/>
  <c r="AA20" i="10"/>
  <c r="AE20" i="7"/>
  <c r="I11" i="8"/>
  <c r="AE18" i="10"/>
  <c r="AA18" i="11"/>
  <c r="AE18" i="11" s="1"/>
  <c r="S9" i="10"/>
  <c r="N9" i="11"/>
  <c r="S24" i="10"/>
  <c r="N24" i="11"/>
  <c r="S24" i="11" s="1"/>
  <c r="AA4" i="5"/>
  <c r="AA4" i="12" s="1"/>
  <c r="E34" i="9"/>
  <c r="E9" i="9"/>
  <c r="E12" i="9"/>
  <c r="J17" i="9"/>
  <c r="E8" i="9"/>
  <c r="E11" i="9"/>
  <c r="E7" i="9"/>
  <c r="E17" i="9"/>
  <c r="E10" i="9"/>
  <c r="H17" i="11"/>
  <c r="AA11" i="11"/>
  <c r="P21" i="8"/>
  <c r="P20" i="10"/>
  <c r="N12" i="11"/>
  <c r="AD7" i="10"/>
  <c r="AC7" i="11"/>
  <c r="AD7" i="11" s="1"/>
  <c r="AE11" i="10"/>
  <c r="X5" i="4"/>
  <c r="AA5" i="4" s="1"/>
  <c r="H5" i="7"/>
  <c r="P5" i="7" s="1"/>
  <c r="Z5" i="7" s="1"/>
  <c r="AC5" i="7" s="1"/>
  <c r="AC5" i="10" s="1"/>
  <c r="R18" i="7"/>
  <c r="L18" i="10"/>
  <c r="L18" i="11" s="1"/>
  <c r="S28" i="10"/>
  <c r="N28" i="11"/>
  <c r="D5" i="10"/>
  <c r="Y13" i="10"/>
  <c r="Y13" i="11" s="1"/>
  <c r="Y9" i="11"/>
  <c r="N20" i="10"/>
  <c r="N5" i="7"/>
  <c r="AD9" i="7"/>
  <c r="AC9" i="10"/>
  <c r="AC9" i="11" s="1"/>
  <c r="I27" i="8"/>
  <c r="I10" i="8"/>
  <c r="I7" i="8"/>
  <c r="I19" i="8"/>
  <c r="I9" i="8"/>
  <c r="I15" i="8"/>
  <c r="I12" i="8"/>
  <c r="I16" i="8"/>
  <c r="I8" i="8"/>
  <c r="N11" i="10"/>
  <c r="S11" i="9"/>
  <c r="P17" i="10"/>
  <c r="P7" i="11"/>
  <c r="P17" i="11" s="1"/>
  <c r="K29" i="10"/>
  <c r="F29" i="11"/>
  <c r="K29" i="11" s="1"/>
  <c r="AF7" i="11"/>
  <c r="AD18" i="6"/>
  <c r="AE10" i="7"/>
  <c r="AD20" i="7"/>
  <c r="Q21" i="7"/>
  <c r="H26" i="7"/>
  <c r="H27" i="7" s="1"/>
  <c r="Q9" i="8"/>
  <c r="Q28" i="8"/>
  <c r="P37" i="11"/>
  <c r="M8" i="9"/>
  <c r="Q11" i="9"/>
  <c r="S24" i="9"/>
  <c r="F5" i="10"/>
  <c r="D17" i="10"/>
  <c r="R7" i="10"/>
  <c r="AF10" i="10"/>
  <c r="AF19" i="10"/>
  <c r="AB19" i="11"/>
  <c r="AF19" i="11" s="1"/>
  <c r="AF20" i="10"/>
  <c r="S21" i="10"/>
  <c r="D25" i="10"/>
  <c r="D23" i="11"/>
  <c r="J23" i="11" s="1"/>
  <c r="S34" i="10"/>
  <c r="N34" i="11"/>
  <c r="S34" i="11" s="1"/>
  <c r="D7" i="11"/>
  <c r="J7" i="11" s="1"/>
  <c r="L26" i="7"/>
  <c r="I25" i="8"/>
  <c r="Q27" i="8"/>
  <c r="P36" i="11"/>
  <c r="H5" i="10"/>
  <c r="F17" i="10"/>
  <c r="S7" i="10"/>
  <c r="Y14" i="10"/>
  <c r="Y8" i="11"/>
  <c r="J9" i="10"/>
  <c r="AA9" i="10"/>
  <c r="J11" i="10"/>
  <c r="D11" i="11"/>
  <c r="J11" i="11" s="1"/>
  <c r="K12" i="10"/>
  <c r="F12" i="11"/>
  <c r="K23" i="10"/>
  <c r="F23" i="11"/>
  <c r="N33" i="11"/>
  <c r="F7" i="11"/>
  <c r="K7" i="11" s="1"/>
  <c r="AE7" i="11"/>
  <c r="AF12" i="7"/>
  <c r="S17" i="7"/>
  <c r="P19" i="7"/>
  <c r="Q23" i="7"/>
  <c r="R31" i="7"/>
  <c r="Q7" i="8"/>
  <c r="Q10" i="8"/>
  <c r="I21" i="8"/>
  <c r="G7" i="9"/>
  <c r="Q8" i="9"/>
  <c r="Z8" i="11"/>
  <c r="AF7" i="5"/>
  <c r="Y7" i="13"/>
  <c r="AH7" i="13"/>
  <c r="AD10" i="6"/>
  <c r="N16" i="13"/>
  <c r="AE19" i="6"/>
  <c r="AD8" i="7"/>
  <c r="Q10" i="7"/>
  <c r="E11" i="7"/>
  <c r="P26" i="7"/>
  <c r="Q28" i="7"/>
  <c r="Q36" i="11" s="1"/>
  <c r="M8" i="8"/>
  <c r="Q17" i="8"/>
  <c r="I11" i="9"/>
  <c r="J7" i="10"/>
  <c r="J12" i="10"/>
  <c r="AA12" i="10"/>
  <c r="P18" i="10"/>
  <c r="P18" i="11" s="1"/>
  <c r="AF18" i="10"/>
  <c r="D22" i="10"/>
  <c r="D20" i="11"/>
  <c r="U14" i="11"/>
  <c r="J23" i="10"/>
  <c r="J24" i="10"/>
  <c r="N29" i="11"/>
  <c r="N31" i="10"/>
  <c r="AB9" i="11"/>
  <c r="AF9" i="11" s="1"/>
  <c r="P16" i="13"/>
  <c r="X17" i="7"/>
  <c r="X22" i="7" s="1"/>
  <c r="X14" i="11"/>
  <c r="Q22" i="7"/>
  <c r="R28" i="7"/>
  <c r="Q19" i="8"/>
  <c r="G8" i="9"/>
  <c r="Q9" i="9"/>
  <c r="M23" i="9"/>
  <c r="M25" i="9" s="1"/>
  <c r="L25" i="9"/>
  <c r="L33" i="9" s="1"/>
  <c r="R33" i="9" s="1"/>
  <c r="K7" i="10"/>
  <c r="AB14" i="10"/>
  <c r="AB8" i="11"/>
  <c r="E10" i="10"/>
  <c r="D10" i="11"/>
  <c r="J10" i="11" s="1"/>
  <c r="AF12" i="11"/>
  <c r="J16" i="11"/>
  <c r="AB22" i="10"/>
  <c r="AB17" i="11"/>
  <c r="AE21" i="10"/>
  <c r="AA21" i="11"/>
  <c r="AE21" i="11" s="1"/>
  <c r="L23" i="10"/>
  <c r="L28" i="10"/>
  <c r="L28" i="11" s="1"/>
  <c r="P29" i="10"/>
  <c r="P29" i="11" s="1"/>
  <c r="P31" i="10"/>
  <c r="P31" i="11" s="1"/>
  <c r="H23" i="11"/>
  <c r="AE7" i="5"/>
  <c r="AF8" i="6"/>
  <c r="AE10" i="6"/>
  <c r="AD19" i="6"/>
  <c r="E10" i="7"/>
  <c r="AD11" i="7"/>
  <c r="Z17" i="7"/>
  <c r="Z22" i="7" s="1"/>
  <c r="Z14" i="11"/>
  <c r="AD18" i="7"/>
  <c r="R22" i="7"/>
  <c r="Q8" i="8"/>
  <c r="Q12" i="8"/>
  <c r="M10" i="9"/>
  <c r="M17" i="9"/>
  <c r="G30" i="9"/>
  <c r="F38" i="11"/>
  <c r="L17" i="10"/>
  <c r="AE7" i="10"/>
  <c r="AC8" i="10"/>
  <c r="R9" i="10"/>
  <c r="G10" i="10"/>
  <c r="F10" i="11"/>
  <c r="K10" i="11" s="1"/>
  <c r="R11" i="10"/>
  <c r="L11" i="11"/>
  <c r="R11" i="11" s="1"/>
  <c r="E14" i="10"/>
  <c r="D14" i="11"/>
  <c r="H22" i="10"/>
  <c r="H20" i="11"/>
  <c r="U13" i="11" s="1"/>
  <c r="AC21" i="10"/>
  <c r="N23" i="10"/>
  <c r="K34" i="10"/>
  <c r="F34" i="11"/>
  <c r="K34" i="11" s="1"/>
  <c r="F20" i="11"/>
  <c r="F22" i="11" s="1"/>
  <c r="F24" i="11"/>
  <c r="K24" i="11" s="1"/>
  <c r="AD10" i="7"/>
  <c r="Q22" i="9"/>
  <c r="S28" i="9"/>
  <c r="N36" i="11"/>
  <c r="N17" i="10"/>
  <c r="O12" i="10" s="1"/>
  <c r="X13" i="10"/>
  <c r="X13" i="11" s="1"/>
  <c r="X9" i="11"/>
  <c r="AC11" i="10"/>
  <c r="Z13" i="10"/>
  <c r="Z13" i="11" s="1"/>
  <c r="H16" i="13"/>
  <c r="AC20" i="10"/>
  <c r="P25" i="10"/>
  <c r="P23" i="11"/>
  <c r="P25" i="11" s="1"/>
  <c r="P28" i="10"/>
  <c r="P28" i="11" s="1"/>
  <c r="F33" i="11"/>
  <c r="AA6" i="11"/>
  <c r="L20" i="11"/>
  <c r="O22" i="12"/>
  <c r="S22" i="12"/>
  <c r="O23" i="12"/>
  <c r="E11" i="12"/>
  <c r="O17" i="12"/>
  <c r="AD19" i="12"/>
  <c r="K22" i="12"/>
  <c r="O21" i="12"/>
  <c r="E18" i="12"/>
  <c r="D22" i="12"/>
  <c r="Q21" i="12"/>
  <c r="E20" i="12"/>
  <c r="E23" i="12"/>
  <c r="J17" i="12"/>
  <c r="L2" i="13"/>
  <c r="L5" i="13"/>
  <c r="AC5" i="13"/>
  <c r="N5" i="13"/>
  <c r="X7" i="12"/>
  <c r="AA12" i="12"/>
  <c r="AF12" i="12"/>
  <c r="AC13" i="12"/>
  <c r="F19" i="12"/>
  <c r="G16" i="12"/>
  <c r="AF7" i="12"/>
  <c r="AA7" i="12"/>
  <c r="AD7" i="12" s="1"/>
  <c r="Z14" i="12"/>
  <c r="Z17" i="12" s="1"/>
  <c r="Z22" i="12" s="1"/>
  <c r="Z28" i="6" s="1"/>
  <c r="X8" i="12"/>
  <c r="D16" i="12"/>
  <c r="D16" i="13" s="1"/>
  <c r="J16" i="13" s="1"/>
  <c r="H19" i="12"/>
  <c r="X21" i="12"/>
  <c r="AF8" i="12"/>
  <c r="AA8" i="12"/>
  <c r="AD8" i="12" s="1"/>
  <c r="AC14" i="12"/>
  <c r="AF21" i="12"/>
  <c r="AA21" i="12"/>
  <c r="AE21" i="12" s="1"/>
  <c r="O28" i="12"/>
  <c r="S28" i="12"/>
  <c r="G29" i="12"/>
  <c r="K29" i="12"/>
  <c r="O29" i="12"/>
  <c r="S29" i="12"/>
  <c r="O16" i="12"/>
  <c r="N19" i="12"/>
  <c r="G24" i="12"/>
  <c r="F25" i="12"/>
  <c r="K24" i="12"/>
  <c r="O24" i="12"/>
  <c r="N25" i="12"/>
  <c r="S24" i="12"/>
  <c r="G28" i="12"/>
  <c r="K28" i="12"/>
  <c r="Z13" i="12"/>
  <c r="X12" i="12"/>
  <c r="X13" i="12" s="1"/>
  <c r="Q28" i="12"/>
  <c r="L28" i="12"/>
  <c r="I29" i="12"/>
  <c r="D29" i="12"/>
  <c r="Q29" i="12"/>
  <c r="L29" i="12"/>
  <c r="P19" i="12"/>
  <c r="L16" i="12"/>
  <c r="L19" i="12" s="1"/>
  <c r="H25" i="12"/>
  <c r="I25" i="12" s="1"/>
  <c r="D24" i="12"/>
  <c r="I24" i="12"/>
  <c r="L24" i="12"/>
  <c r="Q24" i="12"/>
  <c r="P25" i="12"/>
  <c r="J22" i="12"/>
  <c r="E22" i="12"/>
  <c r="Q18" i="12"/>
  <c r="Q10" i="12"/>
  <c r="Q8" i="12"/>
  <c r="Q34" i="12"/>
  <c r="Q20" i="12"/>
  <c r="Q17" i="12"/>
  <c r="Q11" i="12"/>
  <c r="Q7" i="12"/>
  <c r="Q31" i="12"/>
  <c r="Q12" i="12"/>
  <c r="Q9" i="12"/>
  <c r="N5" i="12"/>
  <c r="L17" i="12"/>
  <c r="M31" i="12" s="1"/>
  <c r="J20" i="12"/>
  <c r="I21" i="12"/>
  <c r="Q23" i="12"/>
  <c r="I34" i="12"/>
  <c r="L2" i="12"/>
  <c r="I10" i="12"/>
  <c r="I18" i="12"/>
  <c r="J21" i="12"/>
  <c r="I23" i="12"/>
  <c r="X5" i="12"/>
  <c r="E17" i="12"/>
  <c r="J23" i="12"/>
  <c r="S23" i="12"/>
  <c r="E31" i="12"/>
  <c r="O31" i="12"/>
  <c r="O20" i="12"/>
  <c r="P22" i="12"/>
  <c r="D25" i="12"/>
  <c r="E28" i="12"/>
  <c r="I31" i="12"/>
  <c r="I22" i="12"/>
  <c r="I20" i="12"/>
  <c r="I8" i="11"/>
  <c r="I21" i="11"/>
  <c r="Q25" i="11"/>
  <c r="Q31" i="11"/>
  <c r="I16" i="11"/>
  <c r="I11" i="11"/>
  <c r="I24" i="11"/>
  <c r="H19" i="11"/>
  <c r="I29" i="11"/>
  <c r="I17" i="11"/>
  <c r="I9" i="11"/>
  <c r="I10" i="11"/>
  <c r="I12" i="11"/>
  <c r="I34" i="11"/>
  <c r="I20" i="11"/>
  <c r="Q21" i="11"/>
  <c r="Q11" i="11"/>
  <c r="Q24" i="11"/>
  <c r="Q23" i="11"/>
  <c r="P19" i="11"/>
  <c r="Q29" i="11"/>
  <c r="Q17" i="11"/>
  <c r="Q8" i="11"/>
  <c r="I18" i="11"/>
  <c r="Q34" i="11"/>
  <c r="Q9" i="11"/>
  <c r="Q10" i="11"/>
  <c r="Q12" i="11"/>
  <c r="M18" i="11"/>
  <c r="I31" i="11"/>
  <c r="Q18" i="11"/>
  <c r="I28" i="11"/>
  <c r="K8" i="11"/>
  <c r="S8" i="11"/>
  <c r="K20" i="11"/>
  <c r="H22" i="11"/>
  <c r="K22" i="11" s="1"/>
  <c r="M24" i="11"/>
  <c r="G31" i="11"/>
  <c r="AB13" i="11"/>
  <c r="J21" i="11"/>
  <c r="R21" i="11"/>
  <c r="AB22" i="11"/>
  <c r="G7" i="11"/>
  <c r="K9" i="11"/>
  <c r="S9" i="11"/>
  <c r="K12" i="11"/>
  <c r="S12" i="11"/>
  <c r="K21" i="11"/>
  <c r="S21" i="11"/>
  <c r="D25" i="11"/>
  <c r="R28" i="11"/>
  <c r="D17" i="11"/>
  <c r="E20" i="11" s="1"/>
  <c r="L17" i="11"/>
  <c r="M28" i="11" s="1"/>
  <c r="J18" i="11"/>
  <c r="R18" i="11"/>
  <c r="I23" i="11"/>
  <c r="J28" i="11"/>
  <c r="J34" i="11"/>
  <c r="R34" i="11"/>
  <c r="I7" i="11"/>
  <c r="Q7" i="11"/>
  <c r="F17" i="11"/>
  <c r="G9" i="11" s="1"/>
  <c r="M8" i="10"/>
  <c r="M12" i="10"/>
  <c r="K22" i="10"/>
  <c r="G22" i="10"/>
  <c r="M28" i="10"/>
  <c r="Q29" i="10"/>
  <c r="E34" i="10"/>
  <c r="M24" i="10"/>
  <c r="M23" i="10"/>
  <c r="R17" i="10"/>
  <c r="M11" i="10"/>
  <c r="M29" i="10"/>
  <c r="M9" i="10"/>
  <c r="L19" i="10"/>
  <c r="M17" i="10"/>
  <c r="M7" i="10"/>
  <c r="H26" i="10"/>
  <c r="M21" i="10"/>
  <c r="O29" i="10"/>
  <c r="O20" i="10"/>
  <c r="O9" i="10"/>
  <c r="N19" i="10"/>
  <c r="O17" i="10"/>
  <c r="O7" i="10"/>
  <c r="O33" i="10"/>
  <c r="O31" i="10"/>
  <c r="O28" i="10"/>
  <c r="O21" i="10"/>
  <c r="S17" i="10"/>
  <c r="O11" i="10"/>
  <c r="Q8" i="10"/>
  <c r="Q12" i="10"/>
  <c r="E18" i="10"/>
  <c r="M22" i="10"/>
  <c r="R22" i="10"/>
  <c r="Q25" i="10"/>
  <c r="Q24" i="10"/>
  <c r="P19" i="10"/>
  <c r="Q18" i="10"/>
  <c r="Q17" i="10"/>
  <c r="Q7" i="10"/>
  <c r="Q31" i="10"/>
  <c r="Q28" i="10"/>
  <c r="Q21" i="10"/>
  <c r="Q11" i="10"/>
  <c r="Q9" i="10"/>
  <c r="M10" i="10"/>
  <c r="G18" i="10"/>
  <c r="M34" i="10"/>
  <c r="E28" i="10"/>
  <c r="E24" i="10"/>
  <c r="E23" i="10"/>
  <c r="J17" i="10"/>
  <c r="E11" i="10"/>
  <c r="E29" i="10"/>
  <c r="E9" i="10"/>
  <c r="D19" i="10"/>
  <c r="E17" i="10"/>
  <c r="E16" i="10"/>
  <c r="E7" i="10"/>
  <c r="E13" i="10"/>
  <c r="E8" i="10"/>
  <c r="X14" i="10"/>
  <c r="X17" i="10" s="1"/>
  <c r="O10" i="10"/>
  <c r="E12" i="10"/>
  <c r="J25" i="10"/>
  <c r="E25" i="10"/>
  <c r="G29" i="10"/>
  <c r="G20" i="10"/>
  <c r="G9" i="10"/>
  <c r="F19" i="10"/>
  <c r="G17" i="10"/>
  <c r="G7" i="10"/>
  <c r="G33" i="10"/>
  <c r="G31" i="10"/>
  <c r="G21" i="10"/>
  <c r="G11" i="10"/>
  <c r="G8" i="10"/>
  <c r="Q10" i="10"/>
  <c r="M18" i="10"/>
  <c r="E21" i="10"/>
  <c r="G28" i="10"/>
  <c r="Q34" i="10"/>
  <c r="O18" i="10"/>
  <c r="Y17" i="10"/>
  <c r="D26" i="10"/>
  <c r="E22" i="10"/>
  <c r="J22" i="10"/>
  <c r="AD8" i="10"/>
  <c r="J18" i="10"/>
  <c r="R18" i="10"/>
  <c r="AF7" i="10"/>
  <c r="K8" i="10"/>
  <c r="S8" i="10"/>
  <c r="AE8" i="10"/>
  <c r="AD9" i="10"/>
  <c r="G12" i="10"/>
  <c r="K18" i="10"/>
  <c r="S18" i="10"/>
  <c r="Q20" i="10"/>
  <c r="G23" i="10"/>
  <c r="O23" i="10"/>
  <c r="G24" i="10"/>
  <c r="O24" i="10"/>
  <c r="F25" i="10"/>
  <c r="N25" i="10"/>
  <c r="G34" i="10"/>
  <c r="O34" i="10"/>
  <c r="AF8" i="10"/>
  <c r="J10" i="10"/>
  <c r="R10" i="10"/>
  <c r="AD10" i="10"/>
  <c r="J20" i="10"/>
  <c r="R20" i="10"/>
  <c r="L2" i="10"/>
  <c r="K10" i="10"/>
  <c r="S10" i="10"/>
  <c r="K20" i="10"/>
  <c r="S20" i="10"/>
  <c r="J21" i="10"/>
  <c r="R21" i="10"/>
  <c r="Q23" i="10"/>
  <c r="R28" i="10"/>
  <c r="J34" i="10"/>
  <c r="R34" i="10"/>
  <c r="H17" i="10"/>
  <c r="I29" i="10" s="1"/>
  <c r="E20" i="10"/>
  <c r="M20" i="10"/>
  <c r="G12" i="9"/>
  <c r="S12" i="9"/>
  <c r="Q16" i="9"/>
  <c r="K17" i="9"/>
  <c r="H19" i="9"/>
  <c r="P19" i="9"/>
  <c r="G21" i="9"/>
  <c r="I24" i="9"/>
  <c r="M28" i="9"/>
  <c r="G29" i="9"/>
  <c r="K30" i="9"/>
  <c r="G34" i="9"/>
  <c r="L2" i="9"/>
  <c r="S8" i="9"/>
  <c r="S10" i="9"/>
  <c r="I12" i="9"/>
  <c r="E18" i="9"/>
  <c r="Q18" i="9"/>
  <c r="M20" i="9"/>
  <c r="M33" i="9" s="1"/>
  <c r="I21" i="9"/>
  <c r="S21" i="9"/>
  <c r="E23" i="9"/>
  <c r="E25" i="9" s="1"/>
  <c r="I29" i="9"/>
  <c r="E31" i="9"/>
  <c r="I34" i="9"/>
  <c r="G18" i="9"/>
  <c r="G23" i="9"/>
  <c r="G25" i="9" s="1"/>
  <c r="N25" i="9"/>
  <c r="S25" i="9" s="1"/>
  <c r="P26" i="9"/>
  <c r="Q26" i="9" s="1"/>
  <c r="Q27" i="9" s="1"/>
  <c r="F32" i="9"/>
  <c r="F40" i="11" s="1"/>
  <c r="N17" i="9"/>
  <c r="I18" i="9"/>
  <c r="N22" i="9"/>
  <c r="I23" i="9"/>
  <c r="I25" i="9" s="1"/>
  <c r="Q23" i="9"/>
  <c r="Q25" i="9" s="1"/>
  <c r="M24" i="9"/>
  <c r="G33" i="9"/>
  <c r="G11" i="9"/>
  <c r="G17" i="9"/>
  <c r="D19" i="9"/>
  <c r="L19" i="9"/>
  <c r="E20" i="9"/>
  <c r="Q20" i="9"/>
  <c r="Q33" i="9" s="1"/>
  <c r="M21" i="9"/>
  <c r="E28" i="9"/>
  <c r="M29" i="9"/>
  <c r="M31" i="9"/>
  <c r="M34" i="9"/>
  <c r="G20" i="9"/>
  <c r="G28" i="9"/>
  <c r="I16" i="9"/>
  <c r="I17" i="9"/>
  <c r="Q17" i="9"/>
  <c r="M18" i="9"/>
  <c r="F19" i="9"/>
  <c r="I20" i="9"/>
  <c r="I33" i="9" s="1"/>
  <c r="E24" i="9"/>
  <c r="Q24" i="9"/>
  <c r="D27" i="9"/>
  <c r="D30" i="9" s="1"/>
  <c r="Q29" i="9"/>
  <c r="Q31" i="9"/>
  <c r="Q12" i="9"/>
  <c r="E21" i="9"/>
  <c r="E29" i="9"/>
  <c r="M25" i="8"/>
  <c r="R25" i="8"/>
  <c r="Q21" i="8"/>
  <c r="P25" i="8"/>
  <c r="Q25" i="8" s="1"/>
  <c r="L2" i="8"/>
  <c r="M16" i="8"/>
  <c r="L18" i="8"/>
  <c r="Q22" i="8"/>
  <c r="M23" i="8"/>
  <c r="I24" i="8"/>
  <c r="E25" i="8"/>
  <c r="M27" i="8"/>
  <c r="I28" i="8"/>
  <c r="Q30" i="8"/>
  <c r="I33" i="8"/>
  <c r="E16" i="8"/>
  <c r="D18" i="8"/>
  <c r="Q20" i="8"/>
  <c r="E22" i="8"/>
  <c r="E32" i="8"/>
  <c r="E20" i="8"/>
  <c r="Q23" i="8"/>
  <c r="I30" i="8"/>
  <c r="E10" i="8"/>
  <c r="M11" i="8"/>
  <c r="Q16" i="8"/>
  <c r="M17" i="8"/>
  <c r="P18" i="8"/>
  <c r="M21" i="8"/>
  <c r="I22" i="8"/>
  <c r="E23" i="8"/>
  <c r="M24" i="8"/>
  <c r="E27" i="8"/>
  <c r="M28" i="8"/>
  <c r="M33" i="8"/>
  <c r="R16" i="8"/>
  <c r="H18" i="8"/>
  <c r="M19" i="8"/>
  <c r="I20" i="8"/>
  <c r="E21" i="8"/>
  <c r="J16" i="8"/>
  <c r="I23" i="8"/>
  <c r="E24" i="8"/>
  <c r="Q24" i="8"/>
  <c r="Q33" i="8"/>
  <c r="E11" i="8"/>
  <c r="M12" i="8"/>
  <c r="E17" i="8"/>
  <c r="M22" i="8"/>
  <c r="E28" i="8"/>
  <c r="E33" i="8"/>
  <c r="E26" i="7"/>
  <c r="J26" i="7"/>
  <c r="I26" i="7"/>
  <c r="K26" i="7"/>
  <c r="R26" i="7"/>
  <c r="M26" i="7"/>
  <c r="Q26" i="7"/>
  <c r="S26" i="7"/>
  <c r="AA13" i="7"/>
  <c r="AA13" i="10" s="1"/>
  <c r="AE13" i="10" s="1"/>
  <c r="E17" i="7"/>
  <c r="I19" i="7"/>
  <c r="I22" i="7"/>
  <c r="M24" i="7"/>
  <c r="Q25" i="7"/>
  <c r="M31" i="7"/>
  <c r="E28" i="7"/>
  <c r="E7" i="7"/>
  <c r="I12" i="7"/>
  <c r="AC13" i="7"/>
  <c r="AC13" i="10" s="1"/>
  <c r="AD13" i="10" s="1"/>
  <c r="AC14" i="7"/>
  <c r="AC14" i="11" s="1"/>
  <c r="S19" i="7"/>
  <c r="I20" i="7"/>
  <c r="J22" i="7"/>
  <c r="S22" i="7"/>
  <c r="E23" i="7"/>
  <c r="I25" i="7"/>
  <c r="I28" i="7"/>
  <c r="Q29" i="7"/>
  <c r="Q37" i="11" s="1"/>
  <c r="E34" i="7"/>
  <c r="AD12" i="7"/>
  <c r="M18" i="7"/>
  <c r="K19" i="7"/>
  <c r="K22" i="7"/>
  <c r="Q24" i="7"/>
  <c r="E29" i="7"/>
  <c r="E31" i="7"/>
  <c r="Q31" i="7"/>
  <c r="Q39" i="11" s="1"/>
  <c r="I17" i="7"/>
  <c r="R17" i="7"/>
  <c r="L19" i="7"/>
  <c r="M21" i="7"/>
  <c r="I23" i="7"/>
  <c r="E24" i="7"/>
  <c r="I34" i="7"/>
  <c r="E20" i="7"/>
  <c r="M8" i="7"/>
  <c r="M9" i="7"/>
  <c r="M10" i="7"/>
  <c r="M11" i="7"/>
  <c r="M12" i="7"/>
  <c r="J17" i="7"/>
  <c r="E18" i="7"/>
  <c r="D19" i="7"/>
  <c r="M20" i="7"/>
  <c r="M22" i="7"/>
  <c r="I29" i="7"/>
  <c r="E22" i="7"/>
  <c r="M25" i="7"/>
  <c r="M28" i="7"/>
  <c r="E21" i="7"/>
  <c r="K12" i="6"/>
  <c r="H22" i="6"/>
  <c r="P22" i="6"/>
  <c r="J7" i="6"/>
  <c r="D17" i="6"/>
  <c r="E7" i="6"/>
  <c r="R7" i="6"/>
  <c r="L17" i="6"/>
  <c r="M7" i="6" s="1"/>
  <c r="J10" i="6"/>
  <c r="E10" i="6"/>
  <c r="S10" i="6"/>
  <c r="J21" i="6"/>
  <c r="E21" i="6"/>
  <c r="R21" i="6"/>
  <c r="M21" i="6"/>
  <c r="H25" i="6"/>
  <c r="P25" i="6"/>
  <c r="J31" i="6"/>
  <c r="E31" i="6"/>
  <c r="R31" i="6"/>
  <c r="M31" i="6"/>
  <c r="J34" i="6"/>
  <c r="E34" i="6"/>
  <c r="R34" i="6"/>
  <c r="E18" i="6"/>
  <c r="J18" i="6"/>
  <c r="R18" i="6"/>
  <c r="E28" i="6"/>
  <c r="J28" i="6"/>
  <c r="M28" i="6"/>
  <c r="R28" i="6"/>
  <c r="F17" i="6"/>
  <c r="G7" i="6" s="1"/>
  <c r="K7" i="6"/>
  <c r="N17" i="6"/>
  <c r="O7" i="6"/>
  <c r="S7" i="6"/>
  <c r="E9" i="6"/>
  <c r="J9" i="6"/>
  <c r="R9" i="6"/>
  <c r="K10" i="6"/>
  <c r="K21" i="6"/>
  <c r="O21" i="6"/>
  <c r="S21" i="6"/>
  <c r="K31" i="6"/>
  <c r="O31" i="6"/>
  <c r="S31" i="6"/>
  <c r="K34" i="6"/>
  <c r="O34" i="6"/>
  <c r="S34" i="6"/>
  <c r="R12" i="6"/>
  <c r="G18" i="6"/>
  <c r="K18" i="6"/>
  <c r="O18" i="6"/>
  <c r="S18" i="6"/>
  <c r="D22" i="6"/>
  <c r="E20" i="6"/>
  <c r="J20" i="6"/>
  <c r="L22" i="6"/>
  <c r="M20" i="6"/>
  <c r="R20" i="6"/>
  <c r="K28" i="6"/>
  <c r="O28" i="6"/>
  <c r="S28" i="6"/>
  <c r="E29" i="6"/>
  <c r="J29" i="6"/>
  <c r="M29" i="6"/>
  <c r="R29" i="6"/>
  <c r="H17" i="6"/>
  <c r="I28" i="6" s="1"/>
  <c r="P17" i="6"/>
  <c r="Q7" i="6" s="1"/>
  <c r="E8" i="6"/>
  <c r="J8" i="6"/>
  <c r="M8" i="6"/>
  <c r="R8" i="6"/>
  <c r="K9" i="6"/>
  <c r="O9" i="6"/>
  <c r="S9" i="6"/>
  <c r="S12" i="6"/>
  <c r="E23" i="6"/>
  <c r="D25" i="6"/>
  <c r="J23" i="6"/>
  <c r="M23" i="6"/>
  <c r="L25" i="6"/>
  <c r="R23" i="6"/>
  <c r="E24" i="6"/>
  <c r="J24" i="6"/>
  <c r="M24" i="6"/>
  <c r="R24" i="6"/>
  <c r="Q31" i="6"/>
  <c r="E12" i="6"/>
  <c r="J12" i="6"/>
  <c r="I18" i="6"/>
  <c r="K20" i="6"/>
  <c r="F22" i="6"/>
  <c r="O20" i="6"/>
  <c r="S20" i="6"/>
  <c r="N22" i="6"/>
  <c r="K29" i="6"/>
  <c r="O29" i="6"/>
  <c r="S29" i="6"/>
  <c r="K8" i="6"/>
  <c r="S8" i="6"/>
  <c r="O8" i="6"/>
  <c r="Q9" i="6"/>
  <c r="R10" i="6"/>
  <c r="M10" i="6"/>
  <c r="F25" i="6"/>
  <c r="K23" i="6"/>
  <c r="N25" i="6"/>
  <c r="S23" i="6"/>
  <c r="O23" i="6"/>
  <c r="K24" i="6"/>
  <c r="S24" i="6"/>
  <c r="O24" i="6"/>
  <c r="X26" i="6"/>
  <c r="AE22" i="6"/>
  <c r="AE8" i="6"/>
  <c r="Y5" i="6"/>
  <c r="AB5" i="6" s="1"/>
  <c r="AD11" i="6"/>
  <c r="AE11" i="6"/>
  <c r="AD12" i="6"/>
  <c r="AD21" i="6"/>
  <c r="L2" i="6"/>
  <c r="AA13" i="6"/>
  <c r="AC13" i="6"/>
  <c r="AD9" i="5"/>
  <c r="N5" i="5"/>
  <c r="AD7" i="5"/>
  <c r="AD8" i="5"/>
  <c r="AE10" i="4"/>
  <c r="D25" i="4"/>
  <c r="L25" i="4"/>
  <c r="P2" i="4"/>
  <c r="AD7" i="4"/>
  <c r="AD11" i="4"/>
  <c r="AD18" i="4"/>
  <c r="AA13" i="4"/>
  <c r="F25" i="4"/>
  <c r="N25" i="4"/>
  <c r="AD8" i="4"/>
  <c r="AD20" i="4"/>
  <c r="O24" i="4"/>
  <c r="AE8" i="4"/>
  <c r="F17" i="4"/>
  <c r="G24" i="4" s="1"/>
  <c r="N17" i="4"/>
  <c r="H25" i="4"/>
  <c r="P25" i="4"/>
  <c r="AD9" i="4"/>
  <c r="P17" i="3"/>
  <c r="Q10" i="3" s="1"/>
  <c r="R10" i="3"/>
  <c r="L17" i="3"/>
  <c r="M18" i="3" s="1"/>
  <c r="D22" i="3"/>
  <c r="J20" i="3"/>
  <c r="J21" i="3"/>
  <c r="K28" i="3"/>
  <c r="G28" i="3"/>
  <c r="J10" i="3"/>
  <c r="Q11" i="3"/>
  <c r="J18" i="3"/>
  <c r="R18" i="3"/>
  <c r="K21" i="3"/>
  <c r="G21" i="3"/>
  <c r="S21" i="3"/>
  <c r="Q28" i="3"/>
  <c r="J31" i="3"/>
  <c r="Q13" i="3"/>
  <c r="L22" i="3"/>
  <c r="R20" i="3"/>
  <c r="M20" i="3"/>
  <c r="H25" i="3"/>
  <c r="S10" i="3"/>
  <c r="N17" i="3"/>
  <c r="O29" i="3" s="1"/>
  <c r="Q14" i="3"/>
  <c r="K20" i="3"/>
  <c r="G20" i="3"/>
  <c r="F22" i="3"/>
  <c r="S20" i="3"/>
  <c r="N22" i="3"/>
  <c r="S18" i="3"/>
  <c r="S24" i="3"/>
  <c r="Q21" i="3"/>
  <c r="J7" i="3"/>
  <c r="D17" i="3"/>
  <c r="Q12" i="3"/>
  <c r="S23" i="3"/>
  <c r="N25" i="3"/>
  <c r="K29" i="3"/>
  <c r="J34" i="3"/>
  <c r="K24" i="3"/>
  <c r="R34" i="3"/>
  <c r="Q9" i="3"/>
  <c r="P22" i="3"/>
  <c r="G18" i="3"/>
  <c r="G17" i="3"/>
  <c r="F19" i="3"/>
  <c r="K18" i="3"/>
  <c r="Q24" i="3"/>
  <c r="H17" i="3"/>
  <c r="I18" i="3" s="1"/>
  <c r="I10" i="3"/>
  <c r="H22" i="3"/>
  <c r="R21" i="3"/>
  <c r="M21" i="3"/>
  <c r="K23" i="3"/>
  <c r="F25" i="3"/>
  <c r="P25" i="3"/>
  <c r="Q25" i="3" s="1"/>
  <c r="Q23" i="3"/>
  <c r="S28" i="3"/>
  <c r="R31" i="3"/>
  <c r="R8" i="2"/>
  <c r="X13" i="2"/>
  <c r="X13" i="5" s="1"/>
  <c r="R12" i="2"/>
  <c r="S20" i="2"/>
  <c r="N22" i="2"/>
  <c r="K20" i="2"/>
  <c r="F22" i="2"/>
  <c r="AE9" i="2"/>
  <c r="AA13" i="2"/>
  <c r="AA13" i="5" s="1"/>
  <c r="AD9" i="2"/>
  <c r="D17" i="2"/>
  <c r="E29" i="2" s="1"/>
  <c r="J7" i="2"/>
  <c r="AF8" i="2"/>
  <c r="I16" i="2"/>
  <c r="AF18" i="2"/>
  <c r="H17" i="2"/>
  <c r="I18" i="2" s="1"/>
  <c r="I7" i="2"/>
  <c r="K10" i="2"/>
  <c r="J8" i="2"/>
  <c r="J9" i="2"/>
  <c r="E9" i="2"/>
  <c r="M7" i="2"/>
  <c r="L17" i="2"/>
  <c r="M28" i="2" s="1"/>
  <c r="R7" i="2"/>
  <c r="S10" i="2"/>
  <c r="P17" i="2"/>
  <c r="Q14" i="2" s="1"/>
  <c r="I8" i="2"/>
  <c r="R9" i="2"/>
  <c r="M9" i="2"/>
  <c r="I14" i="2"/>
  <c r="AE19" i="2"/>
  <c r="K8" i="2"/>
  <c r="Y13" i="2"/>
  <c r="Y13" i="5" s="1"/>
  <c r="AH13" i="13" s="1"/>
  <c r="J10" i="2"/>
  <c r="E10" i="2"/>
  <c r="R10" i="2"/>
  <c r="I15" i="2"/>
  <c r="Q15" i="2"/>
  <c r="AD18" i="2"/>
  <c r="AF19" i="2"/>
  <c r="AE20" i="2"/>
  <c r="K21" i="2"/>
  <c r="S21" i="2"/>
  <c r="J23" i="2"/>
  <c r="D25" i="2"/>
  <c r="R23" i="2"/>
  <c r="M23" i="2"/>
  <c r="L25" i="2"/>
  <c r="J24" i="2"/>
  <c r="E24" i="2"/>
  <c r="R24" i="2"/>
  <c r="M24" i="2"/>
  <c r="J28" i="2"/>
  <c r="E28" i="2"/>
  <c r="R28" i="2"/>
  <c r="J29" i="2"/>
  <c r="R29" i="2"/>
  <c r="M29" i="2"/>
  <c r="J31" i="2"/>
  <c r="R31" i="2"/>
  <c r="J34" i="2"/>
  <c r="R34" i="2"/>
  <c r="R37" i="5" s="1"/>
  <c r="M34" i="2"/>
  <c r="S8" i="2"/>
  <c r="AE8" i="2"/>
  <c r="K9" i="2"/>
  <c r="S9" i="2"/>
  <c r="Z13" i="2"/>
  <c r="Z13" i="5" s="1"/>
  <c r="AI13" i="13" s="1"/>
  <c r="J11" i="2"/>
  <c r="E11" i="2"/>
  <c r="R11" i="2"/>
  <c r="AD19" i="2"/>
  <c r="H22" i="2"/>
  <c r="I20" i="2"/>
  <c r="P22" i="2"/>
  <c r="Q20" i="2"/>
  <c r="AF20" i="2"/>
  <c r="AE21" i="2"/>
  <c r="J12" i="2"/>
  <c r="M13" i="2"/>
  <c r="R13" i="2"/>
  <c r="AD20" i="2"/>
  <c r="I21" i="2"/>
  <c r="Q21" i="2"/>
  <c r="AF21" i="2"/>
  <c r="F25" i="2"/>
  <c r="K23" i="2"/>
  <c r="N25" i="2"/>
  <c r="S23" i="2"/>
  <c r="K24" i="2"/>
  <c r="S24" i="2"/>
  <c r="K28" i="2"/>
  <c r="S28" i="2"/>
  <c r="K29" i="2"/>
  <c r="S29" i="2"/>
  <c r="K31" i="2"/>
  <c r="S31" i="2"/>
  <c r="K34" i="2"/>
  <c r="S34" i="2"/>
  <c r="S37" i="5" s="1"/>
  <c r="I9" i="2"/>
  <c r="AD10" i="2"/>
  <c r="AE10" i="2"/>
  <c r="K11" i="2"/>
  <c r="S11" i="2"/>
  <c r="J13" i="2"/>
  <c r="J14" i="2"/>
  <c r="R14" i="2"/>
  <c r="M16" i="2"/>
  <c r="J18" i="2"/>
  <c r="M18" i="2"/>
  <c r="R18" i="2"/>
  <c r="AD21" i="2"/>
  <c r="N17" i="2"/>
  <c r="O11" i="2" s="1"/>
  <c r="S7" i="2"/>
  <c r="AC13" i="2"/>
  <c r="AF10" i="2"/>
  <c r="AE11" i="2"/>
  <c r="AD11" i="2"/>
  <c r="K12" i="2"/>
  <c r="S12" i="2"/>
  <c r="K13" i="2"/>
  <c r="O13" i="2"/>
  <c r="S13" i="2"/>
  <c r="J15" i="2"/>
  <c r="M15" i="2"/>
  <c r="R15" i="2"/>
  <c r="J16" i="2"/>
  <c r="I23" i="2"/>
  <c r="H25" i="2"/>
  <c r="I25" i="2" s="1"/>
  <c r="Q23" i="2"/>
  <c r="P25" i="2"/>
  <c r="Q25" i="2" s="1"/>
  <c r="I24" i="2"/>
  <c r="I28" i="2"/>
  <c r="Q28" i="2"/>
  <c r="I29" i="2"/>
  <c r="I31" i="2"/>
  <c r="Q31" i="2"/>
  <c r="I34" i="2"/>
  <c r="AD8" i="2"/>
  <c r="AC14" i="2"/>
  <c r="AB13" i="2"/>
  <c r="AF9" i="2"/>
  <c r="F17" i="2"/>
  <c r="G21" i="2" s="1"/>
  <c r="K7" i="2"/>
  <c r="I10" i="2"/>
  <c r="I11" i="2"/>
  <c r="Q11" i="2"/>
  <c r="AF11" i="2"/>
  <c r="AE12" i="2"/>
  <c r="AD12" i="2"/>
  <c r="K14" i="2"/>
  <c r="S14" i="2"/>
  <c r="G17" i="2"/>
  <c r="K18" i="2"/>
  <c r="S18" i="2"/>
  <c r="E20" i="2"/>
  <c r="J20" i="2"/>
  <c r="D22" i="2"/>
  <c r="M20" i="2"/>
  <c r="R20" i="2"/>
  <c r="L22" i="2"/>
  <c r="X14" i="2"/>
  <c r="X17" i="2" s="1"/>
  <c r="X22" i="2" s="1"/>
  <c r="I12" i="2"/>
  <c r="AF12" i="2"/>
  <c r="I13" i="2"/>
  <c r="Q13" i="2"/>
  <c r="K15" i="2"/>
  <c r="S15" i="2"/>
  <c r="K16" i="2"/>
  <c r="AE18" i="2"/>
  <c r="J21" i="2"/>
  <c r="E21" i="2"/>
  <c r="R21" i="2"/>
  <c r="M21" i="2"/>
  <c r="O18" i="2" l="1"/>
  <c r="E16" i="2"/>
  <c r="E14" i="2"/>
  <c r="E34" i="2"/>
  <c r="Q7" i="2"/>
  <c r="E8" i="2"/>
  <c r="AF13" i="2"/>
  <c r="AB13" i="4"/>
  <c r="AB13" i="5"/>
  <c r="Z14" i="2"/>
  <c r="Z17" i="2" s="1"/>
  <c r="Z22" i="2" s="1"/>
  <c r="I20" i="3"/>
  <c r="I29" i="3"/>
  <c r="M10" i="3"/>
  <c r="G11" i="4"/>
  <c r="F17" i="5"/>
  <c r="I27" i="7"/>
  <c r="H30" i="7"/>
  <c r="K27" i="7"/>
  <c r="G18" i="2"/>
  <c r="O23" i="2"/>
  <c r="E31" i="2"/>
  <c r="E7" i="2"/>
  <c r="I28" i="3"/>
  <c r="O16" i="2"/>
  <c r="E15" i="2"/>
  <c r="E18" i="2"/>
  <c r="AA14" i="2"/>
  <c r="E23" i="2"/>
  <c r="M34" i="3"/>
  <c r="M37" i="5" s="1"/>
  <c r="I24" i="3"/>
  <c r="I23" i="3"/>
  <c r="Q7" i="3"/>
  <c r="O14" i="4"/>
  <c r="AD13" i="2"/>
  <c r="AC13" i="5"/>
  <c r="E12" i="2"/>
  <c r="Y14" i="2"/>
  <c r="Y17" i="2" s="1"/>
  <c r="I21" i="3"/>
  <c r="I25" i="3"/>
  <c r="AE13" i="5"/>
  <c r="G14" i="2"/>
  <c r="M31" i="3"/>
  <c r="L22" i="11"/>
  <c r="R22" i="11" s="1"/>
  <c r="R20" i="11"/>
  <c r="AE9" i="10"/>
  <c r="AA9" i="11"/>
  <c r="Y5" i="10"/>
  <c r="AB5" i="10" s="1"/>
  <c r="F5" i="11"/>
  <c r="N5" i="11" s="1"/>
  <c r="N5" i="10"/>
  <c r="N22" i="10"/>
  <c r="N20" i="11"/>
  <c r="P22" i="10"/>
  <c r="P20" i="11"/>
  <c r="AE20" i="10"/>
  <c r="AA20" i="11"/>
  <c r="AE20" i="11" s="1"/>
  <c r="AL7" i="13"/>
  <c r="X14" i="5"/>
  <c r="X8" i="13"/>
  <c r="X14" i="13" s="1"/>
  <c r="Z18" i="13"/>
  <c r="AI18" i="13"/>
  <c r="P31" i="13"/>
  <c r="P25" i="5"/>
  <c r="P23" i="13"/>
  <c r="J15" i="4"/>
  <c r="D15" i="5"/>
  <c r="AE11" i="5"/>
  <c r="AA11" i="13"/>
  <c r="AD11" i="5"/>
  <c r="J14" i="4"/>
  <c r="D14" i="5"/>
  <c r="AD10" i="4"/>
  <c r="K31" i="4"/>
  <c r="F31" i="5"/>
  <c r="K23" i="4"/>
  <c r="F23" i="5"/>
  <c r="H22" i="4"/>
  <c r="I22" i="4" s="1"/>
  <c r="H20" i="5"/>
  <c r="Y10" i="13"/>
  <c r="AH10" i="13"/>
  <c r="R28" i="4"/>
  <c r="L28" i="5"/>
  <c r="S21" i="4"/>
  <c r="N21" i="5"/>
  <c r="P17" i="4"/>
  <c r="P7" i="5"/>
  <c r="J9" i="5"/>
  <c r="D9" i="13"/>
  <c r="Z10" i="13"/>
  <c r="AI10" i="13"/>
  <c r="D17" i="4"/>
  <c r="D7" i="5"/>
  <c r="J7" i="4"/>
  <c r="N22" i="4"/>
  <c r="S20" i="4"/>
  <c r="N20" i="5"/>
  <c r="I29" i="6"/>
  <c r="AE22" i="7"/>
  <c r="Z14" i="10"/>
  <c r="Z17" i="10" s="1"/>
  <c r="AC5" i="12"/>
  <c r="AC5" i="11"/>
  <c r="X7" i="13"/>
  <c r="Z19" i="13"/>
  <c r="AI19" i="13"/>
  <c r="N18" i="5"/>
  <c r="S18" i="4"/>
  <c r="AF11" i="5"/>
  <c r="AB11" i="13"/>
  <c r="AF9" i="5"/>
  <c r="AB9" i="13"/>
  <c r="H31" i="13"/>
  <c r="H25" i="5"/>
  <c r="H23" i="13"/>
  <c r="S13" i="4"/>
  <c r="N13" i="5"/>
  <c r="AD21" i="5"/>
  <c r="D13" i="5"/>
  <c r="J13" i="4"/>
  <c r="AD10" i="5"/>
  <c r="AA10" i="13"/>
  <c r="AE10" i="5"/>
  <c r="S29" i="4"/>
  <c r="N29" i="5"/>
  <c r="X12" i="13"/>
  <c r="R34" i="4"/>
  <c r="L34" i="5"/>
  <c r="J28" i="4"/>
  <c r="D28" i="5"/>
  <c r="K21" i="4"/>
  <c r="F21" i="5"/>
  <c r="Z14" i="5"/>
  <c r="AI14" i="13" s="1"/>
  <c r="AI8" i="13"/>
  <c r="Z8" i="13"/>
  <c r="D8" i="5"/>
  <c r="L12" i="13"/>
  <c r="AJ8" i="13"/>
  <c r="G8" i="6"/>
  <c r="M9" i="6"/>
  <c r="M34" i="6"/>
  <c r="G20" i="11"/>
  <c r="AF11" i="10"/>
  <c r="AC11" i="11"/>
  <c r="AF11" i="11" s="1"/>
  <c r="AC14" i="10"/>
  <c r="AC8" i="11"/>
  <c r="AD8" i="11" s="1"/>
  <c r="D22" i="11"/>
  <c r="J22" i="11" s="1"/>
  <c r="J20" i="11"/>
  <c r="S16" i="13"/>
  <c r="P27" i="7"/>
  <c r="Q19" i="7"/>
  <c r="F25" i="11"/>
  <c r="K23" i="11"/>
  <c r="AE11" i="11"/>
  <c r="AD18" i="11"/>
  <c r="AE18" i="5"/>
  <c r="AA18" i="13"/>
  <c r="AF12" i="5"/>
  <c r="AB12" i="13"/>
  <c r="F18" i="5"/>
  <c r="G17" i="4"/>
  <c r="K18" i="4"/>
  <c r="P29" i="13"/>
  <c r="K13" i="4"/>
  <c r="F13" i="5"/>
  <c r="AB10" i="13"/>
  <c r="AF10" i="5"/>
  <c r="J9" i="4"/>
  <c r="H9" i="5"/>
  <c r="K29" i="4"/>
  <c r="F29" i="5"/>
  <c r="AF21" i="5"/>
  <c r="AB21" i="13"/>
  <c r="D12" i="13"/>
  <c r="J12" i="5"/>
  <c r="AD19" i="5"/>
  <c r="AC19" i="13"/>
  <c r="AL19" i="13"/>
  <c r="AI9" i="13"/>
  <c r="Z9" i="13"/>
  <c r="J34" i="4"/>
  <c r="D34" i="5"/>
  <c r="R24" i="4"/>
  <c r="L24" i="5"/>
  <c r="F8" i="5"/>
  <c r="K8" i="4"/>
  <c r="Y11" i="13"/>
  <c r="AH11" i="13"/>
  <c r="F10" i="5"/>
  <c r="K10" i="4"/>
  <c r="AF18" i="5"/>
  <c r="AB18" i="13"/>
  <c r="Z20" i="13"/>
  <c r="AI20" i="13"/>
  <c r="X13" i="4"/>
  <c r="X14" i="4" s="1"/>
  <c r="X17" i="4" s="1"/>
  <c r="I8" i="6"/>
  <c r="D26" i="11"/>
  <c r="H26" i="12"/>
  <c r="I26" i="12" s="1"/>
  <c r="L25" i="10"/>
  <c r="L23" i="11"/>
  <c r="R23" i="10"/>
  <c r="N11" i="11"/>
  <c r="S11" i="10"/>
  <c r="S7" i="11"/>
  <c r="AD11" i="10"/>
  <c r="O8" i="10"/>
  <c r="X21" i="13"/>
  <c r="R12" i="4"/>
  <c r="P12" i="5"/>
  <c r="R12" i="5" s="1"/>
  <c r="L22" i="4"/>
  <c r="L20" i="5"/>
  <c r="R20" i="4"/>
  <c r="AE8" i="5"/>
  <c r="AL8" i="13"/>
  <c r="H29" i="13"/>
  <c r="Q10" i="4"/>
  <c r="P10" i="5"/>
  <c r="AH12" i="13"/>
  <c r="Y12" i="13"/>
  <c r="S34" i="4"/>
  <c r="N34" i="5"/>
  <c r="S28" i="4"/>
  <c r="N28" i="5"/>
  <c r="R21" i="4"/>
  <c r="P21" i="5"/>
  <c r="AE21" i="5"/>
  <c r="AA21" i="13"/>
  <c r="S9" i="4"/>
  <c r="N9" i="5"/>
  <c r="J24" i="4"/>
  <c r="D24" i="5"/>
  <c r="AE20" i="5"/>
  <c r="AA20" i="13"/>
  <c r="AE19" i="4"/>
  <c r="N10" i="5"/>
  <c r="S10" i="4"/>
  <c r="H17" i="4"/>
  <c r="H7" i="5"/>
  <c r="H18" i="13"/>
  <c r="U9" i="5"/>
  <c r="X9" i="13"/>
  <c r="X13" i="13" s="1"/>
  <c r="Y22" i="10"/>
  <c r="Y17" i="11"/>
  <c r="Y22" i="11" s="1"/>
  <c r="AJ7" i="13"/>
  <c r="S31" i="10"/>
  <c r="N31" i="11"/>
  <c r="S31" i="11" s="1"/>
  <c r="AF13" i="10"/>
  <c r="L5" i="10"/>
  <c r="D5" i="11"/>
  <c r="L5" i="11" s="1"/>
  <c r="X5" i="10"/>
  <c r="AA5" i="10" s="1"/>
  <c r="AD19" i="11"/>
  <c r="R21" i="5"/>
  <c r="L21" i="13"/>
  <c r="K16" i="4"/>
  <c r="F16" i="5"/>
  <c r="F16" i="13" s="1"/>
  <c r="J12" i="4"/>
  <c r="H12" i="5"/>
  <c r="D22" i="4"/>
  <c r="J20" i="4"/>
  <c r="D20" i="5"/>
  <c r="S14" i="4"/>
  <c r="N14" i="5"/>
  <c r="P34" i="13"/>
  <c r="P38" i="13"/>
  <c r="P28" i="13"/>
  <c r="AI12" i="13"/>
  <c r="Z12" i="13"/>
  <c r="AC13" i="4"/>
  <c r="AC14" i="4" s="1"/>
  <c r="R18" i="4"/>
  <c r="L18" i="5"/>
  <c r="K28" i="4"/>
  <c r="F28" i="5"/>
  <c r="J21" i="4"/>
  <c r="H21" i="5"/>
  <c r="AE21" i="4"/>
  <c r="K9" i="4"/>
  <c r="F9" i="5"/>
  <c r="R31" i="4"/>
  <c r="L31" i="5"/>
  <c r="R23" i="4"/>
  <c r="L23" i="5"/>
  <c r="AF19" i="4"/>
  <c r="R10" i="4"/>
  <c r="L10" i="5"/>
  <c r="AE19" i="5"/>
  <c r="AA19" i="13"/>
  <c r="AE19" i="13" s="1"/>
  <c r="L17" i="4"/>
  <c r="R7" i="4"/>
  <c r="L7" i="5"/>
  <c r="AE12" i="4"/>
  <c r="AE9" i="4"/>
  <c r="Z17" i="4"/>
  <c r="Z22" i="4" s="1"/>
  <c r="N26" i="10"/>
  <c r="AA7" i="13"/>
  <c r="AF8" i="11"/>
  <c r="S29" i="11"/>
  <c r="AF14" i="11"/>
  <c r="AC13" i="11"/>
  <c r="AF13" i="11" s="1"/>
  <c r="J21" i="5"/>
  <c r="D21" i="13"/>
  <c r="S15" i="4"/>
  <c r="N15" i="5"/>
  <c r="K14" i="4"/>
  <c r="F14" i="5"/>
  <c r="AL10" i="13"/>
  <c r="AC10" i="13"/>
  <c r="H28" i="13"/>
  <c r="U24" i="5"/>
  <c r="Y18" i="13"/>
  <c r="AH18" i="13"/>
  <c r="S12" i="4"/>
  <c r="N12" i="5"/>
  <c r="AC9" i="13"/>
  <c r="AL9" i="13"/>
  <c r="J18" i="4"/>
  <c r="D18" i="5"/>
  <c r="AI11" i="13"/>
  <c r="Z11" i="13"/>
  <c r="S24" i="4"/>
  <c r="N24" i="5"/>
  <c r="AF20" i="4"/>
  <c r="R11" i="4"/>
  <c r="L11" i="5"/>
  <c r="AA14" i="5"/>
  <c r="AA8" i="13"/>
  <c r="J31" i="4"/>
  <c r="D31" i="5"/>
  <c r="U27" i="5" s="1"/>
  <c r="J23" i="4"/>
  <c r="D23" i="5"/>
  <c r="U19" i="5" s="1"/>
  <c r="AF19" i="5"/>
  <c r="AB19" i="13"/>
  <c r="AF19" i="13" s="1"/>
  <c r="J10" i="4"/>
  <c r="D10" i="5"/>
  <c r="AC12" i="13"/>
  <c r="AF12" i="13" s="1"/>
  <c r="AL12" i="13"/>
  <c r="AF8" i="5"/>
  <c r="AB8" i="13"/>
  <c r="AE9" i="5"/>
  <c r="AA9" i="13"/>
  <c r="AD9" i="13" s="1"/>
  <c r="Z7" i="13"/>
  <c r="AI7" i="13"/>
  <c r="X22" i="10"/>
  <c r="X17" i="11"/>
  <c r="X22" i="11" s="1"/>
  <c r="S23" i="10"/>
  <c r="N23" i="11"/>
  <c r="S29" i="10"/>
  <c r="AD12" i="10"/>
  <c r="AA12" i="11"/>
  <c r="AE12" i="10"/>
  <c r="P5" i="10"/>
  <c r="Z5" i="10" s="1"/>
  <c r="H5" i="11"/>
  <c r="P5" i="11" s="1"/>
  <c r="AD10" i="11"/>
  <c r="AE10" i="11"/>
  <c r="K15" i="4"/>
  <c r="F15" i="5"/>
  <c r="AC11" i="13"/>
  <c r="AL11" i="13"/>
  <c r="Y19" i="13"/>
  <c r="AH19" i="13"/>
  <c r="F12" i="5"/>
  <c r="K12" i="4"/>
  <c r="N7" i="5"/>
  <c r="S7" i="4"/>
  <c r="S11" i="4"/>
  <c r="N11" i="5"/>
  <c r="K34" i="4"/>
  <c r="F34" i="5"/>
  <c r="K24" i="4"/>
  <c r="F24" i="5"/>
  <c r="AD20" i="5"/>
  <c r="AF20" i="5"/>
  <c r="AB20" i="13"/>
  <c r="D11" i="5"/>
  <c r="J11" i="4"/>
  <c r="R29" i="4"/>
  <c r="L29" i="5"/>
  <c r="L9" i="13"/>
  <c r="Y21" i="13"/>
  <c r="AH21" i="13"/>
  <c r="Y14" i="4"/>
  <c r="AF8" i="4"/>
  <c r="R8" i="4"/>
  <c r="P8" i="5"/>
  <c r="I9" i="6"/>
  <c r="M18" i="6"/>
  <c r="M20" i="11"/>
  <c r="G28" i="11"/>
  <c r="AC20" i="11"/>
  <c r="AD20" i="11" s="1"/>
  <c r="AD20" i="10"/>
  <c r="AC21" i="11"/>
  <c r="AD21" i="11" s="1"/>
  <c r="AD21" i="10"/>
  <c r="H25" i="11"/>
  <c r="I25" i="11" s="1"/>
  <c r="U18" i="11"/>
  <c r="AA14" i="10"/>
  <c r="AE14" i="10" s="1"/>
  <c r="L16" i="13"/>
  <c r="R16" i="13" s="1"/>
  <c r="AC7" i="13"/>
  <c r="AF7" i="13" s="1"/>
  <c r="Y20" i="13"/>
  <c r="AH20" i="13"/>
  <c r="AE12" i="5"/>
  <c r="AA12" i="13"/>
  <c r="AD12" i="5"/>
  <c r="F7" i="5"/>
  <c r="K7" i="4"/>
  <c r="H38" i="13"/>
  <c r="H34" i="13"/>
  <c r="H24" i="13"/>
  <c r="U20" i="5"/>
  <c r="R15" i="4"/>
  <c r="L15" i="5"/>
  <c r="AE11" i="4"/>
  <c r="R9" i="4"/>
  <c r="P9" i="5"/>
  <c r="R9" i="5" s="1"/>
  <c r="R14" i="4"/>
  <c r="L14" i="5"/>
  <c r="K11" i="4"/>
  <c r="F11" i="5"/>
  <c r="S31" i="4"/>
  <c r="N31" i="5"/>
  <c r="S23" i="4"/>
  <c r="N23" i="5"/>
  <c r="R13" i="4"/>
  <c r="L13" i="5"/>
  <c r="P22" i="4"/>
  <c r="Q22" i="4" s="1"/>
  <c r="P20" i="5"/>
  <c r="N8" i="5"/>
  <c r="S8" i="4"/>
  <c r="J29" i="4"/>
  <c r="D29" i="5"/>
  <c r="Z21" i="13"/>
  <c r="AI21" i="13"/>
  <c r="AD18" i="5"/>
  <c r="AJ18" i="13" s="1"/>
  <c r="AC18" i="13"/>
  <c r="AD18" i="13" s="1"/>
  <c r="AL18" i="13"/>
  <c r="AH9" i="13"/>
  <c r="Y9" i="13"/>
  <c r="Y13" i="13" s="1"/>
  <c r="J8" i="4"/>
  <c r="H8" i="5"/>
  <c r="Y14" i="5"/>
  <c r="AH14" i="13" s="1"/>
  <c r="Y8" i="13"/>
  <c r="Y14" i="13" s="1"/>
  <c r="AH8" i="13"/>
  <c r="P18" i="13"/>
  <c r="F22" i="4"/>
  <c r="F20" i="5"/>
  <c r="K20" i="4"/>
  <c r="L8" i="13"/>
  <c r="R8" i="5"/>
  <c r="AF22" i="12"/>
  <c r="M29" i="12"/>
  <c r="R29" i="12"/>
  <c r="S19" i="12"/>
  <c r="O19" i="12"/>
  <c r="H27" i="12"/>
  <c r="H40" i="6" s="1"/>
  <c r="I19" i="12"/>
  <c r="AD21" i="12"/>
  <c r="D19" i="12"/>
  <c r="E16" i="12"/>
  <c r="M16" i="12" s="1"/>
  <c r="K19" i="12"/>
  <c r="G19" i="12"/>
  <c r="M24" i="12"/>
  <c r="R24" i="12"/>
  <c r="E29" i="12"/>
  <c r="J29" i="12"/>
  <c r="X14" i="12"/>
  <c r="AF13" i="12"/>
  <c r="E25" i="12"/>
  <c r="J25" i="12"/>
  <c r="O25" i="12"/>
  <c r="N26" i="12"/>
  <c r="N27" i="12" s="1"/>
  <c r="S25" i="12"/>
  <c r="AF14" i="12"/>
  <c r="P26" i="12"/>
  <c r="Q26" i="12" s="1"/>
  <c r="Q22" i="12"/>
  <c r="D26" i="12"/>
  <c r="E24" i="12"/>
  <c r="J24" i="12"/>
  <c r="M28" i="12"/>
  <c r="R28" i="12"/>
  <c r="AA14" i="12"/>
  <c r="AE14" i="12" s="1"/>
  <c r="AE8" i="12"/>
  <c r="AE7" i="12"/>
  <c r="AA17" i="12"/>
  <c r="AA13" i="12"/>
  <c r="AE13" i="12" s="1"/>
  <c r="AE12" i="12"/>
  <c r="AD12" i="12"/>
  <c r="P27" i="12"/>
  <c r="P40" i="6" s="1"/>
  <c r="Q19" i="12"/>
  <c r="L25" i="12"/>
  <c r="Q25" i="12"/>
  <c r="R17" i="12"/>
  <c r="M9" i="12"/>
  <c r="M23" i="12"/>
  <c r="M18" i="12"/>
  <c r="M10" i="12"/>
  <c r="M8" i="12"/>
  <c r="M34" i="12"/>
  <c r="M21" i="12"/>
  <c r="M20" i="12"/>
  <c r="M11" i="12"/>
  <c r="M17" i="12"/>
  <c r="M22" i="12"/>
  <c r="M12" i="12"/>
  <c r="M7" i="12"/>
  <c r="R19" i="12"/>
  <c r="M19" i="12"/>
  <c r="G25" i="12"/>
  <c r="F26" i="12"/>
  <c r="F27" i="12" s="1"/>
  <c r="K25" i="12"/>
  <c r="AC17" i="12"/>
  <c r="X17" i="12"/>
  <c r="X22" i="12" s="1"/>
  <c r="E26" i="11"/>
  <c r="J26" i="11"/>
  <c r="E23" i="11"/>
  <c r="D19" i="11"/>
  <c r="U11" i="11" s="1"/>
  <c r="E10" i="11"/>
  <c r="E29" i="11"/>
  <c r="E17" i="11"/>
  <c r="J17" i="11"/>
  <c r="E11" i="11"/>
  <c r="E34" i="11"/>
  <c r="U20" i="11"/>
  <c r="M34" i="11"/>
  <c r="M21" i="11"/>
  <c r="E21" i="11"/>
  <c r="I19" i="11"/>
  <c r="G18" i="11"/>
  <c r="G21" i="11"/>
  <c r="E25" i="11"/>
  <c r="J25" i="11"/>
  <c r="E24" i="11"/>
  <c r="G25" i="11"/>
  <c r="E18" i="11"/>
  <c r="G22" i="11"/>
  <c r="E22" i="11"/>
  <c r="E12" i="11"/>
  <c r="E8" i="11"/>
  <c r="M22" i="11"/>
  <c r="Q19" i="11"/>
  <c r="M8" i="11"/>
  <c r="G12" i="11"/>
  <c r="G24" i="11"/>
  <c r="E9" i="11"/>
  <c r="M12" i="11"/>
  <c r="G11" i="11"/>
  <c r="U17" i="11"/>
  <c r="I22" i="11"/>
  <c r="M7" i="11"/>
  <c r="G8" i="11"/>
  <c r="E28" i="11"/>
  <c r="M9" i="11"/>
  <c r="G29" i="11"/>
  <c r="G17" i="11"/>
  <c r="K17" i="11"/>
  <c r="G23" i="11"/>
  <c r="F19" i="11"/>
  <c r="G10" i="11"/>
  <c r="G34" i="11"/>
  <c r="G33" i="11"/>
  <c r="M23" i="11"/>
  <c r="L19" i="11"/>
  <c r="M10" i="11"/>
  <c r="M29" i="11"/>
  <c r="M17" i="11"/>
  <c r="R17" i="11"/>
  <c r="M11" i="11"/>
  <c r="E7" i="11"/>
  <c r="O26" i="10"/>
  <c r="K25" i="10"/>
  <c r="G25" i="10"/>
  <c r="I7" i="10"/>
  <c r="K17" i="10"/>
  <c r="D27" i="10"/>
  <c r="E19" i="10"/>
  <c r="J19" i="10"/>
  <c r="Q19" i="10"/>
  <c r="I28" i="10"/>
  <c r="I34" i="10"/>
  <c r="I10" i="10"/>
  <c r="I22" i="10"/>
  <c r="I24" i="10"/>
  <c r="I26" i="10"/>
  <c r="F26" i="10"/>
  <c r="I25" i="10"/>
  <c r="O19" i="10"/>
  <c r="S19" i="10"/>
  <c r="N27" i="10"/>
  <c r="H19" i="10"/>
  <c r="K19" i="10" s="1"/>
  <c r="I18" i="10"/>
  <c r="I17" i="10"/>
  <c r="I31" i="10"/>
  <c r="I21" i="10"/>
  <c r="I11" i="10"/>
  <c r="I9" i="10"/>
  <c r="I12" i="10"/>
  <c r="M19" i="10"/>
  <c r="R19" i="10"/>
  <c r="I23" i="10"/>
  <c r="I20" i="10"/>
  <c r="J26" i="10"/>
  <c r="E26" i="10"/>
  <c r="I8" i="10"/>
  <c r="G19" i="10"/>
  <c r="F27" i="10"/>
  <c r="S25" i="10"/>
  <c r="O25" i="10"/>
  <c r="J30" i="9"/>
  <c r="E30" i="9"/>
  <c r="D32" i="9"/>
  <c r="M19" i="9"/>
  <c r="R19" i="9"/>
  <c r="L22" i="9"/>
  <c r="N26" i="9"/>
  <c r="S26" i="9" s="1"/>
  <c r="S27" i="9" s="1"/>
  <c r="S22" i="9"/>
  <c r="E19" i="9"/>
  <c r="D22" i="9"/>
  <c r="D26" i="9" s="1"/>
  <c r="J19" i="9"/>
  <c r="J22" i="9" s="1"/>
  <c r="J26" i="9" s="1"/>
  <c r="G19" i="9"/>
  <c r="K19" i="9"/>
  <c r="N19" i="9"/>
  <c r="O34" i="9"/>
  <c r="O29" i="9"/>
  <c r="O24" i="9"/>
  <c r="O17" i="9"/>
  <c r="O20" i="9"/>
  <c r="O33" i="9" s="1"/>
  <c r="O28" i="9"/>
  <c r="O11" i="9"/>
  <c r="O9" i="9"/>
  <c r="O7" i="9"/>
  <c r="O18" i="9"/>
  <c r="S17" i="9"/>
  <c r="O10" i="9"/>
  <c r="K32" i="9"/>
  <c r="G32" i="9"/>
  <c r="O23" i="9"/>
  <c r="O25" i="9" s="1"/>
  <c r="O21" i="9"/>
  <c r="Q19" i="9"/>
  <c r="P27" i="9"/>
  <c r="P30" i="9" s="1"/>
  <c r="O8" i="9"/>
  <c r="H27" i="9"/>
  <c r="H30" i="9" s="1"/>
  <c r="I19" i="9"/>
  <c r="O12" i="9"/>
  <c r="R18" i="8"/>
  <c r="L26" i="8"/>
  <c r="M18" i="8"/>
  <c r="I18" i="8"/>
  <c r="H26" i="8"/>
  <c r="H35" i="11" s="1"/>
  <c r="P26" i="8"/>
  <c r="Q18" i="8"/>
  <c r="J18" i="8"/>
  <c r="D26" i="8"/>
  <c r="E18" i="8"/>
  <c r="AE13" i="7"/>
  <c r="AA14" i="7"/>
  <c r="AA14" i="11" s="1"/>
  <c r="AE14" i="11" s="1"/>
  <c r="M19" i="7"/>
  <c r="L27" i="7"/>
  <c r="R19" i="7"/>
  <c r="K30" i="7"/>
  <c r="H32" i="7"/>
  <c r="I30" i="7"/>
  <c r="E19" i="7"/>
  <c r="D27" i="7"/>
  <c r="J19" i="7"/>
  <c r="AF14" i="7"/>
  <c r="AD14" i="7"/>
  <c r="AC17" i="7"/>
  <c r="AC17" i="10" s="1"/>
  <c r="AF13" i="7"/>
  <c r="AD13" i="7"/>
  <c r="S25" i="6"/>
  <c r="O25" i="6"/>
  <c r="Q28" i="6"/>
  <c r="Q18" i="6"/>
  <c r="E25" i="6"/>
  <c r="J25" i="6"/>
  <c r="G9" i="6"/>
  <c r="H19" i="6"/>
  <c r="I17" i="6"/>
  <c r="G28" i="6"/>
  <c r="I25" i="6"/>
  <c r="G23" i="6"/>
  <c r="I23" i="6"/>
  <c r="Q8" i="6"/>
  <c r="Q29" i="6"/>
  <c r="N26" i="6"/>
  <c r="S22" i="6"/>
  <c r="O22" i="6"/>
  <c r="Q21" i="6"/>
  <c r="G17" i="6"/>
  <c r="K17" i="6"/>
  <c r="F19" i="6"/>
  <c r="AD13" i="6"/>
  <c r="AF13" i="6"/>
  <c r="K25" i="6"/>
  <c r="G25" i="6"/>
  <c r="I21" i="6"/>
  <c r="M22" i="6"/>
  <c r="L26" i="6"/>
  <c r="R22" i="6"/>
  <c r="G31" i="6"/>
  <c r="Q10" i="6"/>
  <c r="Q20" i="6"/>
  <c r="AC14" i="6"/>
  <c r="G24" i="6"/>
  <c r="Q34" i="6"/>
  <c r="Q24" i="6"/>
  <c r="L19" i="6"/>
  <c r="M17" i="6"/>
  <c r="R17" i="6"/>
  <c r="Q22" i="6"/>
  <c r="P26" i="6"/>
  <c r="Q26" i="6" s="1"/>
  <c r="AE13" i="6"/>
  <c r="AA14" i="6"/>
  <c r="F26" i="6"/>
  <c r="K22" i="6"/>
  <c r="G22" i="6"/>
  <c r="I34" i="6"/>
  <c r="M25" i="6"/>
  <c r="R25" i="6"/>
  <c r="I24" i="6"/>
  <c r="I20" i="6"/>
  <c r="P19" i="6"/>
  <c r="Q17" i="6"/>
  <c r="E22" i="6"/>
  <c r="D26" i="6"/>
  <c r="J22" i="6"/>
  <c r="Q25" i="6"/>
  <c r="I22" i="6"/>
  <c r="H26" i="6"/>
  <c r="I26" i="6" s="1"/>
  <c r="AA26" i="6"/>
  <c r="G29" i="6"/>
  <c r="G20" i="6"/>
  <c r="I31" i="6"/>
  <c r="I7" i="6"/>
  <c r="G34" i="6"/>
  <c r="G21" i="6"/>
  <c r="O17" i="6"/>
  <c r="S17" i="6"/>
  <c r="N19" i="6"/>
  <c r="Q23" i="6"/>
  <c r="D19" i="6"/>
  <c r="E17" i="6"/>
  <c r="J17" i="6"/>
  <c r="H26" i="4"/>
  <c r="I26" i="4" s="1"/>
  <c r="G18" i="4"/>
  <c r="N19" i="4"/>
  <c r="O17" i="4"/>
  <c r="O16" i="4"/>
  <c r="O15" i="4"/>
  <c r="O10" i="4"/>
  <c r="O13" i="4"/>
  <c r="O9" i="4"/>
  <c r="S17" i="4"/>
  <c r="O20" i="4"/>
  <c r="O12" i="4"/>
  <c r="O8" i="4"/>
  <c r="O31" i="4"/>
  <c r="O23" i="4"/>
  <c r="O11" i="4"/>
  <c r="F19" i="4"/>
  <c r="F19" i="5" s="1"/>
  <c r="G10" i="4"/>
  <c r="G13" i="4"/>
  <c r="G9" i="4"/>
  <c r="K17" i="4"/>
  <c r="G20" i="4"/>
  <c r="G12" i="4"/>
  <c r="G8" i="4"/>
  <c r="G31" i="4"/>
  <c r="G23" i="4"/>
  <c r="S25" i="4"/>
  <c r="O25" i="4"/>
  <c r="R25" i="4"/>
  <c r="M25" i="4"/>
  <c r="G7" i="4"/>
  <c r="O18" i="4"/>
  <c r="AC17" i="4"/>
  <c r="AC17" i="5" s="1"/>
  <c r="O7" i="4"/>
  <c r="O29" i="4"/>
  <c r="K25" i="4"/>
  <c r="G25" i="4"/>
  <c r="O21" i="4"/>
  <c r="J25" i="4"/>
  <c r="E25" i="4"/>
  <c r="AD13" i="4"/>
  <c r="P26" i="4"/>
  <c r="Q26" i="4" s="1"/>
  <c r="G29" i="4"/>
  <c r="G21" i="4"/>
  <c r="G22" i="4"/>
  <c r="O34" i="4"/>
  <c r="O28" i="4"/>
  <c r="AA14" i="4"/>
  <c r="AD14" i="4" s="1"/>
  <c r="F26" i="4"/>
  <c r="D26" i="4"/>
  <c r="G34" i="4"/>
  <c r="G28" i="4"/>
  <c r="E28" i="3"/>
  <c r="J17" i="3"/>
  <c r="E9" i="3"/>
  <c r="E12" i="3"/>
  <c r="E25" i="3"/>
  <c r="E8" i="3"/>
  <c r="E11" i="3"/>
  <c r="D19" i="3"/>
  <c r="E17" i="3"/>
  <c r="O23" i="3"/>
  <c r="E7" i="3"/>
  <c r="S22" i="3"/>
  <c r="O22" i="3"/>
  <c r="N26" i="3"/>
  <c r="O10" i="3"/>
  <c r="E31" i="3"/>
  <c r="O28" i="3"/>
  <c r="Q8" i="3"/>
  <c r="O20" i="3"/>
  <c r="E18" i="3"/>
  <c r="E20" i="3"/>
  <c r="O24" i="3"/>
  <c r="O21" i="3"/>
  <c r="D26" i="3"/>
  <c r="J22" i="3"/>
  <c r="E22" i="3"/>
  <c r="I22" i="3"/>
  <c r="H26" i="3"/>
  <c r="I26" i="3" s="1"/>
  <c r="E34" i="3"/>
  <c r="K22" i="3"/>
  <c r="G22" i="3"/>
  <c r="Q22" i="3"/>
  <c r="P26" i="3"/>
  <c r="Q26" i="3" s="1"/>
  <c r="Q29" i="3"/>
  <c r="Q18" i="3"/>
  <c r="E10" i="3"/>
  <c r="K25" i="3"/>
  <c r="G25" i="3"/>
  <c r="F26" i="3"/>
  <c r="I13" i="3"/>
  <c r="I17" i="3"/>
  <c r="I9" i="3"/>
  <c r="I7" i="3"/>
  <c r="I14" i="3"/>
  <c r="I31" i="3"/>
  <c r="H19" i="3"/>
  <c r="I8" i="3"/>
  <c r="I34" i="3"/>
  <c r="I37" i="5" s="1"/>
  <c r="I12" i="3"/>
  <c r="I11" i="3"/>
  <c r="Q20" i="3"/>
  <c r="M14" i="3"/>
  <c r="R17" i="3"/>
  <c r="M23" i="3"/>
  <c r="M28" i="3"/>
  <c r="M13" i="3"/>
  <c r="M11" i="3"/>
  <c r="M8" i="3"/>
  <c r="M12" i="3"/>
  <c r="M29" i="3"/>
  <c r="M17" i="3"/>
  <c r="M25" i="3"/>
  <c r="L19" i="3"/>
  <c r="M9" i="3"/>
  <c r="M7" i="3"/>
  <c r="M24" i="3"/>
  <c r="S25" i="3"/>
  <c r="O25" i="3"/>
  <c r="L26" i="3"/>
  <c r="R22" i="3"/>
  <c r="M22" i="3"/>
  <c r="O9" i="3"/>
  <c r="O13" i="3"/>
  <c r="O12" i="3"/>
  <c r="O8" i="3"/>
  <c r="O17" i="3"/>
  <c r="O34" i="3"/>
  <c r="N19" i="3"/>
  <c r="O7" i="3"/>
  <c r="O31" i="3"/>
  <c r="O14" i="3"/>
  <c r="S17" i="3"/>
  <c r="O11" i="3"/>
  <c r="K19" i="3"/>
  <c r="G19" i="3"/>
  <c r="Q31" i="3"/>
  <c r="Q34" i="3"/>
  <c r="Q17" i="3"/>
  <c r="P19" i="3"/>
  <c r="Q12" i="2"/>
  <c r="O14" i="2"/>
  <c r="Q34" i="2"/>
  <c r="Q37" i="5" s="1"/>
  <c r="Q24" i="2"/>
  <c r="O34" i="2"/>
  <c r="O37" i="5" s="1"/>
  <c r="O29" i="2"/>
  <c r="O24" i="2"/>
  <c r="G23" i="2"/>
  <c r="M11" i="2"/>
  <c r="M10" i="2"/>
  <c r="O10" i="2"/>
  <c r="AB14" i="2"/>
  <c r="AE13" i="2"/>
  <c r="J22" i="2"/>
  <c r="D26" i="2"/>
  <c r="E22" i="2"/>
  <c r="O15" i="2"/>
  <c r="O12" i="2"/>
  <c r="M31" i="2"/>
  <c r="R25" i="2"/>
  <c r="M25" i="2"/>
  <c r="AE22" i="2"/>
  <c r="F19" i="2"/>
  <c r="K17" i="2"/>
  <c r="N19" i="2"/>
  <c r="O17" i="2"/>
  <c r="S17" i="2"/>
  <c r="G34" i="2"/>
  <c r="G29" i="2"/>
  <c r="G24" i="2"/>
  <c r="AA17" i="2"/>
  <c r="AA17" i="5" s="1"/>
  <c r="AE17" i="5" s="1"/>
  <c r="AE14" i="2"/>
  <c r="L19" i="2"/>
  <c r="M17" i="2"/>
  <c r="R17" i="2"/>
  <c r="G10" i="2"/>
  <c r="Q18" i="2"/>
  <c r="Q8" i="2"/>
  <c r="M12" i="2"/>
  <c r="O7" i="2"/>
  <c r="G11" i="2"/>
  <c r="G20" i="2"/>
  <c r="G15" i="2"/>
  <c r="R22" i="2"/>
  <c r="L26" i="2"/>
  <c r="M22" i="2"/>
  <c r="G7" i="2"/>
  <c r="G12" i="2"/>
  <c r="O8" i="2"/>
  <c r="Q29" i="2"/>
  <c r="Q9" i="2"/>
  <c r="M14" i="2"/>
  <c r="O31" i="2"/>
  <c r="O28" i="2"/>
  <c r="O25" i="2"/>
  <c r="S25" i="2"/>
  <c r="P26" i="2"/>
  <c r="Q26" i="2" s="1"/>
  <c r="Q22" i="2"/>
  <c r="J25" i="2"/>
  <c r="E25" i="2"/>
  <c r="Q16" i="2"/>
  <c r="H19" i="2"/>
  <c r="I17" i="2"/>
  <c r="D19" i="2"/>
  <c r="E17" i="2"/>
  <c r="J17" i="2"/>
  <c r="K22" i="2"/>
  <c r="F26" i="2"/>
  <c r="G22" i="2"/>
  <c r="O9" i="2"/>
  <c r="G31" i="2"/>
  <c r="G28" i="2"/>
  <c r="H26" i="2"/>
  <c r="I26" i="2" s="1"/>
  <c r="I22" i="2"/>
  <c r="G8" i="2"/>
  <c r="P19" i="2"/>
  <c r="Q17" i="2"/>
  <c r="O20" i="2"/>
  <c r="M8" i="2"/>
  <c r="AD14" i="2"/>
  <c r="AC17" i="2"/>
  <c r="G13" i="2"/>
  <c r="Q10" i="2"/>
  <c r="G25" i="2"/>
  <c r="K25" i="2"/>
  <c r="G9" i="2"/>
  <c r="O21" i="2"/>
  <c r="S22" i="2"/>
  <c r="N26" i="2"/>
  <c r="O22" i="2"/>
  <c r="X22" i="4" l="1"/>
  <c r="AE22" i="4" s="1"/>
  <c r="X17" i="5"/>
  <c r="X22" i="5" s="1"/>
  <c r="H26" i="11"/>
  <c r="N8" i="13"/>
  <c r="S8" i="5"/>
  <c r="R15" i="5"/>
  <c r="L15" i="13"/>
  <c r="F7" i="13"/>
  <c r="K7" i="5"/>
  <c r="G7" i="5"/>
  <c r="X27" i="6"/>
  <c r="N24" i="13"/>
  <c r="S24" i="5"/>
  <c r="N12" i="13"/>
  <c r="S12" i="5"/>
  <c r="G14" i="5"/>
  <c r="F14" i="13"/>
  <c r="K14" i="5"/>
  <c r="L10" i="13"/>
  <c r="R10" i="5"/>
  <c r="I15" i="4"/>
  <c r="I12" i="4"/>
  <c r="I16" i="4"/>
  <c r="I24" i="4"/>
  <c r="H19" i="4"/>
  <c r="I23" i="4"/>
  <c r="I31" i="4"/>
  <c r="I29" i="4"/>
  <c r="I28" i="4"/>
  <c r="I10" i="4"/>
  <c r="I13" i="4"/>
  <c r="I7" i="4"/>
  <c r="I14" i="4"/>
  <c r="I34" i="4"/>
  <c r="I9" i="4"/>
  <c r="I8" i="4"/>
  <c r="I20" i="4"/>
  <c r="I17" i="4"/>
  <c r="I18" i="4"/>
  <c r="I11" i="4"/>
  <c r="I21" i="4"/>
  <c r="N9" i="13"/>
  <c r="N34" i="13"/>
  <c r="N38" i="13"/>
  <c r="S34" i="5"/>
  <c r="AC8" i="13"/>
  <c r="M25" i="10"/>
  <c r="R25" i="10"/>
  <c r="L26" i="10"/>
  <c r="AF18" i="13"/>
  <c r="R24" i="5"/>
  <c r="L24" i="13"/>
  <c r="AJ19" i="13"/>
  <c r="G18" i="5"/>
  <c r="F18" i="13"/>
  <c r="K18" i="5"/>
  <c r="AD14" i="10"/>
  <c r="AF14" i="10"/>
  <c r="AC21" i="13"/>
  <c r="AD21" i="13" s="1"/>
  <c r="S20" i="5"/>
  <c r="N20" i="13"/>
  <c r="N22" i="5"/>
  <c r="I25" i="4"/>
  <c r="AE22" i="12"/>
  <c r="X28" i="6"/>
  <c r="P22" i="5"/>
  <c r="P20" i="13"/>
  <c r="F11" i="13"/>
  <c r="K11" i="5"/>
  <c r="G11" i="5"/>
  <c r="AJ12" i="13"/>
  <c r="N11" i="13"/>
  <c r="S11" i="5"/>
  <c r="J31" i="5"/>
  <c r="D20" i="13"/>
  <c r="J20" i="5"/>
  <c r="D22" i="5"/>
  <c r="F26" i="11"/>
  <c r="G26" i="11" s="1"/>
  <c r="K25" i="11"/>
  <c r="N29" i="13"/>
  <c r="S29" i="5"/>
  <c r="AL21" i="13"/>
  <c r="J14" i="5"/>
  <c r="D14" i="13"/>
  <c r="P25" i="13"/>
  <c r="AE9" i="11"/>
  <c r="AA13" i="11"/>
  <c r="AD9" i="11"/>
  <c r="AJ9" i="13" s="1"/>
  <c r="D35" i="11"/>
  <c r="AE12" i="13"/>
  <c r="AD12" i="13"/>
  <c r="AC20" i="13"/>
  <c r="AD20" i="13" s="1"/>
  <c r="AE12" i="11"/>
  <c r="AD12" i="11"/>
  <c r="N15" i="13"/>
  <c r="S15" i="5"/>
  <c r="H21" i="13"/>
  <c r="U17" i="5"/>
  <c r="N10" i="13"/>
  <c r="S10" i="5"/>
  <c r="AE21" i="13"/>
  <c r="D38" i="13"/>
  <c r="D34" i="13"/>
  <c r="J34" i="5"/>
  <c r="J38" i="13" s="1"/>
  <c r="AF10" i="13"/>
  <c r="K21" i="5"/>
  <c r="F21" i="13"/>
  <c r="G21" i="5"/>
  <c r="AJ21" i="13"/>
  <c r="AF9" i="13"/>
  <c r="X17" i="13"/>
  <c r="X22" i="13" s="1"/>
  <c r="S22" i="4"/>
  <c r="N26" i="4"/>
  <c r="P17" i="5"/>
  <c r="Q7" i="5" s="1"/>
  <c r="P7" i="13"/>
  <c r="H22" i="5"/>
  <c r="H20" i="13"/>
  <c r="U11" i="5"/>
  <c r="Q20" i="11"/>
  <c r="P22" i="11"/>
  <c r="R13" i="5"/>
  <c r="L13" i="13"/>
  <c r="L14" i="13"/>
  <c r="R14" i="5"/>
  <c r="AL20" i="13"/>
  <c r="F15" i="13"/>
  <c r="K15" i="5"/>
  <c r="G15" i="5"/>
  <c r="D10" i="13"/>
  <c r="J10" i="5"/>
  <c r="AE8" i="13"/>
  <c r="AE7" i="13"/>
  <c r="R7" i="5"/>
  <c r="L7" i="13"/>
  <c r="L17" i="5"/>
  <c r="M13" i="5" s="1"/>
  <c r="L25" i="5"/>
  <c r="L23" i="13"/>
  <c r="R23" i="5"/>
  <c r="M23" i="5"/>
  <c r="J22" i="4"/>
  <c r="E22" i="4"/>
  <c r="AA5" i="12"/>
  <c r="AA5" i="11"/>
  <c r="Y24" i="11"/>
  <c r="G10" i="5"/>
  <c r="F10" i="13"/>
  <c r="K10" i="5"/>
  <c r="AF21" i="13"/>
  <c r="G13" i="5"/>
  <c r="F13" i="13"/>
  <c r="K13" i="5"/>
  <c r="AE18" i="13"/>
  <c r="P35" i="11"/>
  <c r="P30" i="7"/>
  <c r="S27" i="7"/>
  <c r="Q27" i="7"/>
  <c r="S13" i="5"/>
  <c r="N13" i="13"/>
  <c r="O13" i="5"/>
  <c r="Q24" i="4"/>
  <c r="Q23" i="4"/>
  <c r="Q9" i="4"/>
  <c r="Q34" i="4"/>
  <c r="Q21" i="4"/>
  <c r="Q31" i="4"/>
  <c r="Q20" i="4"/>
  <c r="Q14" i="4"/>
  <c r="Q8" i="4"/>
  <c r="P19" i="4"/>
  <c r="Q15" i="4"/>
  <c r="Q18" i="4"/>
  <c r="Q16" i="4"/>
  <c r="Q17" i="4"/>
  <c r="Q11" i="4"/>
  <c r="Q13" i="4"/>
  <c r="Q7" i="4"/>
  <c r="Q28" i="4"/>
  <c r="Q12" i="4"/>
  <c r="Q29" i="4"/>
  <c r="P26" i="10"/>
  <c r="Q22" i="10"/>
  <c r="AD17" i="5"/>
  <c r="H8" i="13"/>
  <c r="U30" i="5"/>
  <c r="P8" i="13"/>
  <c r="R8" i="13" s="1"/>
  <c r="Q8" i="5"/>
  <c r="L29" i="13"/>
  <c r="R29" i="5"/>
  <c r="AJ20" i="13"/>
  <c r="N17" i="5"/>
  <c r="O15" i="5" s="1"/>
  <c r="N7" i="13"/>
  <c r="S7" i="5"/>
  <c r="Z17" i="5"/>
  <c r="D18" i="13"/>
  <c r="J18" i="5"/>
  <c r="D22" i="13"/>
  <c r="F28" i="13"/>
  <c r="K28" i="5"/>
  <c r="G28" i="5"/>
  <c r="H12" i="13"/>
  <c r="AE20" i="13"/>
  <c r="P21" i="13"/>
  <c r="Q21" i="5"/>
  <c r="P10" i="13"/>
  <c r="Q10" i="5"/>
  <c r="L20" i="13"/>
  <c r="R20" i="5"/>
  <c r="L22" i="5"/>
  <c r="Z13" i="13"/>
  <c r="J28" i="5"/>
  <c r="D28" i="13"/>
  <c r="AE10" i="13"/>
  <c r="AD10" i="13"/>
  <c r="AF11" i="13"/>
  <c r="J7" i="5"/>
  <c r="D7" i="13"/>
  <c r="D17" i="5"/>
  <c r="S21" i="5"/>
  <c r="N21" i="13"/>
  <c r="O21" i="5"/>
  <c r="G23" i="5"/>
  <c r="F23" i="13"/>
  <c r="F25" i="5"/>
  <c r="K23" i="5"/>
  <c r="AE11" i="13"/>
  <c r="AD11" i="13"/>
  <c r="N22" i="11"/>
  <c r="S20" i="11"/>
  <c r="O20" i="11"/>
  <c r="AF13" i="5"/>
  <c r="AB13" i="13"/>
  <c r="AB14" i="5"/>
  <c r="D29" i="13"/>
  <c r="J29" i="5"/>
  <c r="N23" i="13"/>
  <c r="N25" i="5"/>
  <c r="S23" i="5"/>
  <c r="S9" i="5"/>
  <c r="P9" i="13"/>
  <c r="Q9" i="5"/>
  <c r="F24" i="13"/>
  <c r="K24" i="5"/>
  <c r="G24" i="5"/>
  <c r="L11" i="13"/>
  <c r="R11" i="5"/>
  <c r="M11" i="4"/>
  <c r="M29" i="4"/>
  <c r="M17" i="4"/>
  <c r="M21" i="4"/>
  <c r="M15" i="4"/>
  <c r="M20" i="4"/>
  <c r="M10" i="4"/>
  <c r="M7" i="4"/>
  <c r="R17" i="4"/>
  <c r="L19" i="4"/>
  <c r="M13" i="4"/>
  <c r="M18" i="4"/>
  <c r="M9" i="4"/>
  <c r="M28" i="4"/>
  <c r="M12" i="4"/>
  <c r="M8" i="4"/>
  <c r="M14" i="4"/>
  <c r="M31" i="4"/>
  <c r="M16" i="4"/>
  <c r="M23" i="4"/>
  <c r="M34" i="4"/>
  <c r="M24" i="4"/>
  <c r="R31" i="5"/>
  <c r="M22" i="4"/>
  <c r="R22" i="4"/>
  <c r="L26" i="4"/>
  <c r="M26" i="4" s="1"/>
  <c r="S11" i="11"/>
  <c r="N17" i="11"/>
  <c r="G29" i="5"/>
  <c r="F29" i="13"/>
  <c r="K29" i="5"/>
  <c r="D8" i="13"/>
  <c r="J8" i="5"/>
  <c r="AJ10" i="13"/>
  <c r="Z22" i="10"/>
  <c r="Z17" i="11"/>
  <c r="Z22" i="11" s="1"/>
  <c r="E21" i="4"/>
  <c r="E10" i="4"/>
  <c r="E20" i="4"/>
  <c r="J17" i="4"/>
  <c r="E18" i="4"/>
  <c r="E9" i="4"/>
  <c r="E11" i="4"/>
  <c r="E7" i="4"/>
  <c r="E12" i="4"/>
  <c r="E28" i="4"/>
  <c r="E34" i="4"/>
  <c r="E16" i="4"/>
  <c r="E17" i="4"/>
  <c r="E14" i="4"/>
  <c r="E29" i="4"/>
  <c r="E31" i="4"/>
  <c r="E23" i="4"/>
  <c r="E15" i="4"/>
  <c r="D19" i="4"/>
  <c r="E24" i="4"/>
  <c r="E13" i="4"/>
  <c r="S22" i="10"/>
  <c r="O22" i="10"/>
  <c r="Y22" i="2"/>
  <c r="Y17" i="5"/>
  <c r="Y17" i="4"/>
  <c r="Y22" i="4" s="1"/>
  <c r="G17" i="5"/>
  <c r="AF13" i="4"/>
  <c r="AB14" i="4"/>
  <c r="AF14" i="4" s="1"/>
  <c r="AC17" i="11"/>
  <c r="AF17" i="10"/>
  <c r="AC22" i="10"/>
  <c r="K20" i="5"/>
  <c r="F20" i="13"/>
  <c r="G20" i="5"/>
  <c r="G12" i="5"/>
  <c r="F12" i="13"/>
  <c r="K12" i="5"/>
  <c r="S23" i="11"/>
  <c r="N25" i="11"/>
  <c r="AD14" i="11"/>
  <c r="L18" i="13"/>
  <c r="R18" i="5"/>
  <c r="K16" i="13"/>
  <c r="J24" i="5"/>
  <c r="D24" i="13"/>
  <c r="N28" i="13"/>
  <c r="S28" i="5"/>
  <c r="O28" i="5"/>
  <c r="U25" i="5"/>
  <c r="Q12" i="5"/>
  <c r="P12" i="13"/>
  <c r="R12" i="13" s="1"/>
  <c r="AD11" i="11"/>
  <c r="AJ11" i="13" s="1"/>
  <c r="E8" i="4"/>
  <c r="L38" i="13"/>
  <c r="L34" i="13"/>
  <c r="R34" i="5"/>
  <c r="R28" i="5"/>
  <c r="L28" i="13"/>
  <c r="R28" i="13" s="1"/>
  <c r="G31" i="5"/>
  <c r="F31" i="13"/>
  <c r="K31" i="5"/>
  <c r="J15" i="5"/>
  <c r="D15" i="13"/>
  <c r="Q25" i="4"/>
  <c r="G19" i="5"/>
  <c r="F19" i="13"/>
  <c r="F22" i="5"/>
  <c r="K22" i="4"/>
  <c r="N31" i="13"/>
  <c r="O31" i="5"/>
  <c r="S31" i="5"/>
  <c r="AD7" i="13"/>
  <c r="D11" i="13"/>
  <c r="J11" i="5"/>
  <c r="G34" i="5"/>
  <c r="G38" i="13" s="1"/>
  <c r="F34" i="13"/>
  <c r="F38" i="13"/>
  <c r="K34" i="5"/>
  <c r="K38" i="13" s="1"/>
  <c r="AB14" i="13"/>
  <c r="AF8" i="13"/>
  <c r="D25" i="5"/>
  <c r="D23" i="13"/>
  <c r="J23" i="5"/>
  <c r="E23" i="5"/>
  <c r="AE9" i="13"/>
  <c r="F9" i="13"/>
  <c r="G9" i="5"/>
  <c r="N14" i="13"/>
  <c r="O14" i="5"/>
  <c r="S14" i="5"/>
  <c r="H17" i="5"/>
  <c r="I21" i="5" s="1"/>
  <c r="H7" i="13"/>
  <c r="R23" i="11"/>
  <c r="L25" i="11"/>
  <c r="G8" i="5"/>
  <c r="F8" i="13"/>
  <c r="K8" i="5"/>
  <c r="AD19" i="13"/>
  <c r="K9" i="5"/>
  <c r="H9" i="13"/>
  <c r="I9" i="5"/>
  <c r="Z14" i="13"/>
  <c r="Z17" i="13" s="1"/>
  <c r="Z22" i="13" s="1"/>
  <c r="AD22" i="13" s="1"/>
  <c r="J13" i="5"/>
  <c r="D13" i="13"/>
  <c r="H25" i="13"/>
  <c r="I25" i="5"/>
  <c r="U21" i="5"/>
  <c r="N18" i="13"/>
  <c r="O18" i="5"/>
  <c r="S18" i="5"/>
  <c r="AD13" i="5"/>
  <c r="AC13" i="13"/>
  <c r="AL13" i="13"/>
  <c r="AC14" i="5"/>
  <c r="AE14" i="5" s="1"/>
  <c r="O22" i="4"/>
  <c r="AE13" i="4"/>
  <c r="G27" i="12"/>
  <c r="G33" i="12" s="1"/>
  <c r="F30" i="12"/>
  <c r="K27" i="12"/>
  <c r="F33" i="12"/>
  <c r="K33" i="12" s="1"/>
  <c r="H30" i="12"/>
  <c r="H33" i="12"/>
  <c r="I33" i="12" s="1"/>
  <c r="I27" i="12"/>
  <c r="M25" i="12"/>
  <c r="L26" i="12"/>
  <c r="R25" i="12"/>
  <c r="AD13" i="12"/>
  <c r="O27" i="12"/>
  <c r="N30" i="12"/>
  <c r="S27" i="12"/>
  <c r="N33" i="12"/>
  <c r="AD14" i="12"/>
  <c r="E26" i="12"/>
  <c r="J26" i="12"/>
  <c r="AF17" i="12"/>
  <c r="AD17" i="12"/>
  <c r="AC22" i="12"/>
  <c r="P30" i="12"/>
  <c r="P33" i="12"/>
  <c r="Q33" i="12" s="1"/>
  <c r="Q27" i="12"/>
  <c r="J19" i="12"/>
  <c r="D27" i="12"/>
  <c r="D40" i="6" s="1"/>
  <c r="E19" i="12"/>
  <c r="AE17" i="12"/>
  <c r="AA22" i="12"/>
  <c r="G26" i="12"/>
  <c r="K26" i="12"/>
  <c r="O26" i="12"/>
  <c r="S26" i="12"/>
  <c r="AD22" i="12"/>
  <c r="J19" i="11"/>
  <c r="D27" i="11"/>
  <c r="D39" i="6" s="1"/>
  <c r="E19" i="11"/>
  <c r="R19" i="11"/>
  <c r="M19" i="11"/>
  <c r="H27" i="11"/>
  <c r="H39" i="6" s="1"/>
  <c r="U21" i="11"/>
  <c r="I26" i="11"/>
  <c r="F27" i="11"/>
  <c r="K19" i="11"/>
  <c r="G19" i="11"/>
  <c r="N30" i="10"/>
  <c r="O27" i="10"/>
  <c r="F30" i="10"/>
  <c r="G27" i="10"/>
  <c r="K26" i="10"/>
  <c r="G26" i="10"/>
  <c r="H27" i="10"/>
  <c r="I19" i="10"/>
  <c r="D30" i="10"/>
  <c r="J27" i="10"/>
  <c r="E27" i="10"/>
  <c r="O19" i="9"/>
  <c r="N27" i="9"/>
  <c r="S19" i="9"/>
  <c r="R22" i="9"/>
  <c r="L26" i="9"/>
  <c r="K22" i="9"/>
  <c r="K26" i="9" s="1"/>
  <c r="K27" i="9" s="1"/>
  <c r="G22" i="9"/>
  <c r="G26" i="9" s="1"/>
  <c r="G27" i="9" s="1"/>
  <c r="I22" i="9"/>
  <c r="I26" i="9" s="1"/>
  <c r="I27" i="9" s="1"/>
  <c r="M22" i="9"/>
  <c r="M26" i="9" s="1"/>
  <c r="M27" i="9" s="1"/>
  <c r="I30" i="9"/>
  <c r="H32" i="9"/>
  <c r="J32" i="9"/>
  <c r="E32" i="9"/>
  <c r="D33" i="9"/>
  <c r="E33" i="9" s="1"/>
  <c r="E22" i="9"/>
  <c r="E26" i="9" s="1"/>
  <c r="E27" i="9" s="1"/>
  <c r="Q30" i="9"/>
  <c r="P32" i="9"/>
  <c r="P29" i="8"/>
  <c r="Q26" i="8"/>
  <c r="H29" i="8"/>
  <c r="H38" i="11" s="1"/>
  <c r="I26" i="8"/>
  <c r="L32" i="8"/>
  <c r="M26" i="8"/>
  <c r="R26" i="8"/>
  <c r="L29" i="8"/>
  <c r="E26" i="8"/>
  <c r="J26" i="8"/>
  <c r="D29" i="8"/>
  <c r="H33" i="7"/>
  <c r="K32" i="7"/>
  <c r="I32" i="7"/>
  <c r="AC22" i="7"/>
  <c r="AF17" i="7"/>
  <c r="R27" i="7"/>
  <c r="L30" i="7"/>
  <c r="M27" i="7"/>
  <c r="J27" i="7"/>
  <c r="D30" i="7"/>
  <c r="D38" i="11" s="1"/>
  <c r="E27" i="7"/>
  <c r="AE14" i="7"/>
  <c r="AA17" i="7"/>
  <c r="AA17" i="10" s="1"/>
  <c r="H27" i="6"/>
  <c r="I19" i="6"/>
  <c r="S26" i="6"/>
  <c r="O26" i="6"/>
  <c r="S19" i="6"/>
  <c r="N27" i="6"/>
  <c r="O19" i="6"/>
  <c r="R19" i="6"/>
  <c r="L27" i="6"/>
  <c r="M19" i="6"/>
  <c r="K19" i="6"/>
  <c r="F27" i="6"/>
  <c r="G19" i="6"/>
  <c r="J19" i="6"/>
  <c r="D27" i="6"/>
  <c r="E19" i="6"/>
  <c r="P27" i="6"/>
  <c r="Q19" i="6"/>
  <c r="K26" i="6"/>
  <c r="G26" i="6"/>
  <c r="M26" i="6"/>
  <c r="R26" i="6"/>
  <c r="AE14" i="6"/>
  <c r="AA17" i="6"/>
  <c r="AC17" i="6"/>
  <c r="AL17" i="13" s="1"/>
  <c r="AD14" i="6"/>
  <c r="AF14" i="6"/>
  <c r="E26" i="6"/>
  <c r="J26" i="6"/>
  <c r="AE14" i="4"/>
  <c r="AA17" i="4"/>
  <c r="AD17" i="4" s="1"/>
  <c r="O19" i="4"/>
  <c r="S19" i="4"/>
  <c r="N27" i="4"/>
  <c r="G19" i="4"/>
  <c r="K19" i="4"/>
  <c r="F27" i="4"/>
  <c r="R26" i="4"/>
  <c r="J26" i="4"/>
  <c r="E26" i="4"/>
  <c r="D27" i="4"/>
  <c r="K26" i="4"/>
  <c r="G26" i="4"/>
  <c r="AC22" i="4"/>
  <c r="AC22" i="5" s="1"/>
  <c r="J26" i="3"/>
  <c r="E26" i="3"/>
  <c r="D27" i="3"/>
  <c r="J19" i="3"/>
  <c r="E19" i="3"/>
  <c r="L27" i="3"/>
  <c r="R19" i="3"/>
  <c r="M19" i="3"/>
  <c r="K26" i="3"/>
  <c r="G26" i="3"/>
  <c r="F27" i="3"/>
  <c r="S19" i="3"/>
  <c r="O19" i="3"/>
  <c r="N27" i="3"/>
  <c r="H27" i="3"/>
  <c r="I19" i="3"/>
  <c r="S26" i="3"/>
  <c r="O26" i="3"/>
  <c r="R26" i="3"/>
  <c r="M26" i="3"/>
  <c r="Q19" i="3"/>
  <c r="P27" i="3"/>
  <c r="E19" i="2"/>
  <c r="J19" i="2"/>
  <c r="D27" i="2"/>
  <c r="AA22" i="2"/>
  <c r="AA22" i="5" s="1"/>
  <c r="AE17" i="2"/>
  <c r="K19" i="2"/>
  <c r="F27" i="2"/>
  <c r="G19" i="2"/>
  <c r="J26" i="2"/>
  <c r="E26" i="2"/>
  <c r="H27" i="2"/>
  <c r="I19" i="2"/>
  <c r="R26" i="2"/>
  <c r="M26" i="2"/>
  <c r="P27" i="2"/>
  <c r="Q19" i="2"/>
  <c r="G26" i="2"/>
  <c r="K26" i="2"/>
  <c r="AB17" i="2"/>
  <c r="AF14" i="2"/>
  <c r="O26" i="2"/>
  <c r="S26" i="2"/>
  <c r="AC22" i="2"/>
  <c r="AD17" i="2"/>
  <c r="M19" i="2"/>
  <c r="R19" i="2"/>
  <c r="L27" i="2"/>
  <c r="S19" i="2"/>
  <c r="N27" i="2"/>
  <c r="O19" i="2"/>
  <c r="J13" i="13" l="1"/>
  <c r="K8" i="13"/>
  <c r="J23" i="13"/>
  <c r="D25" i="13"/>
  <c r="G22" i="5"/>
  <c r="F22" i="13"/>
  <c r="F26" i="5"/>
  <c r="K22" i="5"/>
  <c r="S28" i="13"/>
  <c r="R18" i="13"/>
  <c r="K20" i="13"/>
  <c r="K17" i="5"/>
  <c r="J8" i="13"/>
  <c r="M19" i="4"/>
  <c r="R19" i="4"/>
  <c r="L27" i="4"/>
  <c r="S22" i="11"/>
  <c r="O22" i="11"/>
  <c r="S21" i="13"/>
  <c r="J28" i="13"/>
  <c r="Q26" i="10"/>
  <c r="S26" i="10"/>
  <c r="P27" i="10"/>
  <c r="R7" i="13"/>
  <c r="L17" i="13"/>
  <c r="M7" i="13"/>
  <c r="H22" i="13"/>
  <c r="I22" i="5"/>
  <c r="H26" i="5"/>
  <c r="J21" i="13"/>
  <c r="J14" i="13"/>
  <c r="S11" i="13"/>
  <c r="R24" i="13"/>
  <c r="O34" i="5"/>
  <c r="O12" i="5"/>
  <c r="J25" i="5"/>
  <c r="E25" i="5"/>
  <c r="J11" i="13"/>
  <c r="K31" i="13"/>
  <c r="J24" i="13"/>
  <c r="E19" i="4"/>
  <c r="J19" i="4"/>
  <c r="J29" i="13"/>
  <c r="K28" i="13"/>
  <c r="N17" i="13"/>
  <c r="O21" i="13" s="1"/>
  <c r="S7" i="13"/>
  <c r="O7" i="13"/>
  <c r="I8" i="5"/>
  <c r="Q35" i="11"/>
  <c r="U18" i="5"/>
  <c r="D26" i="5"/>
  <c r="E22" i="5"/>
  <c r="J22" i="5"/>
  <c r="S12" i="13"/>
  <c r="O12" i="13"/>
  <c r="K26" i="11"/>
  <c r="AD22" i="5"/>
  <c r="M25" i="11"/>
  <c r="L26" i="11"/>
  <c r="R25" i="11"/>
  <c r="S14" i="13"/>
  <c r="O14" i="13"/>
  <c r="N26" i="11"/>
  <c r="O25" i="11"/>
  <c r="S25" i="11"/>
  <c r="E9" i="5"/>
  <c r="E17" i="5"/>
  <c r="E11" i="5"/>
  <c r="E12" i="5"/>
  <c r="E8" i="5"/>
  <c r="E24" i="5"/>
  <c r="E21" i="5"/>
  <c r="E10" i="5"/>
  <c r="J17" i="5"/>
  <c r="E20" i="5"/>
  <c r="E7" i="5"/>
  <c r="D19" i="5"/>
  <c r="E34" i="5"/>
  <c r="E38" i="13" s="1"/>
  <c r="E18" i="5"/>
  <c r="E28" i="5"/>
  <c r="R21" i="13"/>
  <c r="Q21" i="13"/>
  <c r="E22" i="13"/>
  <c r="D26" i="13"/>
  <c r="J22" i="13"/>
  <c r="N19" i="5"/>
  <c r="O17" i="5"/>
  <c r="S17" i="5"/>
  <c r="K15" i="13"/>
  <c r="G15" i="13"/>
  <c r="P26" i="11"/>
  <c r="Q22" i="11"/>
  <c r="P17" i="13"/>
  <c r="Q9" i="13" s="1"/>
  <c r="Q7" i="13"/>
  <c r="K21" i="13"/>
  <c r="O34" i="13"/>
  <c r="S34" i="13"/>
  <c r="O24" i="5"/>
  <c r="F17" i="13"/>
  <c r="K7" i="13"/>
  <c r="G7" i="13"/>
  <c r="AD22" i="2"/>
  <c r="AA22" i="10"/>
  <c r="AA17" i="11"/>
  <c r="AE17" i="10"/>
  <c r="AB17" i="13"/>
  <c r="G19" i="13"/>
  <c r="Q12" i="13"/>
  <c r="Y22" i="5"/>
  <c r="Y17" i="13"/>
  <c r="Y22" i="13" s="1"/>
  <c r="AF22" i="13" s="1"/>
  <c r="AH17" i="13"/>
  <c r="G29" i="13"/>
  <c r="K29" i="13"/>
  <c r="AF14" i="5"/>
  <c r="D17" i="13"/>
  <c r="E13" i="13" s="1"/>
  <c r="J7" i="13"/>
  <c r="E7" i="13"/>
  <c r="P38" i="11"/>
  <c r="P32" i="7"/>
  <c r="S30" i="7"/>
  <c r="Q30" i="7"/>
  <c r="G10" i="13"/>
  <c r="K10" i="13"/>
  <c r="Q34" i="5"/>
  <c r="Q38" i="13" s="1"/>
  <c r="Q18" i="5"/>
  <c r="Q17" i="5"/>
  <c r="Q11" i="5"/>
  <c r="Q29" i="5"/>
  <c r="Q14" i="5"/>
  <c r="Q24" i="5"/>
  <c r="Q31" i="5"/>
  <c r="Q15" i="5"/>
  <c r="P19" i="5"/>
  <c r="Q23" i="5"/>
  <c r="Q28" i="5"/>
  <c r="Q13" i="5"/>
  <c r="O10" i="5"/>
  <c r="S15" i="13"/>
  <c r="O15" i="13"/>
  <c r="J20" i="13"/>
  <c r="E20" i="13"/>
  <c r="R26" i="10"/>
  <c r="M26" i="10"/>
  <c r="L27" i="10"/>
  <c r="O9" i="5"/>
  <c r="R10" i="13"/>
  <c r="M10" i="13"/>
  <c r="R15" i="13"/>
  <c r="M15" i="13"/>
  <c r="E29" i="5"/>
  <c r="S18" i="13"/>
  <c r="O18" i="13"/>
  <c r="G9" i="13"/>
  <c r="K9" i="13"/>
  <c r="AC22" i="11"/>
  <c r="AD17" i="11"/>
  <c r="AF17" i="11"/>
  <c r="Z27" i="6"/>
  <c r="Z29" i="6" s="1"/>
  <c r="Z30" i="6" s="1"/>
  <c r="AD22" i="11"/>
  <c r="R11" i="13"/>
  <c r="M11" i="13"/>
  <c r="O23" i="5"/>
  <c r="AF13" i="13"/>
  <c r="F25" i="13"/>
  <c r="K25" i="5"/>
  <c r="G25" i="5"/>
  <c r="L22" i="13"/>
  <c r="L26" i="5"/>
  <c r="M22" i="5"/>
  <c r="R22" i="5"/>
  <c r="I12" i="5"/>
  <c r="J18" i="13"/>
  <c r="E18" i="13"/>
  <c r="E31" i="5"/>
  <c r="P27" i="4"/>
  <c r="Q19" i="4"/>
  <c r="S26" i="4"/>
  <c r="O26" i="4"/>
  <c r="O10" i="13"/>
  <c r="S10" i="13"/>
  <c r="AE13" i="11"/>
  <c r="AD13" i="11"/>
  <c r="AJ13" i="13" s="1"/>
  <c r="AA13" i="13"/>
  <c r="AA14" i="13" s="1"/>
  <c r="O29" i="5"/>
  <c r="K11" i="13"/>
  <c r="G11" i="13"/>
  <c r="J9" i="13"/>
  <c r="O9" i="13"/>
  <c r="S9" i="13"/>
  <c r="S24" i="13"/>
  <c r="O24" i="13"/>
  <c r="N30" i="9"/>
  <c r="N38" i="11" s="1"/>
  <c r="N35" i="11"/>
  <c r="I7" i="5"/>
  <c r="K12" i="13"/>
  <c r="G12" i="13"/>
  <c r="AD17" i="10"/>
  <c r="Z24" i="11"/>
  <c r="AE22" i="10"/>
  <c r="AD22" i="10"/>
  <c r="O21" i="11"/>
  <c r="O7" i="11"/>
  <c r="O18" i="11"/>
  <c r="O24" i="11"/>
  <c r="O17" i="11"/>
  <c r="S17" i="11"/>
  <c r="O23" i="11"/>
  <c r="N19" i="11"/>
  <c r="O10" i="11"/>
  <c r="O8" i="11"/>
  <c r="O34" i="11"/>
  <c r="O12" i="11"/>
  <c r="O28" i="11"/>
  <c r="O9" i="11"/>
  <c r="O33" i="11"/>
  <c r="O29" i="11"/>
  <c r="O31" i="11"/>
  <c r="K23" i="13"/>
  <c r="G23" i="13"/>
  <c r="R29" i="13"/>
  <c r="M29" i="13"/>
  <c r="R23" i="13"/>
  <c r="M23" i="13"/>
  <c r="I20" i="5"/>
  <c r="J12" i="13"/>
  <c r="AF22" i="11"/>
  <c r="Q20" i="5"/>
  <c r="N22" i="13"/>
  <c r="O22" i="5"/>
  <c r="N26" i="5"/>
  <c r="S22" i="5"/>
  <c r="K18" i="13"/>
  <c r="G18" i="13"/>
  <c r="I19" i="4"/>
  <c r="H27" i="4"/>
  <c r="K14" i="13"/>
  <c r="G14" i="13"/>
  <c r="X29" i="6"/>
  <c r="X30" i="6" s="1"/>
  <c r="O8" i="5"/>
  <c r="O11" i="11"/>
  <c r="AD14" i="5"/>
  <c r="AJ14" i="13" s="1"/>
  <c r="AL14" i="13"/>
  <c r="H17" i="13"/>
  <c r="I7" i="13" s="1"/>
  <c r="G34" i="13"/>
  <c r="K34" i="13"/>
  <c r="S31" i="13"/>
  <c r="O31" i="13"/>
  <c r="J15" i="13"/>
  <c r="E15" i="13"/>
  <c r="N25" i="13"/>
  <c r="O25" i="5"/>
  <c r="S25" i="5"/>
  <c r="R20" i="13"/>
  <c r="M20" i="13"/>
  <c r="Z22" i="5"/>
  <c r="AI17" i="13"/>
  <c r="AF22" i="10"/>
  <c r="L25" i="13"/>
  <c r="R25" i="5"/>
  <c r="M25" i="5"/>
  <c r="R14" i="13"/>
  <c r="M14" i="13"/>
  <c r="AE22" i="13"/>
  <c r="Q25" i="5"/>
  <c r="S29" i="13"/>
  <c r="O29" i="13"/>
  <c r="O11" i="5"/>
  <c r="Q20" i="13"/>
  <c r="O20" i="5"/>
  <c r="AC14" i="13"/>
  <c r="AF14" i="13" s="1"/>
  <c r="AD8" i="13"/>
  <c r="AE22" i="11"/>
  <c r="X23" i="13"/>
  <c r="AE22" i="5"/>
  <c r="AB17" i="5"/>
  <c r="AB17" i="4"/>
  <c r="I11" i="5"/>
  <c r="I34" i="5"/>
  <c r="I38" i="13" s="1"/>
  <c r="I24" i="5"/>
  <c r="I15" i="5"/>
  <c r="I18" i="5"/>
  <c r="H19" i="5"/>
  <c r="I28" i="5"/>
  <c r="I13" i="5"/>
  <c r="I23" i="5"/>
  <c r="I10" i="5"/>
  <c r="I29" i="5"/>
  <c r="I14" i="5"/>
  <c r="I17" i="5"/>
  <c r="I31" i="5"/>
  <c r="R34" i="13"/>
  <c r="M34" i="13"/>
  <c r="K24" i="13"/>
  <c r="G24" i="13"/>
  <c r="S23" i="13"/>
  <c r="O23" i="13"/>
  <c r="O7" i="5"/>
  <c r="Q8" i="13"/>
  <c r="S13" i="13"/>
  <c r="O13" i="13"/>
  <c r="K13" i="13"/>
  <c r="G13" i="13"/>
  <c r="M31" i="5"/>
  <c r="M9" i="5"/>
  <c r="M28" i="5"/>
  <c r="M20" i="5"/>
  <c r="M17" i="5"/>
  <c r="M12" i="5"/>
  <c r="M14" i="5"/>
  <c r="M24" i="5"/>
  <c r="M11" i="5"/>
  <c r="M18" i="5"/>
  <c r="M34" i="5"/>
  <c r="M38" i="13" s="1"/>
  <c r="M10" i="5"/>
  <c r="R17" i="5"/>
  <c r="M8" i="5"/>
  <c r="M15" i="5"/>
  <c r="M7" i="5"/>
  <c r="M29" i="5"/>
  <c r="L19" i="5"/>
  <c r="M21" i="5"/>
  <c r="J10" i="13"/>
  <c r="E10" i="13"/>
  <c r="R13" i="13"/>
  <c r="M13" i="13"/>
  <c r="I20" i="13"/>
  <c r="J34" i="13"/>
  <c r="E34" i="13"/>
  <c r="R9" i="13"/>
  <c r="Q25" i="13"/>
  <c r="P22" i="13"/>
  <c r="Q22" i="13" s="1"/>
  <c r="Q22" i="5"/>
  <c r="P26" i="5"/>
  <c r="S20" i="13"/>
  <c r="O20" i="13"/>
  <c r="AF20" i="13"/>
  <c r="S8" i="13"/>
  <c r="O8" i="13"/>
  <c r="S33" i="12"/>
  <c r="O33" i="12"/>
  <c r="Q30" i="12"/>
  <c r="P32" i="12"/>
  <c r="Q32" i="12" s="1"/>
  <c r="M26" i="12"/>
  <c r="R26" i="12"/>
  <c r="L27" i="12"/>
  <c r="L40" i="6" s="1"/>
  <c r="O30" i="12"/>
  <c r="S30" i="12"/>
  <c r="N32" i="12"/>
  <c r="I30" i="12"/>
  <c r="H32" i="12"/>
  <c r="D33" i="12"/>
  <c r="J33" i="12" s="1"/>
  <c r="E27" i="12"/>
  <c r="E33" i="12" s="1"/>
  <c r="D30" i="12"/>
  <c r="J27" i="12"/>
  <c r="G30" i="12"/>
  <c r="K30" i="12"/>
  <c r="F32" i="12"/>
  <c r="F30" i="11"/>
  <c r="G27" i="11"/>
  <c r="K27" i="11"/>
  <c r="D30" i="11"/>
  <c r="E27" i="11"/>
  <c r="J27" i="11"/>
  <c r="U22" i="11"/>
  <c r="H30" i="11"/>
  <c r="I27" i="11"/>
  <c r="E30" i="10"/>
  <c r="J30" i="10"/>
  <c r="I27" i="10"/>
  <c r="H30" i="10"/>
  <c r="K30" i="10" s="1"/>
  <c r="K27" i="10"/>
  <c r="F32" i="10"/>
  <c r="G30" i="10"/>
  <c r="N32" i="10"/>
  <c r="O30" i="10"/>
  <c r="I32" i="9"/>
  <c r="H33" i="9"/>
  <c r="Q32" i="9"/>
  <c r="P33" i="9"/>
  <c r="R26" i="9"/>
  <c r="R27" i="9" s="1"/>
  <c r="L27" i="9"/>
  <c r="O30" i="9"/>
  <c r="N32" i="9"/>
  <c r="N40" i="11" s="1"/>
  <c r="S30" i="9"/>
  <c r="O22" i="9"/>
  <c r="O26" i="9" s="1"/>
  <c r="O27" i="9" s="1"/>
  <c r="L30" i="8"/>
  <c r="R29" i="8"/>
  <c r="L31" i="8"/>
  <c r="M29" i="8"/>
  <c r="R32" i="8"/>
  <c r="M32" i="8"/>
  <c r="D30" i="8"/>
  <c r="J29" i="8"/>
  <c r="E29" i="8"/>
  <c r="H31" i="8"/>
  <c r="H40" i="11" s="1"/>
  <c r="I29" i="8"/>
  <c r="P31" i="8"/>
  <c r="Q31" i="8" s="1"/>
  <c r="Q29" i="8"/>
  <c r="P32" i="8"/>
  <c r="Q32" i="8" s="1"/>
  <c r="AA22" i="7"/>
  <c r="AE17" i="7"/>
  <c r="L32" i="7"/>
  <c r="M30" i="7"/>
  <c r="R30" i="7"/>
  <c r="AD17" i="7"/>
  <c r="AD22" i="7"/>
  <c r="AF22" i="7"/>
  <c r="D32" i="7"/>
  <c r="E30" i="7"/>
  <c r="J30" i="7"/>
  <c r="K33" i="7"/>
  <c r="I33" i="7"/>
  <c r="AD17" i="6"/>
  <c r="AJ17" i="13" s="1"/>
  <c r="AC22" i="6"/>
  <c r="AC23" i="13" s="1"/>
  <c r="AF17" i="6"/>
  <c r="Q27" i="6"/>
  <c r="P38" i="6"/>
  <c r="P30" i="6"/>
  <c r="L30" i="6"/>
  <c r="R27" i="6"/>
  <c r="L38" i="6"/>
  <c r="M27" i="6"/>
  <c r="I27" i="6"/>
  <c r="H38" i="6"/>
  <c r="H41" i="6" s="1"/>
  <c r="H42" i="6" s="1"/>
  <c r="H30" i="6"/>
  <c r="AA22" i="6"/>
  <c r="AE17" i="6"/>
  <c r="D30" i="6"/>
  <c r="J27" i="6"/>
  <c r="D38" i="6"/>
  <c r="D41" i="6" s="1"/>
  <c r="D42" i="6" s="1"/>
  <c r="E27" i="6"/>
  <c r="S27" i="6"/>
  <c r="O27" i="6"/>
  <c r="N30" i="6"/>
  <c r="K27" i="6"/>
  <c r="G27" i="6"/>
  <c r="F30" i="6"/>
  <c r="S27" i="4"/>
  <c r="O27" i="4"/>
  <c r="N30" i="4"/>
  <c r="J27" i="4"/>
  <c r="E27" i="4"/>
  <c r="D30" i="4"/>
  <c r="AA22" i="4"/>
  <c r="AD22" i="4" s="1"/>
  <c r="AE17" i="4"/>
  <c r="K27" i="4"/>
  <c r="G27" i="4"/>
  <c r="F30" i="4"/>
  <c r="I27" i="3"/>
  <c r="H30" i="3"/>
  <c r="Q27" i="3"/>
  <c r="P30" i="3"/>
  <c r="S27" i="3"/>
  <c r="N30" i="3"/>
  <c r="O27" i="3"/>
  <c r="R27" i="3"/>
  <c r="M27" i="3"/>
  <c r="L30" i="3"/>
  <c r="F30" i="3"/>
  <c r="K27" i="3"/>
  <c r="G27" i="3"/>
  <c r="J27" i="3"/>
  <c r="E27" i="3"/>
  <c r="D30" i="3"/>
  <c r="Q27" i="2"/>
  <c r="P30" i="2"/>
  <c r="G27" i="2"/>
  <c r="F30" i="2"/>
  <c r="K27" i="2"/>
  <c r="O27" i="2"/>
  <c r="N30" i="2"/>
  <c r="S27" i="2"/>
  <c r="R27" i="2"/>
  <c r="M27" i="2"/>
  <c r="L30" i="2"/>
  <c r="AB22" i="2"/>
  <c r="AF22" i="2" s="1"/>
  <c r="AF17" i="2"/>
  <c r="I27" i="2"/>
  <c r="H30" i="2"/>
  <c r="J27" i="2"/>
  <c r="E27" i="2"/>
  <c r="D30" i="2"/>
  <c r="N36" i="5" l="1"/>
  <c r="N33" i="4"/>
  <c r="D33" i="4"/>
  <c r="D36" i="5"/>
  <c r="L36" i="5"/>
  <c r="L33" i="4"/>
  <c r="H36" i="5"/>
  <c r="H33" i="4"/>
  <c r="P36" i="5"/>
  <c r="P33" i="4"/>
  <c r="L19" i="13"/>
  <c r="M19" i="5"/>
  <c r="R19" i="5"/>
  <c r="L27" i="5"/>
  <c r="AB22" i="5"/>
  <c r="AF17" i="5"/>
  <c r="N26" i="13"/>
  <c r="S26" i="5"/>
  <c r="O26" i="5"/>
  <c r="AE14" i="13"/>
  <c r="AA17" i="13"/>
  <c r="Q27" i="4"/>
  <c r="P30" i="4"/>
  <c r="R22" i="13"/>
  <c r="M22" i="13"/>
  <c r="L30" i="10"/>
  <c r="R27" i="10"/>
  <c r="M27" i="10"/>
  <c r="AB22" i="13"/>
  <c r="AF17" i="13"/>
  <c r="K17" i="13"/>
  <c r="G17" i="13"/>
  <c r="G16" i="13"/>
  <c r="E19" i="5"/>
  <c r="J19" i="5"/>
  <c r="D27" i="5"/>
  <c r="O26" i="11"/>
  <c r="S26" i="11"/>
  <c r="Q10" i="13"/>
  <c r="E25" i="13"/>
  <c r="J25" i="13"/>
  <c r="I32" i="12"/>
  <c r="H46" i="6"/>
  <c r="R25" i="13"/>
  <c r="M25" i="13"/>
  <c r="AA30" i="6"/>
  <c r="P40" i="11"/>
  <c r="P33" i="7"/>
  <c r="S32" i="7"/>
  <c r="Q32" i="7"/>
  <c r="Q40" i="11" s="1"/>
  <c r="Q26" i="11"/>
  <c r="P27" i="11"/>
  <c r="E26" i="13"/>
  <c r="O11" i="13"/>
  <c r="I22" i="13"/>
  <c r="E28" i="13"/>
  <c r="L30" i="9"/>
  <c r="L38" i="11" s="1"/>
  <c r="L35" i="11"/>
  <c r="S25" i="13"/>
  <c r="O25" i="13"/>
  <c r="I16" i="13"/>
  <c r="I17" i="13"/>
  <c r="I13" i="13"/>
  <c r="I11" i="13"/>
  <c r="I14" i="13"/>
  <c r="I15" i="13"/>
  <c r="I10" i="13"/>
  <c r="I23" i="13"/>
  <c r="I24" i="13"/>
  <c r="I29" i="13"/>
  <c r="I18" i="13"/>
  <c r="I31" i="13"/>
  <c r="I28" i="13"/>
  <c r="I34" i="13"/>
  <c r="S22" i="13"/>
  <c r="O22" i="13"/>
  <c r="E8" i="13"/>
  <c r="O28" i="13"/>
  <c r="G8" i="13"/>
  <c r="Q26" i="5"/>
  <c r="P26" i="13"/>
  <c r="Q26" i="13" s="1"/>
  <c r="I27" i="4"/>
  <c r="H30" i="4"/>
  <c r="I12" i="13"/>
  <c r="K25" i="13"/>
  <c r="G25" i="13"/>
  <c r="P19" i="13"/>
  <c r="P27" i="5"/>
  <c r="Q19" i="5"/>
  <c r="AH22" i="13"/>
  <c r="Y23" i="13"/>
  <c r="AE17" i="11"/>
  <c r="AA22" i="11"/>
  <c r="AA23" i="13" s="1"/>
  <c r="E24" i="13"/>
  <c r="E14" i="13"/>
  <c r="M28" i="13"/>
  <c r="R17" i="13"/>
  <c r="M9" i="13"/>
  <c r="M17" i="13"/>
  <c r="M16" i="13"/>
  <c r="M8" i="13"/>
  <c r="M21" i="13"/>
  <c r="M12" i="13"/>
  <c r="I25" i="13"/>
  <c r="G21" i="13"/>
  <c r="I8" i="13"/>
  <c r="L27" i="11"/>
  <c r="M26" i="11"/>
  <c r="R26" i="11"/>
  <c r="S17" i="13"/>
  <c r="O17" i="13"/>
  <c r="O16" i="13"/>
  <c r="F26" i="13"/>
  <c r="K26" i="5"/>
  <c r="G26" i="5"/>
  <c r="F27" i="5"/>
  <c r="L39" i="11"/>
  <c r="L31" i="10"/>
  <c r="AD14" i="13"/>
  <c r="AC17" i="13"/>
  <c r="Z23" i="13"/>
  <c r="AI22" i="13"/>
  <c r="E21" i="13"/>
  <c r="D19" i="13"/>
  <c r="J17" i="13"/>
  <c r="E16" i="13"/>
  <c r="E12" i="13"/>
  <c r="E17" i="13"/>
  <c r="E9" i="13"/>
  <c r="G31" i="13"/>
  <c r="I21" i="13"/>
  <c r="P30" i="10"/>
  <c r="S27" i="10"/>
  <c r="Q27" i="10"/>
  <c r="G20" i="13"/>
  <c r="K22" i="13"/>
  <c r="G22" i="13"/>
  <c r="H19" i="13"/>
  <c r="H27" i="5"/>
  <c r="I19" i="5"/>
  <c r="U10" i="5"/>
  <c r="K19" i="5"/>
  <c r="AL22" i="13"/>
  <c r="U22" i="5"/>
  <c r="J26" i="5"/>
  <c r="E26" i="5"/>
  <c r="G28" i="13"/>
  <c r="O38" i="13"/>
  <c r="AD13" i="13"/>
  <c r="D39" i="11"/>
  <c r="D31" i="10"/>
  <c r="AB22" i="4"/>
  <c r="AF22" i="4" s="1"/>
  <c r="AF17" i="4"/>
  <c r="N27" i="11"/>
  <c r="S19" i="11"/>
  <c r="O19" i="11"/>
  <c r="L26" i="13"/>
  <c r="R26" i="5"/>
  <c r="M26" i="5"/>
  <c r="I9" i="13"/>
  <c r="Q38" i="11"/>
  <c r="Q24" i="13"/>
  <c r="Q16" i="13"/>
  <c r="Q14" i="13"/>
  <c r="Q11" i="13"/>
  <c r="Q15" i="13"/>
  <c r="Q17" i="13"/>
  <c r="Q13" i="13"/>
  <c r="Q28" i="13"/>
  <c r="Q34" i="13"/>
  <c r="Q31" i="13"/>
  <c r="Q23" i="13"/>
  <c r="Q29" i="13"/>
  <c r="Q18" i="13"/>
  <c r="N19" i="13"/>
  <c r="S19" i="5"/>
  <c r="O19" i="5"/>
  <c r="N27" i="5"/>
  <c r="E29" i="13"/>
  <c r="E11" i="13"/>
  <c r="M24" i="13"/>
  <c r="H26" i="13"/>
  <c r="I26" i="13" s="1"/>
  <c r="I26" i="5"/>
  <c r="R27" i="4"/>
  <c r="M27" i="4"/>
  <c r="L30" i="4"/>
  <c r="M18" i="13"/>
  <c r="E23" i="13"/>
  <c r="AE13" i="13"/>
  <c r="D32" i="12"/>
  <c r="D46" i="6" s="1"/>
  <c r="E30" i="12"/>
  <c r="J30" i="12"/>
  <c r="L33" i="12"/>
  <c r="M27" i="12"/>
  <c r="L30" i="12"/>
  <c r="R27" i="12"/>
  <c r="K32" i="12"/>
  <c r="G32" i="12"/>
  <c r="S32" i="12"/>
  <c r="O32" i="12"/>
  <c r="I30" i="11"/>
  <c r="U25" i="11"/>
  <c r="H32" i="11"/>
  <c r="H45" i="6" s="1"/>
  <c r="E30" i="11"/>
  <c r="J30" i="11"/>
  <c r="F32" i="11"/>
  <c r="K30" i="11"/>
  <c r="G30" i="11"/>
  <c r="O32" i="10"/>
  <c r="G32" i="10"/>
  <c r="I30" i="10"/>
  <c r="H32" i="10"/>
  <c r="I32" i="10" s="1"/>
  <c r="S32" i="9"/>
  <c r="O32" i="9"/>
  <c r="R30" i="9"/>
  <c r="M30" i="9"/>
  <c r="L32" i="9"/>
  <c r="L40" i="11" s="1"/>
  <c r="J30" i="8"/>
  <c r="E30" i="8"/>
  <c r="E39" i="11" s="1"/>
  <c r="I31" i="8"/>
  <c r="H32" i="8"/>
  <c r="R31" i="8"/>
  <c r="M31" i="8"/>
  <c r="D31" i="8"/>
  <c r="D40" i="11" s="1"/>
  <c r="M30" i="8"/>
  <c r="M39" i="11" s="1"/>
  <c r="R30" i="8"/>
  <c r="E32" i="7"/>
  <c r="D33" i="7"/>
  <c r="J32" i="7"/>
  <c r="M32" i="7"/>
  <c r="L33" i="7"/>
  <c r="R32" i="7"/>
  <c r="J33" i="6"/>
  <c r="E33" i="6"/>
  <c r="G33" i="6"/>
  <c r="K33" i="6"/>
  <c r="Q33" i="6"/>
  <c r="R33" i="6"/>
  <c r="M33" i="6"/>
  <c r="I33" i="6"/>
  <c r="O33" i="6"/>
  <c r="S33" i="6"/>
  <c r="M30" i="6"/>
  <c r="R30" i="6"/>
  <c r="L32" i="6"/>
  <c r="K30" i="6"/>
  <c r="F32" i="6"/>
  <c r="G30" i="6"/>
  <c r="P32" i="6"/>
  <c r="Q32" i="6" s="1"/>
  <c r="Q30" i="6"/>
  <c r="H32" i="6"/>
  <c r="I30" i="6"/>
  <c r="S30" i="6"/>
  <c r="N32" i="6"/>
  <c r="O30" i="6"/>
  <c r="E30" i="6"/>
  <c r="J30" i="6"/>
  <c r="D32" i="6"/>
  <c r="AF22" i="6"/>
  <c r="AD22" i="6"/>
  <c r="AD23" i="13" s="1"/>
  <c r="J30" i="4"/>
  <c r="E30" i="4"/>
  <c r="D32" i="4"/>
  <c r="S30" i="4"/>
  <c r="O30" i="4"/>
  <c r="N32" i="4"/>
  <c r="K30" i="4"/>
  <c r="G30" i="4"/>
  <c r="F32" i="4"/>
  <c r="S33" i="3"/>
  <c r="O33" i="3"/>
  <c r="Q33" i="3"/>
  <c r="R33" i="3"/>
  <c r="M33" i="3"/>
  <c r="I33" i="3"/>
  <c r="J33" i="3"/>
  <c r="G30" i="3"/>
  <c r="G31" i="3" s="1"/>
  <c r="F32" i="3"/>
  <c r="K30" i="3"/>
  <c r="R30" i="3"/>
  <c r="L32" i="3"/>
  <c r="M30" i="3"/>
  <c r="J30" i="3"/>
  <c r="D32" i="3"/>
  <c r="E30" i="3"/>
  <c r="Q30" i="3"/>
  <c r="P32" i="3"/>
  <c r="Q32" i="3" s="1"/>
  <c r="I30" i="3"/>
  <c r="H32" i="3"/>
  <c r="I32" i="3" s="1"/>
  <c r="O30" i="3"/>
  <c r="N32" i="3"/>
  <c r="S30" i="3"/>
  <c r="O33" i="2"/>
  <c r="O36" i="5" s="1"/>
  <c r="S33" i="2"/>
  <c r="S36" i="5" s="1"/>
  <c r="J33" i="2"/>
  <c r="E33" i="2"/>
  <c r="R33" i="2"/>
  <c r="R36" i="5" s="1"/>
  <c r="M33" i="2"/>
  <c r="M36" i="5" s="1"/>
  <c r="I33" i="2"/>
  <c r="I36" i="5" s="1"/>
  <c r="Q33" i="2"/>
  <c r="O30" i="2"/>
  <c r="N32" i="2"/>
  <c r="N35" i="5" s="1"/>
  <c r="S30" i="2"/>
  <c r="J30" i="2"/>
  <c r="E30" i="2"/>
  <c r="D32" i="2"/>
  <c r="D35" i="5" s="1"/>
  <c r="R30" i="2"/>
  <c r="M30" i="2"/>
  <c r="L32" i="2"/>
  <c r="L35" i="5" s="1"/>
  <c r="G30" i="2"/>
  <c r="F32" i="2"/>
  <c r="F35" i="5" s="1"/>
  <c r="K30" i="2"/>
  <c r="I30" i="2"/>
  <c r="H32" i="2"/>
  <c r="Q30" i="2"/>
  <c r="P32" i="2"/>
  <c r="O19" i="13" l="1"/>
  <c r="S19" i="13"/>
  <c r="N27" i="13"/>
  <c r="H33" i="5"/>
  <c r="I33" i="4"/>
  <c r="I32" i="8"/>
  <c r="H41" i="11"/>
  <c r="H33" i="10"/>
  <c r="L31" i="11"/>
  <c r="M31" i="10"/>
  <c r="R31" i="10"/>
  <c r="AA22" i="13"/>
  <c r="AE17" i="13"/>
  <c r="D31" i="11"/>
  <c r="E31" i="10"/>
  <c r="J31" i="10"/>
  <c r="D32" i="10"/>
  <c r="R27" i="5"/>
  <c r="L30" i="5"/>
  <c r="M27" i="5"/>
  <c r="D33" i="10"/>
  <c r="D41" i="11"/>
  <c r="R26" i="13"/>
  <c r="M26" i="13"/>
  <c r="P30" i="5"/>
  <c r="Q27" i="5"/>
  <c r="J27" i="5"/>
  <c r="D30" i="5"/>
  <c r="E27" i="5"/>
  <c r="R33" i="4"/>
  <c r="L33" i="5"/>
  <c r="M33" i="4"/>
  <c r="E40" i="11"/>
  <c r="Q30" i="10"/>
  <c r="P32" i="10"/>
  <c r="S30" i="10"/>
  <c r="E19" i="13"/>
  <c r="D27" i="13"/>
  <c r="J19" i="13"/>
  <c r="D35" i="10"/>
  <c r="P27" i="13"/>
  <c r="Q19" i="13"/>
  <c r="R19" i="13"/>
  <c r="L27" i="13"/>
  <c r="M19" i="13"/>
  <c r="G26" i="13"/>
  <c r="K26" i="13"/>
  <c r="F27" i="13"/>
  <c r="Q32" i="2"/>
  <c r="Q35" i="5" s="1"/>
  <c r="P35" i="5"/>
  <c r="Q36" i="5"/>
  <c r="H30" i="5"/>
  <c r="I27" i="5"/>
  <c r="U23" i="5"/>
  <c r="P41" i="11"/>
  <c r="P33" i="10"/>
  <c r="Q33" i="7"/>
  <c r="Q41" i="11" s="1"/>
  <c r="S33" i="7"/>
  <c r="M30" i="10"/>
  <c r="L32" i="10"/>
  <c r="R30" i="10"/>
  <c r="R30" i="4"/>
  <c r="M30" i="4"/>
  <c r="L32" i="4"/>
  <c r="S27" i="5"/>
  <c r="N30" i="5"/>
  <c r="O27" i="5"/>
  <c r="N30" i="11"/>
  <c r="O27" i="11"/>
  <c r="S27" i="11"/>
  <c r="H27" i="13"/>
  <c r="I19" i="13"/>
  <c r="K19" i="13"/>
  <c r="K27" i="5"/>
  <c r="F30" i="5"/>
  <c r="G27" i="5"/>
  <c r="O26" i="13"/>
  <c r="S26" i="13"/>
  <c r="J33" i="4"/>
  <c r="D33" i="5"/>
  <c r="E33" i="4"/>
  <c r="P39" i="6"/>
  <c r="P41" i="6" s="1"/>
  <c r="P30" i="11"/>
  <c r="Q27" i="11"/>
  <c r="I32" i="2"/>
  <c r="I35" i="5" s="1"/>
  <c r="H35" i="5"/>
  <c r="L39" i="6"/>
  <c r="L41" i="6" s="1"/>
  <c r="L30" i="11"/>
  <c r="M27" i="11"/>
  <c r="R27" i="11"/>
  <c r="J26" i="13"/>
  <c r="AJ22" i="13"/>
  <c r="P33" i="5"/>
  <c r="Q33" i="4"/>
  <c r="S33" i="4"/>
  <c r="N33" i="5"/>
  <c r="O33" i="4"/>
  <c r="L41" i="11"/>
  <c r="L33" i="10"/>
  <c r="AC22" i="13"/>
  <c r="AD17" i="13"/>
  <c r="I30" i="4"/>
  <c r="H32" i="4"/>
  <c r="I32" i="4" s="1"/>
  <c r="P32" i="4"/>
  <c r="Q32" i="4" s="1"/>
  <c r="Q30" i="4"/>
  <c r="AF22" i="5"/>
  <c r="AB23" i="13"/>
  <c r="L32" i="12"/>
  <c r="M30" i="12"/>
  <c r="R30" i="12"/>
  <c r="M33" i="12"/>
  <c r="R33" i="12"/>
  <c r="E32" i="12"/>
  <c r="J32" i="12"/>
  <c r="I32" i="11"/>
  <c r="K32" i="11"/>
  <c r="G32" i="11"/>
  <c r="K32" i="10"/>
  <c r="R32" i="9"/>
  <c r="M32" i="9"/>
  <c r="M40" i="11" s="1"/>
  <c r="J31" i="8"/>
  <c r="E31" i="8"/>
  <c r="E33" i="7"/>
  <c r="J33" i="7"/>
  <c r="M33" i="7"/>
  <c r="R33" i="7"/>
  <c r="G32" i="6"/>
  <c r="K32" i="6"/>
  <c r="O32" i="6"/>
  <c r="S32" i="6"/>
  <c r="R32" i="6"/>
  <c r="M32" i="6"/>
  <c r="I32" i="6"/>
  <c r="H44" i="6"/>
  <c r="J32" i="6"/>
  <c r="D44" i="6"/>
  <c r="E32" i="6"/>
  <c r="S32" i="4"/>
  <c r="O32" i="4"/>
  <c r="G32" i="4"/>
  <c r="E32" i="4"/>
  <c r="E32" i="3"/>
  <c r="J32" i="3"/>
  <c r="S32" i="3"/>
  <c r="O32" i="3"/>
  <c r="M32" i="3"/>
  <c r="R32" i="3"/>
  <c r="K32" i="3"/>
  <c r="G32" i="3"/>
  <c r="J32" i="2"/>
  <c r="E32" i="2"/>
  <c r="G32" i="2"/>
  <c r="K32" i="2"/>
  <c r="O32" i="2"/>
  <c r="S32" i="2"/>
  <c r="R32" i="2"/>
  <c r="R35" i="5" s="1"/>
  <c r="M32" i="2"/>
  <c r="M35" i="5" s="1"/>
  <c r="F36" i="5" l="1"/>
  <c r="F33" i="4"/>
  <c r="I27" i="13"/>
  <c r="H30" i="13"/>
  <c r="R33" i="5"/>
  <c r="M33" i="5"/>
  <c r="E27" i="13"/>
  <c r="D30" i="13"/>
  <c r="J27" i="13"/>
  <c r="U26" i="11"/>
  <c r="J31" i="11"/>
  <c r="E31" i="11"/>
  <c r="D31" i="13"/>
  <c r="D32" i="11"/>
  <c r="M30" i="11"/>
  <c r="L32" i="11"/>
  <c r="R30" i="11"/>
  <c r="J33" i="5"/>
  <c r="E33" i="5"/>
  <c r="Q33" i="5"/>
  <c r="S35" i="5"/>
  <c r="N32" i="11"/>
  <c r="S30" i="11"/>
  <c r="O30" i="11"/>
  <c r="M32" i="10"/>
  <c r="R32" i="10"/>
  <c r="H32" i="5"/>
  <c r="I30" i="5"/>
  <c r="U26" i="5"/>
  <c r="M27" i="13"/>
  <c r="L30" i="13"/>
  <c r="R27" i="13"/>
  <c r="J30" i="5"/>
  <c r="E30" i="5"/>
  <c r="D32" i="5"/>
  <c r="U29" i="5"/>
  <c r="I33" i="5"/>
  <c r="R32" i="4"/>
  <c r="M32" i="4"/>
  <c r="J32" i="4"/>
  <c r="D33" i="11"/>
  <c r="D37" i="13" s="1"/>
  <c r="E33" i="10"/>
  <c r="J33" i="10"/>
  <c r="O35" i="5"/>
  <c r="K32" i="4"/>
  <c r="L33" i="11"/>
  <c r="M33" i="10"/>
  <c r="R33" i="10"/>
  <c r="P32" i="11"/>
  <c r="Q32" i="11" s="1"/>
  <c r="Q30" i="11"/>
  <c r="K30" i="5"/>
  <c r="F32" i="5"/>
  <c r="G30" i="5"/>
  <c r="Q32" i="10"/>
  <c r="S32" i="10"/>
  <c r="L32" i="5"/>
  <c r="M30" i="5"/>
  <c r="R30" i="5"/>
  <c r="O27" i="13"/>
  <c r="N30" i="13"/>
  <c r="S27" i="13"/>
  <c r="S30" i="5"/>
  <c r="O30" i="5"/>
  <c r="N32" i="5"/>
  <c r="Q27" i="13"/>
  <c r="P30" i="13"/>
  <c r="P32" i="5"/>
  <c r="Q30" i="5"/>
  <c r="E32" i="10"/>
  <c r="J32" i="10"/>
  <c r="M31" i="11"/>
  <c r="R31" i="11"/>
  <c r="L31" i="13"/>
  <c r="N33" i="13"/>
  <c r="N37" i="13"/>
  <c r="O33" i="5"/>
  <c r="O37" i="13" s="1"/>
  <c r="S33" i="5"/>
  <c r="P33" i="11"/>
  <c r="Q33" i="10"/>
  <c r="S33" i="10"/>
  <c r="F30" i="13"/>
  <c r="K27" i="13"/>
  <c r="G27" i="13"/>
  <c r="H33" i="11"/>
  <c r="K33" i="10"/>
  <c r="I33" i="10"/>
  <c r="M32" i="12"/>
  <c r="R32" i="12"/>
  <c r="I44" i="6"/>
  <c r="H47" i="6"/>
  <c r="H49" i="6" s="1"/>
  <c r="K33" i="3"/>
  <c r="G33" i="3"/>
  <c r="G33" i="2"/>
  <c r="K33" i="2"/>
  <c r="J31" i="13" l="1"/>
  <c r="E31" i="13"/>
  <c r="R37" i="13"/>
  <c r="Q33" i="11"/>
  <c r="S33" i="11"/>
  <c r="R33" i="11"/>
  <c r="M33" i="11"/>
  <c r="J37" i="13"/>
  <c r="L33" i="13"/>
  <c r="S37" i="13"/>
  <c r="I37" i="13"/>
  <c r="M30" i="13"/>
  <c r="L32" i="13"/>
  <c r="R30" i="13"/>
  <c r="D33" i="13"/>
  <c r="L37" i="13"/>
  <c r="U28" i="11"/>
  <c r="I33" i="11"/>
  <c r="K33" i="11"/>
  <c r="N32" i="13"/>
  <c r="S30" i="13"/>
  <c r="O30" i="13"/>
  <c r="F36" i="13"/>
  <c r="G32" i="5"/>
  <c r="G36" i="13" s="1"/>
  <c r="K32" i="5"/>
  <c r="K36" i="13" s="1"/>
  <c r="S32" i="11"/>
  <c r="O32" i="11"/>
  <c r="I30" i="13"/>
  <c r="H32" i="13"/>
  <c r="I32" i="13" s="1"/>
  <c r="Q32" i="5"/>
  <c r="Q36" i="13" s="1"/>
  <c r="P36" i="13"/>
  <c r="H33" i="13"/>
  <c r="I33" i="13" s="1"/>
  <c r="O33" i="13"/>
  <c r="Q30" i="13"/>
  <c r="P32" i="13"/>
  <c r="Q32" i="13" s="1"/>
  <c r="H37" i="13"/>
  <c r="Q37" i="13"/>
  <c r="M32" i="11"/>
  <c r="R32" i="11"/>
  <c r="J30" i="13"/>
  <c r="D32" i="13"/>
  <c r="E30" i="13"/>
  <c r="G30" i="13"/>
  <c r="F32" i="13"/>
  <c r="K30" i="13"/>
  <c r="R31" i="13"/>
  <c r="M31" i="13"/>
  <c r="J33" i="11"/>
  <c r="E33" i="11"/>
  <c r="E37" i="13" s="1"/>
  <c r="D36" i="13"/>
  <c r="E32" i="5"/>
  <c r="J32" i="5"/>
  <c r="J36" i="13" s="1"/>
  <c r="H36" i="13"/>
  <c r="I32" i="5"/>
  <c r="I36" i="13" s="1"/>
  <c r="U28" i="5"/>
  <c r="P37" i="13"/>
  <c r="K33" i="4"/>
  <c r="F33" i="5"/>
  <c r="G33" i="4"/>
  <c r="N36" i="13"/>
  <c r="O32" i="5"/>
  <c r="S32" i="5"/>
  <c r="L36" i="13"/>
  <c r="M32" i="5"/>
  <c r="M36" i="13" s="1"/>
  <c r="R32" i="5"/>
  <c r="R36" i="13" s="1"/>
  <c r="P33" i="13"/>
  <c r="Q33" i="13" s="1"/>
  <c r="D45" i="6"/>
  <c r="D47" i="6" s="1"/>
  <c r="D49" i="6" s="1"/>
  <c r="E32" i="11"/>
  <c r="J32" i="11"/>
  <c r="U27" i="11"/>
  <c r="M37" i="13"/>
  <c r="J50" i="6"/>
  <c r="H50" i="6"/>
  <c r="S36" i="13" l="1"/>
  <c r="J33" i="13"/>
  <c r="E33" i="13"/>
  <c r="O36" i="13"/>
  <c r="G32" i="13"/>
  <c r="K32" i="13"/>
  <c r="M32" i="13"/>
  <c r="R32" i="13"/>
  <c r="E36" i="13"/>
  <c r="O32" i="13"/>
  <c r="S32" i="13"/>
  <c r="G33" i="5"/>
  <c r="G37" i="13" s="1"/>
  <c r="F33" i="13"/>
  <c r="F37" i="13"/>
  <c r="K33" i="5"/>
  <c r="K37" i="13" s="1"/>
  <c r="E32" i="13"/>
  <c r="J32" i="13"/>
  <c r="S33" i="13"/>
  <c r="R33" i="13"/>
  <c r="M33" i="13"/>
  <c r="K33" i="13" l="1"/>
  <c r="G3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B985129E-68AB-4787-9FD3-B46446E493D1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172C64B7-2D92-4246-AEDE-BDDDC6DE8CC1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1430CF50-9AF4-4C34-982A-D3226A071041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B58C8096-7680-48D3-BA54-A83B5E30FCCD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1D7B5271-45BD-47D1-A6C9-B03F16F10867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0F294DF8-03DA-4162-B1D2-48981CE33D35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E8B08C6D-9CDA-4BCF-8C3F-34B7C9866D93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130A7082-E61C-4B57-86E7-CB3DE4F4DDE4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99E34FCA-CBC7-4E0C-9FE9-7122F497A9C1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C536B84B-A56B-4E83-B5D4-60E5049292FF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28F36597-0A31-48A8-8572-DAC4B2E3F287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  <author>Robert G.</author>
  </authors>
  <commentList>
    <comment ref="K5" authorId="0" shapeId="0" xr:uid="{208529AC-0175-4E45-8637-29B63E0C88B8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A0633D2F-22F6-4855-9B1F-E06E94810651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768EDBCA-3EA5-4C00-BC2E-D98C8CCDF381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8" authorId="1" shapeId="0" xr:uid="{E0405FDD-BD6C-4BF2-8338-3FCF2631ED41}">
      <text>
        <r>
          <rPr>
            <b/>
            <sz val="9"/>
            <color indexed="81"/>
            <rFont val="Tahoma"/>
            <family val="2"/>
          </rPr>
          <t>Robert G.:</t>
        </r>
        <r>
          <rPr>
            <sz val="9"/>
            <color indexed="81"/>
            <rFont val="Tahoma"/>
            <family val="2"/>
          </rPr>
          <t xml:space="preserve">
se resta el metodo de participacion para efectos comparables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F073C112-6EFA-40D9-BC74-3C15864AFCA6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4870EEA7-009F-4446-A432-2686D4EF2F75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AE29D71F-A21A-46AE-8D71-E6389DB912E1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40BB4341-1566-409A-BCA3-EDD16B0D4A0E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8D48AAA9-385C-420B-BAE2-6E41BC1C496C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963488C4-2372-4830-AEF6-0D78E8099D00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  <author>riccuefa</author>
  </authors>
  <commentList>
    <comment ref="K5" authorId="0" shapeId="0" xr:uid="{B9A4C003-1D5C-4C9F-8F65-D55DC11DC69F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B7086CF2-DB0D-469E-B6AB-B72ABFA3ADEA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5" authorId="0" shapeId="0" xr:uid="{1AFA890A-B219-445F-8C7D-511136817EF2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9" authorId="1" shapeId="0" xr:uid="{FAC95861-64B7-428A-80CB-3CCFED3A9A76}">
      <text>
        <r>
          <rPr>
            <b/>
            <sz val="9"/>
            <color indexed="81"/>
            <rFont val="Tahoma"/>
            <family val="2"/>
          </rPr>
          <t>riccuefa:</t>
        </r>
        <r>
          <rPr>
            <sz val="9"/>
            <color indexed="81"/>
            <rFont val="Tahoma"/>
            <family val="2"/>
          </rPr>
          <t xml:space="preserve">
SE SUMA VLOR NEG DE CARTERA QUE EN JUNIO SE RESTO DEL GASTO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  <author>riccuefa</author>
  </authors>
  <commentList>
    <comment ref="K5" authorId="0" shapeId="0" xr:uid="{24EFD7FE-BBC0-4959-8B1C-B189E0FB0F63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0B61CA10-2137-48A7-A46C-E49CDCF5733B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5" authorId="0" shapeId="0" xr:uid="{91BB586D-83B6-43BC-AE0C-13D49BCD252A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0" authorId="1" shapeId="0" xr:uid="{B9ACB1F0-442A-4782-ADF1-12D02183D4FD}">
      <text>
        <r>
          <rPr>
            <b/>
            <sz val="9"/>
            <color indexed="81"/>
            <rFont val="Tahoma"/>
            <family val="2"/>
          </rPr>
          <t>riccuefa:</t>
        </r>
        <r>
          <rPr>
            <sz val="9"/>
            <color indexed="81"/>
            <rFont val="Tahoma"/>
            <family val="2"/>
          </rPr>
          <t xml:space="preserve">
SE SUMA VLOR NEG DE CARTERA QUE EN JUNIO SE RESTO DEL GASTO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28F0F7F9-BC00-460A-AE97-0AA7EF7F2AB1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293F544A-38F3-47B0-9329-E7F11BAAD98B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F42901B1-10B9-478E-91D1-CDD1B29CD4EF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B884B21C-F7C9-4A1A-98CF-B69AFF7A3839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DA5184AD-4C69-4BA3-9B32-E436C06D5488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F725EDDD-F642-470F-A6F4-E704313B4EE6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exión" type="7" refreshedVersion="6"/>
  <connection id="2" xr16:uid="{BF4CFD5B-B91F-4E0D-95AD-9D37000E7071}" name="Conexión2" type="7" refreshedVersion="6"/>
  <connection id="3" xr16:uid="{C7F74B4F-9495-40A8-AAF5-7A79AF052AD4}" name="Conexión3" type="7" refreshedVersion="6"/>
</connections>
</file>

<file path=xl/sharedStrings.xml><?xml version="1.0" encoding="utf-8"?>
<sst xmlns="http://schemas.openxmlformats.org/spreadsheetml/2006/main" count="1889" uniqueCount="627">
  <si>
    <t xml:space="preserve">5230950100          </t>
  </si>
  <si>
    <t>Per act ppto</t>
  </si>
  <si>
    <t>Per año ant real</t>
  </si>
  <si>
    <t>Per act real</t>
  </si>
  <si>
    <t>Año Ant inic</t>
  </si>
  <si>
    <t>Per act inic</t>
  </si>
  <si>
    <t>Per ant acum</t>
  </si>
  <si>
    <t>Per act acum</t>
  </si>
  <si>
    <t>Periodo actual</t>
  </si>
  <si>
    <t>201401</t>
  </si>
  <si>
    <t>201301</t>
  </si>
  <si>
    <t>MUSICAR S.A. COLOMBIA</t>
  </si>
  <si>
    <t>31/04/2022</t>
  </si>
  <si>
    <t>ACUMULADO</t>
  </si>
  <si>
    <t>ABRIL</t>
  </si>
  <si>
    <t>ACUM JUNIO</t>
  </si>
  <si>
    <t>Cifras en miles de Pesos Colombianos</t>
  </si>
  <si>
    <t>Ppto 2022</t>
  </si>
  <si>
    <t>Real 2021</t>
  </si>
  <si>
    <t>real 2022</t>
  </si>
  <si>
    <t>Cump</t>
  </si>
  <si>
    <t>Crec</t>
  </si>
  <si>
    <t>Ppto 2016</t>
  </si>
  <si>
    <t>Real 2015</t>
  </si>
  <si>
    <t>Exe/def</t>
  </si>
  <si>
    <t>450,460,461,462,463,464,465,466,467,471,472,475,476,477,478,470</t>
  </si>
  <si>
    <t>Estado de Ganancias y pérdidas</t>
  </si>
  <si>
    <t>Valor</t>
  </si>
  <si>
    <t>%/Ing</t>
  </si>
  <si>
    <t>%</t>
  </si>
  <si>
    <t xml:space="preserve">Flujo de Caja </t>
  </si>
  <si>
    <t>ACUM</t>
  </si>
  <si>
    <t>ACUMUL</t>
  </si>
  <si>
    <t>4155900000,4155900100,4155900500,4155900600,4170250000,4170250100,4170250200,4170251500,4170251600,4170251700,4170251900,4170251800,4170252000,4170253000,4170253500,4170252100,4170253700,4155900700,4170253800,4155900800</t>
  </si>
  <si>
    <t>Fact. Musical Experience  (Ambiental)</t>
  </si>
  <si>
    <t>Saldo Inicial</t>
  </si>
  <si>
    <t>4155950500,4170250300,4170250400,4155950600,4155952500,4155952600,4170252600</t>
  </si>
  <si>
    <t>Instalaciones</t>
  </si>
  <si>
    <t>Ingresos</t>
  </si>
  <si>
    <t>4155950000,4155950100,4155950200,4170250900,4175080000</t>
  </si>
  <si>
    <t>Fact.Voice Experience (Publihold)</t>
  </si>
  <si>
    <t>Materiales</t>
  </si>
  <si>
    <t>4135950000,4135950100,4135950200,4135950800,4175090000,4175090100,4245010000,4245050000.4135950500,4135950500</t>
  </si>
  <si>
    <t>Fact. Service &amp; Equipment Experience</t>
  </si>
  <si>
    <t>Servicios</t>
  </si>
  <si>
    <t>POP Satelital</t>
  </si>
  <si>
    <t>Nómina</t>
  </si>
  <si>
    <t>4170250800,4170251100</t>
  </si>
  <si>
    <t xml:space="preserve"> Fact.Voice Experience (Audicóm)</t>
  </si>
  <si>
    <t>Egresos Generales</t>
  </si>
  <si>
    <t>Fact. Servicio Satelital</t>
  </si>
  <si>
    <t>Total Egresos</t>
  </si>
  <si>
    <t>Fact. Visual Experience</t>
  </si>
  <si>
    <t>Flujo Operacional</t>
  </si>
  <si>
    <t>4155951800,4155952000,4135950600,4135950700</t>
  </si>
  <si>
    <t>Fac.   Olfa Experience</t>
  </si>
  <si>
    <t>4170252500</t>
  </si>
  <si>
    <t>Facturacion Locutor virtual</t>
  </si>
  <si>
    <t>Total Ingresos</t>
  </si>
  <si>
    <t>Disponible antes de CAPEX</t>
  </si>
  <si>
    <t>Costos</t>
  </si>
  <si>
    <t>CAPEX (Inversión)</t>
  </si>
  <si>
    <t>Margen de Contribución</t>
  </si>
  <si>
    <t>Impuestos</t>
  </si>
  <si>
    <t>Gastos Variables de Venta</t>
  </si>
  <si>
    <t>Movimiento Financiero</t>
  </si>
  <si>
    <t>Gastos Fijos de Venta</t>
  </si>
  <si>
    <t>Dividendos Pagados</t>
  </si>
  <si>
    <t>Total Gastos de Venta</t>
  </si>
  <si>
    <t xml:space="preserve">Saldo Final </t>
  </si>
  <si>
    <t>Gastos Operación</t>
  </si>
  <si>
    <t>ok</t>
  </si>
  <si>
    <t>Gastos Administrativos Distribuidos</t>
  </si>
  <si>
    <t>Total Gastos Administrativos</t>
  </si>
  <si>
    <t xml:space="preserve"> </t>
  </si>
  <si>
    <t>Total Gastos Operacionales</t>
  </si>
  <si>
    <t>Utilidad Operacional</t>
  </si>
  <si>
    <t>Ingresos no Operacionales</t>
  </si>
  <si>
    <t>Gastos no Operacionales</t>
  </si>
  <si>
    <t>Utilidad antes de Impuestos</t>
  </si>
  <si>
    <t>Utilidad Neta</t>
  </si>
  <si>
    <t>5260050000,5260100000,5260150000,5260200000,5260350000,5260980000,5265980000,5160050000,5160100000,5160150000,5160200000,5160350000,5160980000,5165980000,5165100000,5165150000,5165950000,5265100000</t>
  </si>
  <si>
    <t>EBITDA</t>
  </si>
  <si>
    <t>depre</t>
  </si>
  <si>
    <t>201201</t>
  </si>
  <si>
    <t>Ppto 2015</t>
  </si>
  <si>
    <t>Real 2014</t>
  </si>
  <si>
    <t>real 2015</t>
  </si>
  <si>
    <t>Real 2013</t>
  </si>
  <si>
    <t>080,469,090,100</t>
  </si>
  <si>
    <t>4155900000,4155900100,4155900500,4155900600,4170250000,4170250100,4170250200,4170251500,4170251600,4170251700,4170251800,4170252000,4170253000,4170253500</t>
  </si>
  <si>
    <t>4155950500,4170250300,4170250400,4155950600,4155952500,4155952600,4170252600,4170251900</t>
  </si>
  <si>
    <t>4135950000,4135950100,4135950200,4135950800,4175090000,4175090100,4245010000</t>
  </si>
  <si>
    <t>MUSICAR S.A. COLOMBIA CONSOLIDADO</t>
  </si>
  <si>
    <t>Empresa-&gt;</t>
  </si>
  <si>
    <t>plan cta-&gt;</t>
  </si>
  <si>
    <t>PUC</t>
  </si>
  <si>
    <t>AMBIENTACION</t>
  </si>
  <si>
    <t>instalacion</t>
  </si>
  <si>
    <t>publihold</t>
  </si>
  <si>
    <t>redesdeaudio</t>
  </si>
  <si>
    <t>costo</t>
  </si>
  <si>
    <t>variables</t>
  </si>
  <si>
    <t>fijos</t>
  </si>
  <si>
    <t>operativos</t>
  </si>
  <si>
    <t>admonppto</t>
  </si>
  <si>
    <t>admon</t>
  </si>
  <si>
    <t>oingresos</t>
  </si>
  <si>
    <t>oegresos</t>
  </si>
  <si>
    <t>imptos</t>
  </si>
  <si>
    <t>nomina</t>
  </si>
  <si>
    <t>OK</t>
  </si>
  <si>
    <t>TRM</t>
  </si>
  <si>
    <t>Cifras en miles de Dólares Americanos</t>
  </si>
  <si>
    <t>TRM presupuesto 2021</t>
  </si>
  <si>
    <t>esta no se cambia</t>
  </si>
  <si>
    <t>% Cump</t>
  </si>
  <si>
    <t>ACUMULA</t>
  </si>
  <si>
    <t>SALDOINI</t>
  </si>
  <si>
    <t>INGRESOS</t>
  </si>
  <si>
    <t>MATERIALES</t>
  </si>
  <si>
    <t>PERSONAL</t>
  </si>
  <si>
    <t>GENERALES</t>
  </si>
  <si>
    <t>IMPUESTOS</t>
  </si>
  <si>
    <t>FINANCIERO</t>
  </si>
  <si>
    <t>DIVIDENDO</t>
  </si>
  <si>
    <t>Conexión</t>
  </si>
  <si>
    <t>MUSICAR S.A. EL SALVADOR</t>
  </si>
  <si>
    <t>007</t>
  </si>
  <si>
    <t>ACUMULADO MES ANTERIOR</t>
  </si>
  <si>
    <t>Ppto 2019</t>
  </si>
  <si>
    <t>real 2018</t>
  </si>
  <si>
    <t>real 2019</t>
  </si>
  <si>
    <t>4170250000,4170251000,4155951100,4155951000</t>
  </si>
  <si>
    <t>4135950000,4155950500,4170250300</t>
  </si>
  <si>
    <t>4135950100</t>
  </si>
  <si>
    <t xml:space="preserve">6135950000          </t>
  </si>
  <si>
    <t>FLUJO DE CAJA LIBRE</t>
  </si>
  <si>
    <t>PPTO</t>
  </si>
  <si>
    <t>REAL</t>
  </si>
  <si>
    <t>SALVADOR</t>
  </si>
  <si>
    <t>VENEZUELA</t>
  </si>
  <si>
    <t>PANAMA</t>
  </si>
  <si>
    <t xml:space="preserve">TOTAL </t>
  </si>
  <si>
    <t>&lt;------- el valor total del ppto y del real se digita en la pagina de indicadores</t>
  </si>
  <si>
    <t>sin venezuela</t>
  </si>
  <si>
    <t>5405050100</t>
  </si>
  <si>
    <t>5160200000,5260100000,5260200000,5260350000,5160100000,5260150000</t>
  </si>
  <si>
    <t>UTILIDAD OPERACIONAL EXTERIOR</t>
  </si>
  <si>
    <t>Ppto</t>
  </si>
  <si>
    <t>Real</t>
  </si>
  <si>
    <t>Ppto acum</t>
  </si>
  <si>
    <t>Real Acum</t>
  </si>
  <si>
    <t>utilidad operac Salvador</t>
  </si>
  <si>
    <t>se digita en la pagina de indicadores</t>
  </si>
  <si>
    <t>vr sin venezuela</t>
  </si>
  <si>
    <t>UTILIDAD NETA EXTERIOR</t>
  </si>
  <si>
    <t>Salvador</t>
  </si>
  <si>
    <t>Venezulea</t>
  </si>
  <si>
    <t>Panama MUSICAR INTERNAL</t>
  </si>
  <si>
    <t>TOTAL UTILIDAD NETA EXTERIOR</t>
  </si>
  <si>
    <t>&lt;--- digitar el total de ppto y real en el sitema de indicadores para la matriz de Juan G y Fernando C</t>
  </si>
  <si>
    <t>Uitlidad neta sin venezuela</t>
  </si>
  <si>
    <t>&lt;--- Digitar este valor sin incluir venezuela</t>
  </si>
  <si>
    <t>MUSICAR S.A. VENEZUELA</t>
  </si>
  <si>
    <t>Cifras en miles de Bolivares Fuertes</t>
  </si>
  <si>
    <t>Ppto 2021</t>
  </si>
  <si>
    <t>real 2020</t>
  </si>
  <si>
    <t>real 2021</t>
  </si>
  <si>
    <t>ACUMU</t>
  </si>
  <si>
    <t>Fact.Olfa experience</t>
  </si>
  <si>
    <t>Ppto 2013</t>
  </si>
  <si>
    <t>Real 2012</t>
  </si>
  <si>
    <t>acum</t>
  </si>
  <si>
    <t>Publihold- Audicom</t>
  </si>
  <si>
    <t>Soluciones para Redes de Audio</t>
  </si>
  <si>
    <t>Lineas Nuevas</t>
  </si>
  <si>
    <t>Otros</t>
  </si>
  <si>
    <t xml:space="preserve">NOTA  se incluyó </t>
  </si>
  <si>
    <t>SIMADI</t>
  </si>
  <si>
    <t>MUSICAR PANAMA</t>
  </si>
  <si>
    <t>Ppto 2017</t>
  </si>
  <si>
    <t>Real 2016</t>
  </si>
  <si>
    <t>real 2017</t>
  </si>
  <si>
    <t>Dividendos Pagados (Descapitalizacion)</t>
  </si>
  <si>
    <t>5140950000,5210350000</t>
  </si>
  <si>
    <t xml:space="preserve">Gastos Administrativos </t>
  </si>
  <si>
    <t>4218050000</t>
  </si>
  <si>
    <t>5305950000,5313050000</t>
  </si>
  <si>
    <t>MUSICAR S.A. CONSOLIDADO</t>
  </si>
  <si>
    <t>acumulado</t>
  </si>
  <si>
    <t>4155900000,4155900100,4155900500,4155900600,4170250000,4170250100,4170250200,4170251500,4170251600,4170251700,4170251900,4170251800,4170252000,4170253000,4170253500,4170252100</t>
  </si>
  <si>
    <t xml:space="preserve">   Facturación Musical Experience (Ambiental)</t>
  </si>
  <si>
    <t xml:space="preserve">   Facturación Instalación</t>
  </si>
  <si>
    <t xml:space="preserve">   Facturación Voice Experience (Publihold)</t>
  </si>
  <si>
    <t xml:space="preserve">   Facturación Olfa Experience</t>
  </si>
  <si>
    <t>4135950000,4135950100,4135950200,4135950800,4175090000,4175090100,4245010000,4245050000</t>
  </si>
  <si>
    <t xml:space="preserve">   Facturación Service &amp; Equipment Experience (Red-Audio)</t>
  </si>
  <si>
    <t>4170250500</t>
  </si>
  <si>
    <t xml:space="preserve">   Facturación POP Satelital</t>
  </si>
  <si>
    <t xml:space="preserve">   Facturacion Locutor virtual</t>
  </si>
  <si>
    <t>4135950900</t>
  </si>
  <si>
    <t xml:space="preserve">   Facturacion Instaladores</t>
  </si>
  <si>
    <t xml:space="preserve">   Facturación Voice Experience (Audicóm)</t>
  </si>
  <si>
    <t>4155951000</t>
  </si>
  <si>
    <t xml:space="preserve">   Facturación Servicio Satelital</t>
  </si>
  <si>
    <t>4155951500</t>
  </si>
  <si>
    <t xml:space="preserve">   Facturación Visual Experience (Pantallas)</t>
  </si>
  <si>
    <t>COLOMBIA</t>
  </si>
  <si>
    <t>CO</t>
  </si>
  <si>
    <t>6135950000,6135951000,6170250000,6170250100</t>
  </si>
  <si>
    <t xml:space="preserve">   Costo de mercancia vendida</t>
  </si>
  <si>
    <t>6135951100,6135951200</t>
  </si>
  <si>
    <t xml:space="preserve">   Costo de mercancia vendida Aromas</t>
  </si>
  <si>
    <t>6120330500</t>
  </si>
  <si>
    <t xml:space="preserve">   Provision devoluciones costo</t>
  </si>
  <si>
    <t>6135980000</t>
  </si>
  <si>
    <t xml:space="preserve">   Ajuste por inflacion costo</t>
  </si>
  <si>
    <t>VARIABLES DE VENTA</t>
  </si>
  <si>
    <t xml:space="preserve">   Otros gastos variables</t>
  </si>
  <si>
    <t>5205180100,5205180200</t>
  </si>
  <si>
    <t xml:space="preserve">   Comisiones gastos variables</t>
  </si>
  <si>
    <t>5205301000,5205301100,5205331000,5205331100,5205361000,5205361100,5205391000,5205391100,5205421800,5205421900,5205422000,5205422200,5205422300,5205422400,5205422500,5205451400,5205451500,5205451600,5205451700,5205511000,5205511100,5205541000,5205541100,5205601000,5205601100,5205691000,5205691100,5205701000,5205701100,5205721000,5205721100,5205751000,5205751100,5205781000,5205781100,5205841000,5205841100,5205951000,5205951100</t>
  </si>
  <si>
    <t xml:space="preserve">   Prestaciones sociales comisiones vent</t>
  </si>
  <si>
    <t>5295050100,5295050200,5295050300</t>
  </si>
  <si>
    <t xml:space="preserve">   Servicios a terceros</t>
  </si>
  <si>
    <t xml:space="preserve">   Empaque y material de empaque</t>
  </si>
  <si>
    <t xml:space="preserve">   Fletes y acarreos gastos var.ventas</t>
  </si>
  <si>
    <t>5260050000,5260100000,5260150000,5260200000,5260350000,5260980000,5265980000</t>
  </si>
  <si>
    <t xml:space="preserve">   Depreciaciones gastos ventas</t>
  </si>
  <si>
    <t>5295950600,</t>
  </si>
  <si>
    <t xml:space="preserve">   Discos y elementos de programación ventas</t>
  </si>
  <si>
    <t>5245150000,5245150100,5245150200,5245250000,5245200000,5295150000,5245150300,5245150600,5245100000,5250050000,5250100000,5250150000,5250950000,5295250000,5295250100,5245150400</t>
  </si>
  <si>
    <t xml:space="preserve">   Material,sumin.mantto. e instalac.vt </t>
  </si>
  <si>
    <t xml:space="preserve">   Herramientas y equipos de seguridad</t>
  </si>
  <si>
    <t>5235050000,,5235050100,5235200000,5235950100,5235950400,5235950500,5235950600,5235950700,5235950800,5235950900</t>
  </si>
  <si>
    <t xml:space="preserve">   Trabajos de origen externo</t>
  </si>
  <si>
    <t xml:space="preserve">   Gastos de aduana exportaciones</t>
  </si>
  <si>
    <t xml:space="preserve">   Trabajos fuera de la empresa</t>
  </si>
  <si>
    <t xml:space="preserve">   Agencias temp de empleos gtos.var.vta</t>
  </si>
  <si>
    <t>4250500400,5295950100</t>
  </si>
  <si>
    <t xml:space="preserve">   Regalias y derechos de autor</t>
  </si>
  <si>
    <t xml:space="preserve">   Provision de cartera y devoluciones</t>
  </si>
  <si>
    <t>5299150000,5299150100</t>
  </si>
  <si>
    <t xml:space="preserve">   Costo artículos descontinuados</t>
  </si>
  <si>
    <t>GASTOS DE VENTAS FIJOS</t>
  </si>
  <si>
    <t>5205030100,5205030200,5205060100,5205060200,5205060300,5205150100,5205150200,5205270100,5205270200,5295600100,5295600200,5205240100</t>
  </si>
  <si>
    <t xml:space="preserve">   Sueldos Ventas</t>
  </si>
  <si>
    <t>5205300100,5205300200,5205330100,5205330200,5205360100,5205360200,5205390100,5205390200,5205420100,5205420200,5205421200,5205421300,5205421400,5205421500,5205421600,5205421700,5205450100,5205451000,5205451100,5205451200,5205451300,5205451800,5205510100,5205510200,5205540100,5205540200,5205600100,5205600200,5205680000,5205690100,5205690200,5205700100,5205700200,5205720100,5205720200,5205750100,5205750200,5205780100,5205780200,5205840100,5205840200,5205950100,5205950200,5205680100</t>
  </si>
  <si>
    <t xml:space="preserve">   Prestaciones sociales sueldos ventas </t>
  </si>
  <si>
    <t>5205480100,5205480200,5205480300,5205481000,5205481100,5205450300</t>
  </si>
  <si>
    <t xml:space="preserve">   Bonificaciones y premios empleados </t>
  </si>
  <si>
    <t>5205630100,5205630200,5205630300</t>
  </si>
  <si>
    <t xml:space="preserve">   Capacitacion gastos ventas</t>
  </si>
  <si>
    <t>5205660100,5205660200,5205660400,5205660500</t>
  </si>
  <si>
    <t xml:space="preserve">   Gastos reuniones de personal venta</t>
  </si>
  <si>
    <t>5235350100,5295950400,5295951400,5235350500</t>
  </si>
  <si>
    <t xml:space="preserve">Gastos de internet </t>
  </si>
  <si>
    <t>5220150000,5220200000,5220250000,5250400000,5220950000,5220950100,5235500100</t>
  </si>
  <si>
    <t xml:space="preserve">   Alquiler equipos, contratos de manten</t>
  </si>
  <si>
    <t>5210250000,5210350000,5210950000,5210300100,5210358000,</t>
  </si>
  <si>
    <t xml:space="preserve">   Honorarios gastos ventas fijos</t>
  </si>
  <si>
    <t xml:space="preserve">   Amortización Intangibles de ventas</t>
  </si>
  <si>
    <t>5215050000,5215100000,5215950000,5215950200</t>
  </si>
  <si>
    <t xml:space="preserve">   Impuestos Municipales</t>
  </si>
  <si>
    <t>5205660300,5255050300,5255060200,5255150300,5255200300,5255950300</t>
  </si>
  <si>
    <t xml:space="preserve">   Club 100%</t>
  </si>
  <si>
    <t>5245400000,5295350000</t>
  </si>
  <si>
    <t xml:space="preserve">   Mantenimiento vehiculos gastos ventas</t>
  </si>
  <si>
    <t>5295300000,5295100000</t>
  </si>
  <si>
    <t xml:space="preserve">   Papeleria, utiles, revistas, periodic</t>
  </si>
  <si>
    <t>5235600000,5235600100,5235600300,5235600500</t>
  </si>
  <si>
    <t xml:space="preserve">   Publicidad ventas</t>
  </si>
  <si>
    <t>5235350000,5235400100,5235400200,5235450000,5235350200,5235350300</t>
  </si>
  <si>
    <t xml:space="preserve">   Portes, telefono y fax</t>
  </si>
  <si>
    <t xml:space="preserve">   Amortización gastos preoperativos</t>
  </si>
  <si>
    <t>5230050000,5230100000,5230150000,5230200000,5230250000,5230300000,5230350000,5230400000,5230600000,5230650000,5230750000,5230800000,5230950000,5230950100,5295700000</t>
  </si>
  <si>
    <t xml:space="preserve">   Seguro incendio y varios ventas</t>
  </si>
  <si>
    <t>5110350100,5210350200</t>
  </si>
  <si>
    <t>Servicios infraestructura</t>
  </si>
  <si>
    <t>5215950100,5299050099,5235350400</t>
  </si>
  <si>
    <t xml:space="preserve">   Otros Gastos de Ventas</t>
  </si>
  <si>
    <t>5295200100,5295200200,5295200300</t>
  </si>
  <si>
    <t xml:space="preserve">   Atenciones a clientes gastos venta fi</t>
  </si>
  <si>
    <t>5225050000,5225100000</t>
  </si>
  <si>
    <t xml:space="preserve">   Cuotas a asociaciones y afiliacion gt</t>
  </si>
  <si>
    <t>5235250000,5235300000,5235250100</t>
  </si>
  <si>
    <t xml:space="preserve">   Luz y agua gastos ventas</t>
  </si>
  <si>
    <t>5295600000,5295600500</t>
  </si>
  <si>
    <t xml:space="preserve">   Viveres y refrigerios fijos</t>
  </si>
  <si>
    <t>5205210100,5205210200,5255050100,5255050200,5255060100,5255060300,5255060400,5255150100,5255150200,5255200100,5255200200,5255950100,5255950200,5205451900</t>
  </si>
  <si>
    <t xml:space="preserve">   Gastos de viaje, pasajes y hoteles</t>
  </si>
  <si>
    <t>5240050000,5240100000,5240150000,5240200400,5240950000</t>
  </si>
  <si>
    <t xml:space="preserve">   Gastos legales ventas</t>
  </si>
  <si>
    <t>5295450000,5295950500</t>
  </si>
  <si>
    <t xml:space="preserve">   Caja menor gastos ventas fijos</t>
  </si>
  <si>
    <t>5235100100,5295250200</t>
  </si>
  <si>
    <t xml:space="preserve">   Agencias temporales de empleo gastos</t>
  </si>
  <si>
    <t>5220050000,5220100000,5220100100,5245100100</t>
  </si>
  <si>
    <t xml:space="preserve">   Arrendamientos gastos venta fijos</t>
  </si>
  <si>
    <t>GASTOS OPERATIVOS</t>
  </si>
  <si>
    <t>5105030100,5105060100,5105150100,5105270100,5195600300,5105240100,5105060200</t>
  </si>
  <si>
    <t xml:space="preserve">   Sueldos Operativos</t>
  </si>
  <si>
    <t xml:space="preserve">   Comisiones Opertativas</t>
  </si>
  <si>
    <t>5105300100,5105301100,5105330100,5105331100,5105360200,5105361200,5105390200,5105391100,5105420100,5105421100,5105421300,5105421500,5105421700,5105421900,5105422100,5105422300,5105422500,5105450100,5105451100,5105451300,5105451500,5105451700,5105510100,5105511100,5105540100,5105541100,5105600100,5105601100,5105690100,5105691100,5105700100,5105701100,5105720100,5105721100,5105750100,5105751100,5105780100,5105781100,5105840100,5105841100,5105950100,5105950600,5105951100,5105451900</t>
  </si>
  <si>
    <t xml:space="preserve">   Prestaciones sociales operativos</t>
  </si>
  <si>
    <t xml:space="preserve">   Bonificaciones operativas</t>
  </si>
  <si>
    <t>5160050000,5160100000,5160150000,5160200000,5160350000,5160980000,5165980000</t>
  </si>
  <si>
    <t xml:space="preserve">   Depreciaciòn Administrativos</t>
  </si>
  <si>
    <t>5165100000,5165150000,5165950000</t>
  </si>
  <si>
    <t xml:space="preserve">   Amortización gastos administración</t>
  </si>
  <si>
    <t>GASTOS DE ADMINISTRACION PROPIA</t>
  </si>
  <si>
    <t xml:space="preserve">   Comisiones Gastos Administración</t>
  </si>
  <si>
    <t>5105301000,5105331000,5105361000,5105361100,5105391000,5105421800,5105422000,5105422200,5105422400,5105451400,5105451600,5105511000,5105541000,5105601000,5105691000,5105701000,5105721000,5105751000,5105781000,5105841000,5105951000,5105680100</t>
  </si>
  <si>
    <t xml:space="preserve">   Prestaciones sociales comisiones A</t>
  </si>
  <si>
    <t>5105030000,5105060000,5105060300,5105150000,5105270000,5195600100,5105240000</t>
  </si>
  <si>
    <t xml:space="preserve">   Sueldos Administracion</t>
  </si>
  <si>
    <t xml:space="preserve">5105300000,5105330000,5105360000,5105360100,5105390000,5105390100,5105420000,5105421200,5105421400,5105421600,5105450000,5105451000,5105451200,5105510000,5105540000,5105600000,5105680000,5105690000,5105700000,5105720000,5105750000,5105780000,5105840000,5105950000,5105701200 </t>
  </si>
  <si>
    <t xml:space="preserve">   Prestaciones sociales </t>
  </si>
  <si>
    <t>5105630000,5105630200,5105630100</t>
  </si>
  <si>
    <t xml:space="preserve">   Capacitacion Gasto Administracion</t>
  </si>
  <si>
    <t>5155050100,5155060100,5155150100,5155200100,5155950100</t>
  </si>
  <si>
    <t xml:space="preserve">   Club 100% administrativo</t>
  </si>
  <si>
    <t>5135050000,5135150000,5135200000,5135950500</t>
  </si>
  <si>
    <t xml:space="preserve">   Trabajo de origen externo</t>
  </si>
  <si>
    <t>5135100000,5195250200</t>
  </si>
  <si>
    <t xml:space="preserve">   Agencias temporales Administración</t>
  </si>
  <si>
    <t>5195200000,5195200100</t>
  </si>
  <si>
    <t xml:space="preserve">   Atenciones a clientes Administraci</t>
  </si>
  <si>
    <t xml:space="preserve">   Arrendamientos Gastos Administración</t>
  </si>
  <si>
    <t>5120200000,5120250000,5120400000</t>
  </si>
  <si>
    <t xml:space="preserve">   Alquiler equipos y contratos de mante</t>
  </si>
  <si>
    <t>5105480000,5105480200,5105480300,5105481000,5105450200</t>
  </si>
  <si>
    <t xml:space="preserve">   Bonificaciones y premios empleados Ad</t>
  </si>
  <si>
    <t>5125050000,5125100000</t>
  </si>
  <si>
    <t xml:space="preserve">   Cuotas asociaciones y de afiliacio</t>
  </si>
  <si>
    <t>5135250000,5135300000</t>
  </si>
  <si>
    <t xml:space="preserve">   Luz y agua Administración</t>
  </si>
  <si>
    <t>5105660000,5105660100,5105660200,5105660300</t>
  </si>
  <si>
    <t xml:space="preserve">   Gastos reuniones de personal Administ</t>
  </si>
  <si>
    <t>5110100000,5110200000,5110250000,5110300000,5110950000</t>
  </si>
  <si>
    <t xml:space="preserve">   Honorarios Administración </t>
  </si>
  <si>
    <t>5110350000</t>
  </si>
  <si>
    <t xml:space="preserve">   Licencias y Proyectos Especiales</t>
  </si>
  <si>
    <t>5115050000,5115100000,5115150000,5115400000,5115700000,5115700100,5115950000</t>
  </si>
  <si>
    <t xml:space="preserve">   Impuestos Administración</t>
  </si>
  <si>
    <t>5145400000,5195350000</t>
  </si>
  <si>
    <t xml:space="preserve">   Mantenimiento vehiculos Administrac.</t>
  </si>
  <si>
    <t>5195100000,5195300000</t>
  </si>
  <si>
    <t xml:space="preserve">   Papeleria , utiles, revistas periodic</t>
  </si>
  <si>
    <t>5135600000,5135600500</t>
  </si>
  <si>
    <t xml:space="preserve">   Serv.publicidad,propaganda y promoció</t>
  </si>
  <si>
    <t>5135350000,5135350200,5135400000,5135450000,5135350300</t>
  </si>
  <si>
    <t xml:space="preserve">   Portes, telex, teléfono, fax</t>
  </si>
  <si>
    <t>5145150000,5145150100,5145200000,5145250000,5195150000,5195400000,5195950400</t>
  </si>
  <si>
    <t xml:space="preserve">   Material,suministro,mantenimiento </t>
  </si>
  <si>
    <t>5145050000,5145100000,5150050000,5150100000,5150150000,5150950000,5195250000,5195250100</t>
  </si>
  <si>
    <t xml:space="preserve">   Mantenimiendo de construcciones y edificaciones</t>
  </si>
  <si>
    <t>5130050000,5130100000,5130150000,5130200000,5130250000,5130350000,5130400000,5130600000,5130650000,5130700000,5130750000,5130950000,5130950100,5130950200,5195700000,5130950300</t>
  </si>
  <si>
    <t xml:space="preserve">   Seguro incendio y varios Administrac.</t>
  </si>
  <si>
    <t>5195600000,5195600500</t>
  </si>
  <si>
    <t xml:space="preserve">   Viveres y refrigerios Administraci </t>
  </si>
  <si>
    <t>5105210000,5155050000,5155060000,5155060200,5155060300,5155150000,5155200000,5155950000,5155960000</t>
  </si>
  <si>
    <t xml:space="preserve">   Gastos de viaje, pasajes y hoteles </t>
  </si>
  <si>
    <t>5140050000,5140100000,5140150000,5140200000,5140250000,5140950000,4250500600</t>
  </si>
  <si>
    <t xml:space="preserve">   Gastos legales Administración </t>
  </si>
  <si>
    <t>,5195950600</t>
  </si>
  <si>
    <t xml:space="preserve">   Discos y equipos de seguridad Administración</t>
  </si>
  <si>
    <t>5195450000</t>
  </si>
  <si>
    <t xml:space="preserve">   Caja menor Gastos Administraciòn </t>
  </si>
  <si>
    <t>5115950100,5195050100,5195600200,5195950300,5199050000,5199100000,5199150000,5199950000</t>
  </si>
  <si>
    <t xml:space="preserve">   Otros gastos de administración</t>
  </si>
  <si>
    <t>Suma de MOVTO_LIBRO2</t>
  </si>
  <si>
    <t xml:space="preserve">GASTOS ADMINISTRACION APLICADOS </t>
  </si>
  <si>
    <t>CENTRO_OPERACION_MOVTO</t>
  </si>
  <si>
    <t>Nombre Centro_operacion_movto</t>
  </si>
  <si>
    <t>Total</t>
  </si>
  <si>
    <t>5135950300,5195056600,5198530000,5210350100,5295056600,5398050000</t>
  </si>
  <si>
    <t xml:space="preserve">   Cobros holding</t>
  </si>
  <si>
    <t>090</t>
  </si>
  <si>
    <t>PROYECTO INNOVACION</t>
  </si>
  <si>
    <t>5235950200,5235950300,5398210000,5398219900,5235950800</t>
  </si>
  <si>
    <t xml:space="preserve">   Gastos aplicados sectoriales</t>
  </si>
  <si>
    <t>Total general</t>
  </si>
  <si>
    <t xml:space="preserve">   Servicios Carvajal Servi-Assenda S.A.</t>
  </si>
  <si>
    <t>INGRESOS NO OPERACIONALES</t>
  </si>
  <si>
    <t>4210200100,4210200200</t>
  </si>
  <si>
    <t xml:space="preserve"> Diferencia en cambio por exportaciones</t>
  </si>
  <si>
    <t>4210200400,4210200500,4210200501,4210201000,4210201001,4210201100</t>
  </si>
  <si>
    <t xml:space="preserve"> Diferencia en cambio por otros</t>
  </si>
  <si>
    <t>4210400000,4218050000,4245500000,4250500100,4250500200,4250500300,4250506600,4255200000,4295050000,4295810000,4255400000,4250051000,4250500500</t>
  </si>
  <si>
    <t xml:space="preserve"> Otros Ingresos</t>
  </si>
  <si>
    <t>4210050100,4210051000</t>
  </si>
  <si>
    <t>Intereses recibidos</t>
  </si>
  <si>
    <t>GASTOS NO OPERACIONALES</t>
  </si>
  <si>
    <t>5235601000,5305350000,5310150000,5310300000,5310350000,5313050000,5315150000,5315150100,5315150200,5315160000,5315200000,5315200100,5315200200,5315200300,5315200400,5315950000,5395200000,5395950000,5395950200,5395100000,5395050000,5395250000</t>
  </si>
  <si>
    <t xml:space="preserve">   Otros egresos no operacionales</t>
  </si>
  <si>
    <t>5305250102,5305250200,5305250201,5305250400,5305250500,5305250501,5305250700</t>
  </si>
  <si>
    <t xml:space="preserve">   Diferencia en cambio</t>
  </si>
  <si>
    <t xml:space="preserve">5305050000,5305150000,5305200100,5305200200,5305200300,5305200400,5305202200,5305950000,5398110000,5305200101    </t>
  </si>
  <si>
    <t xml:space="preserve">   Intereses y otros</t>
  </si>
  <si>
    <t>5310950100,5310950200,5310950300,5395990000</t>
  </si>
  <si>
    <t xml:space="preserve">   Ajustes por inflacion Gastos No Op</t>
  </si>
  <si>
    <t>AJUSTES POR INFLACION</t>
  </si>
  <si>
    <t>4705050000,4705050100,4705100000,4705150000,4705200000,4705250000,4705300000,4705300100,4705350000,4705400000,4705450000,4705500000,4705550000,4705600000</t>
  </si>
  <si>
    <t>Ajustes Por Inflacion</t>
  </si>
  <si>
    <t>TOTAL AJUSTES POR INFLACION</t>
  </si>
  <si>
    <t>UTILIDAD ANTES DE IMPUESTOS</t>
  </si>
  <si>
    <t xml:space="preserve">IMPUESTOS </t>
  </si>
  <si>
    <t>5405050100,5405050200,5405050300,5405051100,5115950400</t>
  </si>
  <si>
    <t xml:space="preserve">   Impuesto de renta</t>
  </si>
  <si>
    <t>NOMINA</t>
  </si>
  <si>
    <t>EBITDA DEPRECICAION Y AMORTIZACION</t>
  </si>
  <si>
    <t>INGRESOS OPERACIONALES</t>
  </si>
  <si>
    <t>PARA EL PPTO DEL 2017 KARINA UTILIZO OTRAS CUENTAS</t>
  </si>
  <si>
    <t>FACTURACION SERVICIO DE AMBIENTACION</t>
  </si>
  <si>
    <t>FACTURACION PUBLIHOLD</t>
  </si>
  <si>
    <t xml:space="preserve">FACTURACION AUDICOM </t>
  </si>
  <si>
    <t>FACTURACION CARTELERAS DIGITALES</t>
  </si>
  <si>
    <t>FACT. REDES DE AUDIOS Y GRABACIONES ESPC</t>
  </si>
  <si>
    <t>FACTURACION INSTALACIONES</t>
  </si>
  <si>
    <t>VENTA DE OTROS PRODUCTOS CLIENTES- OLFA</t>
  </si>
  <si>
    <t xml:space="preserve">COSTOS DE VENTAS </t>
  </si>
  <si>
    <t xml:space="preserve">GASTOS VARIABLES DE VENTAS </t>
  </si>
  <si>
    <t xml:space="preserve">COMISIONES GASTOS VARIABLES </t>
  </si>
  <si>
    <t>Suma de VALOR_PRESUPUESTO</t>
  </si>
  <si>
    <t>PRESTACIONES SOCIALES COMISION</t>
  </si>
  <si>
    <t>AUXILIAR</t>
  </si>
  <si>
    <t>5160100000</t>
  </si>
  <si>
    <t>5205180100</t>
  </si>
  <si>
    <t>5205361000</t>
  </si>
  <si>
    <t>5235950500</t>
  </si>
  <si>
    <t>DEPRECIACIONES GASTOS DE VENTA VARIABLES</t>
  </si>
  <si>
    <t>5245150100</t>
  </si>
  <si>
    <t>5299100000</t>
  </si>
  <si>
    <t xml:space="preserve"> DEPRECIAC.EQUIPO DE OFICINA</t>
  </si>
  <si>
    <t xml:space="preserve">MANTEN SUMINISTROS Y MTTO INSTALACION </t>
  </si>
  <si>
    <t xml:space="preserve">TRABAJOS DE ORIGEN EXTERNO </t>
  </si>
  <si>
    <t xml:space="preserve">REGALIAS Y DERECHOS DE AUTOR </t>
  </si>
  <si>
    <t xml:space="preserve">CARTERA PROBLEMA CUENTA INCOBRABLE </t>
  </si>
  <si>
    <t>DEPRECIACION</t>
  </si>
  <si>
    <t xml:space="preserve">GASTOS DE VENTAS FIJOS </t>
  </si>
  <si>
    <t xml:space="preserve">CAPACITACION GASTOS DE VENTA </t>
  </si>
  <si>
    <t xml:space="preserve">SUELDOS VENTAS </t>
  </si>
  <si>
    <t xml:space="preserve">PRESTACIONES SOCIALES SUELDO VENTAS </t>
  </si>
  <si>
    <t>GASTOS REUNIONES DE PERSONAL</t>
  </si>
  <si>
    <t xml:space="preserve">HONORARIOS GASTOS DE VENTA FIJOS </t>
  </si>
  <si>
    <t>IMPUESTOS MUNICIPALES</t>
  </si>
  <si>
    <t>MANTENIMIENTO VEHICULOS GASTOS DE VENTAS</t>
  </si>
  <si>
    <t xml:space="preserve">PAPELERIA Y UTILES </t>
  </si>
  <si>
    <t xml:space="preserve">PUBLICIDAD Y ANUNCIOS VENTAS </t>
  </si>
  <si>
    <t>PORTES CORREO TELEFONO Y FAX</t>
  </si>
  <si>
    <t xml:space="preserve">SEGUROS VARIOS VENTAS </t>
  </si>
  <si>
    <t xml:space="preserve">CUOTAS ASOCIACIONES Y AFILIACIONES </t>
  </si>
  <si>
    <t xml:space="preserve">BONIFICACIONES Y PREMIOS A EMPLEADOS </t>
  </si>
  <si>
    <t>GASTOS DE VIAJE-HOTELES-PASAJES</t>
  </si>
  <si>
    <t xml:space="preserve">GASTOS LEGALES DE VENTAS </t>
  </si>
  <si>
    <t xml:space="preserve">ARRENDAMIENTOS </t>
  </si>
  <si>
    <t>GASTOS DE ADMINISTRACION PROPIO</t>
  </si>
  <si>
    <t xml:space="preserve">SUELDOS ADMINISTRACION </t>
  </si>
  <si>
    <t xml:space="preserve">PRESTACIONES SOCIALES </t>
  </si>
  <si>
    <t xml:space="preserve">COMISIONES GASTOS DE ADMINISTRACION </t>
  </si>
  <si>
    <t xml:space="preserve">CAPACITACION AL PERSONAL </t>
  </si>
  <si>
    <t xml:space="preserve">PRESTACIONES SOCIALES COMISIONES A </t>
  </si>
  <si>
    <t xml:space="preserve">ARRENDAMIENTOS GASTOS ADMINISTRACION </t>
  </si>
  <si>
    <t xml:space="preserve">GASTOS REUNION DE PERSONAL </t>
  </si>
  <si>
    <t xml:space="preserve">HERRAMIENTAS Y EQUIPOS DE SEGURIDAD </t>
  </si>
  <si>
    <t xml:space="preserve">HONORARIOS </t>
  </si>
  <si>
    <t xml:space="preserve">SEGUROS VARIOS </t>
  </si>
  <si>
    <t xml:space="preserve">MANTENIMIENTO VEHICULO ADMINISTRACION </t>
  </si>
  <si>
    <t xml:space="preserve">PORTES TELEX Y TELEFONO </t>
  </si>
  <si>
    <t xml:space="preserve">MATERIALES SUMINISTROS, MANTENIMIENTO </t>
  </si>
  <si>
    <t xml:space="preserve">GASTOS LEGALES DE ADMON </t>
  </si>
  <si>
    <t>REGISTRO MERCANTIL</t>
  </si>
  <si>
    <t xml:space="preserve">GASTOS DE VIAJE </t>
  </si>
  <si>
    <t xml:space="preserve">GASTOS DE ADMINISTRACION APLICADOS </t>
  </si>
  <si>
    <t xml:space="preserve">COBROS HOLDING </t>
  </si>
  <si>
    <t xml:space="preserve">GASTOS APLICADOS SECTORIALES </t>
  </si>
  <si>
    <t>SERVICIOS GC2</t>
  </si>
  <si>
    <t xml:space="preserve">INGRESOS NO OPERACIONALES </t>
  </si>
  <si>
    <t xml:space="preserve">Diferencia en cambio exportaciones </t>
  </si>
  <si>
    <t>Diferencia en Cambio Otros</t>
  </si>
  <si>
    <t xml:space="preserve">OTROS INGRESOS </t>
  </si>
  <si>
    <t xml:space="preserve">GASTOS NO OPERACIONALES </t>
  </si>
  <si>
    <t xml:space="preserve">OTROS EGRESOS NO OPERACIONALES </t>
  </si>
  <si>
    <t xml:space="preserve">DIFERENCIA EN CAMBIO </t>
  </si>
  <si>
    <t xml:space="preserve">INTERESES OTROS </t>
  </si>
  <si>
    <t xml:space="preserve">IMPUESTO DE RENTA </t>
  </si>
  <si>
    <t>DEPRECIACION EBITDA</t>
  </si>
  <si>
    <t>5160200000,5260100000,5260200000,5260350000,5160100000</t>
  </si>
  <si>
    <t>FLUJO CAJA</t>
  </si>
  <si>
    <t>INGRESOS POR DEPOSITAR</t>
  </si>
  <si>
    <t>FONDOS DE CAJA MENOR</t>
  </si>
  <si>
    <t>BANCO BANCOLOMBIA CTA CTE 060-047239-00</t>
  </si>
  <si>
    <t>BANCO HELM BANK CTA CTE 301-41175-7</t>
  </si>
  <si>
    <t>BANCO DE BOGOTA CTA CTE 146431697</t>
  </si>
  <si>
    <t>BANCO DE OCCIDENTE CTA CTE # 027-02780-4</t>
  </si>
  <si>
    <t>BANCOOMEVA  CTA CTE # 010705156006</t>
  </si>
  <si>
    <t>BANCO BANCOLOMBIA CAYMAN CTA. CTE #53820</t>
  </si>
  <si>
    <t>FONDO CAJA DOLARES N</t>
  </si>
  <si>
    <t>DER. EN FIDEICOMISOS DE INVER.</t>
  </si>
  <si>
    <t>RECAUDOS NACIONALES</t>
  </si>
  <si>
    <t>RECAUDOS DEL EXTERIOR</t>
  </si>
  <si>
    <t>RECAUDOS ASOCIADAS NACIONALES</t>
  </si>
  <si>
    <t>RECAUDO ASOCIADAS DEL EXTERIOR</t>
  </si>
  <si>
    <t>CHD</t>
  </si>
  <si>
    <t>CHEQUE DEVUELTO</t>
  </si>
  <si>
    <t>OTROS INGRESOS</t>
  </si>
  <si>
    <t>TOTAL INGRESOS OPERACIONALES</t>
  </si>
  <si>
    <t>EGRESOS OPERACIONALES</t>
  </si>
  <si>
    <t>PAGOS PROVEEDORES NACIONALES</t>
  </si>
  <si>
    <t>PAGO PROVEEDORES DEL EXTERIOR</t>
  </si>
  <si>
    <t>NACIONALIZACION INVENTARIOS</t>
  </si>
  <si>
    <t>FLETES Y ACARREOS</t>
  </si>
  <si>
    <t>EMPAQUE Y MATERIAL DE EMPAQUE</t>
  </si>
  <si>
    <t>MATERIALES DE MANUFACTURA</t>
  </si>
  <si>
    <t>TOTAL MATERIALES</t>
  </si>
  <si>
    <t>SERVICIOS</t>
  </si>
  <si>
    <t xml:space="preserve"> LUZ Y  AGUA </t>
  </si>
  <si>
    <t>1209,1213</t>
  </si>
  <si>
    <t>SALARIOS Y PRESTACIONES</t>
  </si>
  <si>
    <t>TRABAJOS INTERNOS</t>
  </si>
  <si>
    <t xml:space="preserve"> PRESTAMOS A EMPLEADOS  NETOS</t>
  </si>
  <si>
    <t>TRABAJOS DE ORIGEN EXTERNO</t>
  </si>
  <si>
    <t>TOTAL PERSONAL</t>
  </si>
  <si>
    <t xml:space="preserve"> PUBLICIDAD          </t>
  </si>
  <si>
    <t>SERVICIOS  DE INFRAESTRUCTURA</t>
  </si>
  <si>
    <t>CAPACITACION</t>
  </si>
  <si>
    <t>GASTOS LEGALES</t>
  </si>
  <si>
    <t>LICENCIAS Y PROYECTOS ESPECIALES</t>
  </si>
  <si>
    <t>MANTEMIMIENTO CONSTRUCCIONES</t>
  </si>
  <si>
    <t xml:space="preserve"> MTO EQUIPO        </t>
  </si>
  <si>
    <t xml:space="preserve"> ARRENDAMIENTOS  </t>
  </si>
  <si>
    <t xml:space="preserve"> ALQUILER DE EQUIPOS</t>
  </si>
  <si>
    <t xml:space="preserve"> GASTOS DE VIAJE  </t>
  </si>
  <si>
    <t xml:space="preserve"> GTOS DE ADUANA EXPORTACIONES</t>
  </si>
  <si>
    <t xml:space="preserve"> IMPUESTOS MUNICIPALES    </t>
  </si>
  <si>
    <t xml:space="preserve"> MANTENIMIENTO INSTALACIONES     </t>
  </si>
  <si>
    <t xml:space="preserve"> PORTES TELEX TELEFONO</t>
  </si>
  <si>
    <t xml:space="preserve"> PAPELERIA Y UTILES  </t>
  </si>
  <si>
    <t xml:space="preserve"> ATENCIONES A CLIENTE  </t>
  </si>
  <si>
    <t xml:space="preserve"> DONACIONES            </t>
  </si>
  <si>
    <t xml:space="preserve"> CAJA MENOR     </t>
  </si>
  <si>
    <t xml:space="preserve"> VIVERES               </t>
  </si>
  <si>
    <t xml:space="preserve"> REUNIONES DE PERSONAL         </t>
  </si>
  <si>
    <t xml:space="preserve"> SEGURO INCENDIO Y VARIOS               </t>
  </si>
  <si>
    <t xml:space="preserve"> MANTENIMIENTO DE VEHICULOS      </t>
  </si>
  <si>
    <t xml:space="preserve"> HONORARIOS           </t>
  </si>
  <si>
    <t xml:space="preserve"> HERRAMIENTAS Y EQUIPOS DE SEGURIDAD</t>
  </si>
  <si>
    <t xml:space="preserve"> ASOCIACION Y AFILIACION</t>
  </si>
  <si>
    <t xml:space="preserve"> COMISIONES A TERCEROS </t>
  </si>
  <si>
    <t xml:space="preserve"> COMISIONES BANCARIAS</t>
  </si>
  <si>
    <t xml:space="preserve"> CONTRIBUCION 4 POR MIL</t>
  </si>
  <si>
    <t xml:space="preserve"> REGALIAS</t>
  </si>
  <si>
    <t xml:space="preserve"> HOLDING</t>
  </si>
  <si>
    <t>SECTORIALES (947)</t>
  </si>
  <si>
    <t>EGRESOS ERP</t>
  </si>
  <si>
    <t>OTROS FIJOS (Marcas y patentes, gastos notariales, multas sanciones y litigios)</t>
  </si>
  <si>
    <t>TOTAL GENERALES</t>
  </si>
  <si>
    <t>TOTAL EGRESOS OPERACIONALES</t>
  </si>
  <si>
    <t>FLUJO OPERACIONAL</t>
  </si>
  <si>
    <t>SALDO DE CAJA ANTES DE INVERSIONES</t>
  </si>
  <si>
    <t>INVERSION</t>
  </si>
  <si>
    <t>PAGO  EQUIPOS Y NACIONALIZACION</t>
  </si>
  <si>
    <t>PAGO EQUIPO DE OFICINA</t>
  </si>
  <si>
    <t>PAGO  VEHICULOS</t>
  </si>
  <si>
    <t>EQUPÓS SM21</t>
  </si>
  <si>
    <t>TOTAL INVERSION</t>
  </si>
  <si>
    <t>IMPUESTO DE VENTAS</t>
  </si>
  <si>
    <t>3102,3105</t>
  </si>
  <si>
    <t>IMPUESTO DE RENTA</t>
  </si>
  <si>
    <t>DEVOLUCION DE IVA</t>
  </si>
  <si>
    <t>DEVOLUCION DE RENTA</t>
  </si>
  <si>
    <t>TOTAL IMPUESTOS</t>
  </si>
  <si>
    <t>MOVIMIENTO FINANCIERO</t>
  </si>
  <si>
    <t xml:space="preserve"> FLUJO CAJA ANTES DE MOVIMIENTO FINANCIERO Y PATRIMONIAL</t>
  </si>
  <si>
    <t>DIVIDENDOS</t>
  </si>
  <si>
    <t>RENDIMIENTOS FINANCIEROS</t>
  </si>
  <si>
    <t xml:space="preserve"> DIVIDENDOS RECIBIDOS</t>
  </si>
  <si>
    <t xml:space="preserve">  DIVIDENDOS PAGADOS</t>
  </si>
  <si>
    <t xml:space="preserve">  CAPITALIZACION</t>
  </si>
  <si>
    <t xml:space="preserve">  PAGOS ESPECIALES (INGRESOS) ENTRE ASOCIADAS</t>
  </si>
  <si>
    <t>PERIODO</t>
  </si>
  <si>
    <t>(Todas)</t>
  </si>
  <si>
    <t>SUBTOTAL PATRIMONIO</t>
  </si>
  <si>
    <t>Suma de Valor Presupuesto</t>
  </si>
  <si>
    <t>Cpto Flujo de Efectivo</t>
  </si>
  <si>
    <t>Nombre Cpto Flujo Efectivo</t>
  </si>
  <si>
    <t>OTROS ( sin cargo a la Holding)</t>
  </si>
  <si>
    <t>4102</t>
  </si>
  <si>
    <t>INTERESES LARGO PLAZO</t>
  </si>
  <si>
    <t>PRESTAMOS DE ASOCIADAS (COLOCACION)</t>
  </si>
  <si>
    <t>7102</t>
  </si>
  <si>
    <t>PAGO CUOTA CORRIENTE</t>
  </si>
  <si>
    <t>7105</t>
  </si>
  <si>
    <t>PRESTAMOS ENTIDADES FINANCIERAS LP</t>
  </si>
  <si>
    <t>CARTAS DE CREDITO ( INVERSIONES)</t>
  </si>
  <si>
    <t>PRESTAMOS DE ENTIDADES FINANCIERAS CORTO PLAZO (CREDITOS TESORERIA)</t>
  </si>
  <si>
    <t xml:space="preserve">PRESTAMOS DE ENTIDADES FINANCIERAS LARGO PLAZO   </t>
  </si>
  <si>
    <t>Generico</t>
  </si>
  <si>
    <t>DIFERENCIA EN CAMBIO DE CAJA DE LAS INVERSIONES</t>
  </si>
  <si>
    <t>INTERESES CORTO PLAZO</t>
  </si>
  <si>
    <t>SALDO FINAL EFECTIVO</t>
  </si>
  <si>
    <t>BVI</t>
  </si>
  <si>
    <t>BANCO GENERAL SA</t>
  </si>
  <si>
    <t>BANCOLOMBIA PANAMA</t>
  </si>
  <si>
    <t xml:space="preserve">                  ACTV DE RADIO Y T.V.</t>
  </si>
  <si>
    <t xml:space="preserve">                  DE SOCIEDADES ANONIMAS Y ASIMILADAS</t>
  </si>
  <si>
    <t xml:space="preserve">                  HONORARIOS ASESORIA TECNICA</t>
  </si>
  <si>
    <t xml:space="preserve">                  OTROS GASTOS FINANCIEROS</t>
  </si>
  <si>
    <t xml:space="preserve">                  OTROS</t>
  </si>
  <si>
    <t xml:space="preserve">      RECAUDOS NACIONALES</t>
  </si>
  <si>
    <t xml:space="preserve">      RECAUDOS DEL EXTERIOR</t>
  </si>
  <si>
    <t xml:space="preserve">      RECAUDOS ASOCIADAS NACIONALES</t>
  </si>
  <si>
    <t xml:space="preserve">      RECAUDOS ASOCIADAS DEL EXTERIOR</t>
  </si>
  <si>
    <t xml:space="preserve">      OTROS INGRESOS</t>
  </si>
  <si>
    <t xml:space="preserve">  SALDO INICIAL</t>
  </si>
  <si>
    <t>Entrada</t>
  </si>
  <si>
    <t xml:space="preserve">      GASTOS DE VIAJE</t>
  </si>
  <si>
    <t xml:space="preserve">      PAPELERIA Y UTILES</t>
  </si>
  <si>
    <t xml:space="preserve">      HONORARIOS</t>
  </si>
  <si>
    <t xml:space="preserve">      COMISIONES BANCARIAS</t>
  </si>
  <si>
    <t>PROEVEEDORES</t>
  </si>
  <si>
    <t>Salida</t>
  </si>
  <si>
    <t xml:space="preserve">  PAGOS ESPECIALES (INGRESOS) ASOCIADAS</t>
  </si>
  <si>
    <t xml:space="preserve">  DESCAPITALIZACION</t>
  </si>
  <si>
    <t>PRESTAMOS ASOCIADAS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</si>
</sst>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mmmm/yyyy"/>
    <numFmt numFmtId="166" formatCode="[$-F800]dddd\,\ mmmm\ dd\,\ yyyy"/>
    <numFmt numFmtId="167" formatCode="#,##0;[Red]\-#,##0;&quot;-&quot;"/>
    <numFmt numFmtId="168" formatCode="mmm/yyyy"/>
    <numFmt numFmtId="169" formatCode="[$$]\ #,##0.00;\-[$$]\ #,##0.00"/>
    <numFmt numFmtId="170" formatCode="0.0%"/>
    <numFmt numFmtId="171" formatCode="0_);\(0\)"/>
    <numFmt numFmtId="172" formatCode="_(&quot;$&quot;\ * #,##0.00_);_(&quot;$&quot;\ * \(#,##0.00\);_(&quot;$&quot;\ * &quot;-&quot;??_);_(@_)"/>
  </numFmts>
  <fonts count="98" x14ac:knownFonts="1"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6.85"/>
      <color indexed="8"/>
      <name val="Courier New"/>
      <family val="3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indexed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Calibri"/>
      <family val="2"/>
      <scheme val="minor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9"/>
      <color theme="1"/>
      <name val="Calibri"/>
      <family val="2"/>
      <scheme val="minor"/>
    </font>
    <font>
      <sz val="11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indexed="8"/>
      <name val="Arial"/>
      <family val="2"/>
    </font>
    <font>
      <sz val="9"/>
      <color theme="1"/>
      <name val="Tahoma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sz val="10"/>
      <color theme="2" tint="-0.749992370372631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  <font>
      <sz val="14"/>
      <color rgb="FFC00000"/>
      <name val="Arial"/>
      <family val="2"/>
    </font>
    <font>
      <sz val="10"/>
      <color rgb="FFC00000"/>
      <name val="Arial"/>
      <family val="2"/>
    </font>
    <font>
      <sz val="11"/>
      <color rgb="FFC00000"/>
      <name val="Arial"/>
      <family val="2"/>
    </font>
    <font>
      <i/>
      <sz val="10"/>
      <color indexed="9"/>
      <name val="Arial"/>
      <family val="2"/>
    </font>
    <font>
      <sz val="9"/>
      <color rgb="FFC00000"/>
      <name val="Arial"/>
      <family val="2"/>
    </font>
    <font>
      <sz val="11"/>
      <color rgb="FFFFFF00"/>
      <name val="Calibri"/>
      <family val="2"/>
      <scheme val="minor"/>
    </font>
    <font>
      <sz val="10"/>
      <color rgb="FFFF0000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0"/>
      <color indexed="8"/>
      <name val="Calibri"/>
      <family val="2"/>
    </font>
    <font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2" tint="-0.749992370372631"/>
      <name val="Calibri"/>
      <family val="2"/>
      <scheme val="minor"/>
    </font>
    <font>
      <sz val="9"/>
      <color theme="0"/>
      <name val="Arial"/>
      <family val="2"/>
    </font>
    <font>
      <sz val="11"/>
      <color theme="2" tint="-0.74999237037263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4"/>
      <color theme="0"/>
      <name val="Arial"/>
      <family val="2"/>
    </font>
    <font>
      <sz val="12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9"/>
      <color rgb="FFFF0000"/>
      <name val="Arial"/>
      <family val="2"/>
    </font>
    <font>
      <sz val="11"/>
      <color theme="1" tint="0.14999847407452621"/>
      <name val="Calibri"/>
      <family val="2"/>
      <scheme val="minor"/>
    </font>
    <font>
      <b/>
      <sz val="9"/>
      <color theme="1" tint="0.14999847407452621"/>
      <name val="Arial"/>
      <family val="2"/>
    </font>
    <font>
      <sz val="6.85"/>
      <name val="Courier New"/>
      <family val="3"/>
    </font>
    <font>
      <b/>
      <sz val="14"/>
      <color rgb="FFFF0000"/>
      <name val="Calibri"/>
      <family val="2"/>
    </font>
    <font>
      <b/>
      <sz val="14"/>
      <name val="Arial"/>
      <family val="2"/>
    </font>
    <font>
      <b/>
      <i/>
      <sz val="10"/>
      <name val="Arial"/>
      <family val="2"/>
    </font>
    <font>
      <sz val="12"/>
      <color rgb="FFFF0000"/>
      <name val="Calibri"/>
      <family val="2"/>
      <scheme val="minor"/>
    </font>
    <font>
      <i/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sz val="12"/>
      <color theme="0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0"/>
      <color theme="3" tint="-0.249977111117893"/>
      <name val="Arial"/>
      <family val="2"/>
    </font>
    <font>
      <sz val="9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sz val="8"/>
      <color indexed="8"/>
      <name val="Arial"/>
      <family val="2"/>
    </font>
    <font>
      <b/>
      <sz val="10"/>
      <color theme="2" tint="-0.749992370372631"/>
      <name val="Arial"/>
      <family val="2"/>
    </font>
    <font>
      <sz val="9"/>
      <color theme="1"/>
      <name val="Times New Roman"/>
      <family val="1"/>
    </font>
    <font>
      <sz val="9"/>
      <name val="Times New Roman"/>
      <family val="1"/>
    </font>
    <font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8"/>
      <color theme="1"/>
      <name val="Calibri"/>
      <family val="2"/>
      <scheme val="minor"/>
    </font>
    <font>
      <sz val="11"/>
      <color indexed="8"/>
      <name val="Times New Roman"/>
      <family val="1"/>
    </font>
    <font>
      <sz val="8"/>
      <name val="Tahoma"/>
      <family val="2"/>
    </font>
    <font>
      <sz val="11"/>
      <name val="Times New Roman"/>
      <family val="1"/>
    </font>
    <font>
      <b/>
      <sz val="8"/>
      <name val="Tahoma"/>
      <family val="2"/>
    </font>
    <font>
      <sz val="8"/>
      <color indexed="8"/>
      <name val="Tahoma"/>
      <family val="2"/>
    </font>
    <font>
      <sz val="8"/>
      <color theme="1"/>
      <name val="Tahoma"/>
      <family val="2"/>
    </font>
    <font>
      <sz val="8"/>
      <color rgb="FFFF0000"/>
      <name val="Tahoma"/>
      <family val="2"/>
    </font>
    <font>
      <sz val="6.95"/>
      <color indexed="8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56">
    <border>
      <left/>
      <right/>
      <top/>
      <bottom/>
      <diagonal/>
    </border>
    <border>
      <left style="medium">
        <color indexed="54"/>
      </left>
      <right style="medium">
        <color indexed="9"/>
      </right>
      <top style="medium">
        <color indexed="54"/>
      </top>
      <bottom/>
      <diagonal/>
    </border>
    <border>
      <left style="medium">
        <color indexed="9"/>
      </left>
      <right/>
      <top style="medium">
        <color indexed="54"/>
      </top>
      <bottom style="medium">
        <color indexed="9"/>
      </bottom>
      <diagonal/>
    </border>
    <border>
      <left/>
      <right/>
      <top style="medium">
        <color indexed="54"/>
      </top>
      <bottom style="medium">
        <color indexed="9"/>
      </bottom>
      <diagonal/>
    </border>
    <border>
      <left/>
      <right style="medium">
        <color indexed="9"/>
      </right>
      <top style="medium">
        <color indexed="54"/>
      </top>
      <bottom style="medium">
        <color indexed="9"/>
      </bottom>
      <diagonal/>
    </border>
    <border>
      <left/>
      <right style="medium">
        <color indexed="54"/>
      </right>
      <top style="medium">
        <color indexed="54"/>
      </top>
      <bottom style="medium">
        <color indexed="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indexed="64"/>
      </bottom>
      <diagonal/>
    </border>
    <border>
      <left/>
      <right/>
      <top style="medium">
        <color rgb="FFFF0000"/>
      </top>
      <bottom style="medium">
        <color indexed="64"/>
      </bottom>
      <diagonal/>
    </border>
    <border>
      <left/>
      <right style="medium">
        <color rgb="FFFF0000"/>
      </right>
      <top style="medium">
        <color rgb="FFFF0000"/>
      </top>
      <bottom style="medium">
        <color indexed="64"/>
      </bottom>
      <diagonal/>
    </border>
    <border>
      <left style="medium">
        <color indexed="54"/>
      </left>
      <right/>
      <top/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54"/>
      </right>
      <top style="medium">
        <color indexed="9"/>
      </top>
      <bottom/>
      <diagonal/>
    </border>
    <border>
      <left style="medium">
        <color indexed="54"/>
      </left>
      <right/>
      <top style="medium">
        <color indexed="54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 style="medium">
        <color rgb="FFFF0000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rgb="FFFF0000"/>
      </right>
      <top/>
      <bottom/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/>
      <top/>
      <bottom style="medium">
        <color indexed="54"/>
      </bottom>
      <diagonal/>
    </border>
    <border>
      <left style="medium">
        <color indexed="9"/>
      </left>
      <right/>
      <top/>
      <bottom style="medium">
        <color indexed="54"/>
      </bottom>
      <diagonal/>
    </border>
    <border>
      <left/>
      <right style="medium">
        <color indexed="9"/>
      </right>
      <top/>
      <bottom style="medium">
        <color indexed="54"/>
      </bottom>
      <diagonal/>
    </border>
    <border>
      <left/>
      <right style="medium">
        <color theme="4" tint="-0.24994659260841701"/>
      </right>
      <top style="medium">
        <color indexed="9"/>
      </top>
      <bottom style="medium">
        <color indexed="54"/>
      </bottom>
      <diagonal/>
    </border>
    <border>
      <left/>
      <right/>
      <top/>
      <bottom style="medium">
        <color indexed="54"/>
      </bottom>
      <diagonal/>
    </border>
    <border>
      <left style="medium">
        <color indexed="9"/>
      </left>
      <right style="medium">
        <color indexed="9"/>
      </right>
      <top/>
      <bottom style="medium">
        <color indexed="54"/>
      </bottom>
      <diagonal/>
    </border>
    <border>
      <left/>
      <right style="medium">
        <color indexed="54"/>
      </right>
      <top/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/>
      <bottom style="medium">
        <color indexed="54"/>
      </bottom>
      <diagonal/>
    </border>
    <border>
      <left style="medium">
        <color indexed="9"/>
      </left>
      <right style="medium">
        <color rgb="FFFF0000"/>
      </right>
      <top/>
      <bottom style="medium">
        <color indexed="54"/>
      </bottom>
      <diagonal/>
    </border>
    <border>
      <left style="medium">
        <color indexed="9"/>
      </left>
      <right style="medium">
        <color indexed="54"/>
      </right>
      <top/>
      <bottom style="medium">
        <color indexed="54"/>
      </bottom>
      <diagonal/>
    </border>
    <border>
      <left/>
      <right style="medium">
        <color indexed="54"/>
      </right>
      <top/>
      <bottom/>
      <diagonal/>
    </border>
    <border>
      <left style="medium">
        <color indexed="54"/>
      </left>
      <right style="medium">
        <color indexed="54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rgb="FFFF0000"/>
      </left>
      <right style="medium">
        <color theme="3" tint="-0.24994659260841701"/>
      </right>
      <top style="medium">
        <color indexed="54"/>
      </top>
      <bottom/>
      <diagonal/>
    </border>
    <border>
      <left style="medium">
        <color rgb="FFFF0000"/>
      </left>
      <right style="medium">
        <color theme="3" tint="-0.24994659260841701"/>
      </right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 style="medium">
        <color theme="3" tint="-0.24994659260841701"/>
      </right>
      <top style="medium">
        <color indexed="54"/>
      </top>
      <bottom style="medium">
        <color theme="3" tint="-0.24994659260841701"/>
      </bottom>
      <diagonal/>
    </border>
    <border>
      <left style="medium">
        <color indexed="54"/>
      </left>
      <right style="medium">
        <color rgb="FFFF0000"/>
      </right>
      <top style="medium">
        <color indexed="54"/>
      </top>
      <bottom style="medium">
        <color indexed="54"/>
      </bottom>
      <diagonal/>
    </border>
    <border>
      <left style="medium">
        <color rgb="FFFF0000"/>
      </left>
      <right style="medium">
        <color theme="3" tint="-0.24994659260841701"/>
      </right>
      <top style="medium">
        <color theme="3" tint="-0.24994659260841701"/>
      </top>
      <bottom/>
      <diagonal/>
    </border>
    <border>
      <left style="medium">
        <color indexed="54"/>
      </left>
      <right style="medium">
        <color rgb="FFFF0000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/>
      <diagonal/>
    </border>
    <border>
      <left/>
      <right/>
      <top style="medium">
        <color indexed="54"/>
      </top>
      <bottom/>
      <diagonal/>
    </border>
    <border>
      <left style="medium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 style="medium">
        <color indexed="54"/>
      </top>
      <bottom style="medium">
        <color rgb="FFFF0000"/>
      </bottom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rgb="FFFF0000"/>
      </bottom>
      <diagonal/>
    </border>
    <border>
      <left style="medium">
        <color indexed="54"/>
      </left>
      <right style="medium">
        <color rgb="FFFF0000"/>
      </right>
      <top style="medium">
        <color indexed="54"/>
      </top>
      <bottom style="medium">
        <color rgb="FFFF0000"/>
      </bottom>
      <diagonal/>
    </border>
    <border>
      <left/>
      <right/>
      <top style="medium">
        <color indexed="54"/>
      </top>
      <bottom style="medium">
        <color indexed="54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rgb="FFFF0000"/>
      </left>
      <right/>
      <top style="medium">
        <color rgb="FFFF0000"/>
      </top>
      <bottom style="medium">
        <color indexed="54"/>
      </bottom>
      <diagonal/>
    </border>
    <border>
      <left/>
      <right/>
      <top style="medium">
        <color rgb="FFFF0000"/>
      </top>
      <bottom style="medium">
        <color indexed="54"/>
      </bottom>
      <diagonal/>
    </border>
    <border>
      <left/>
      <right style="medium">
        <color rgb="FFFF0000"/>
      </right>
      <top style="medium">
        <color rgb="FFFF0000"/>
      </top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 style="medium">
        <color indexed="54"/>
      </top>
      <bottom/>
      <diagonal/>
    </border>
    <border>
      <left/>
      <right style="medium">
        <color rgb="FFFF0000"/>
      </right>
      <top style="medium">
        <color indexed="54"/>
      </top>
      <bottom/>
      <diagonal/>
    </border>
    <border>
      <left style="medium">
        <color rgb="FFFF0000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/>
      <bottom/>
      <diagonal/>
    </border>
    <border>
      <left/>
      <right/>
      <top/>
      <bottom style="thin">
        <color theme="8" tint="0.79998168889431442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9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9"/>
      </right>
      <top/>
      <bottom/>
      <diagonal/>
    </border>
    <border>
      <left/>
      <right style="medium">
        <color indexed="54"/>
      </right>
      <top style="medium">
        <color indexed="9"/>
      </top>
      <bottom style="medium">
        <color indexed="54"/>
      </bottom>
      <diagonal/>
    </border>
    <border>
      <left style="thick">
        <color indexed="64"/>
      </left>
      <right/>
      <top/>
      <bottom style="medium">
        <color indexed="54"/>
      </bottom>
      <diagonal/>
    </border>
    <border>
      <left/>
      <right style="thick">
        <color indexed="64"/>
      </right>
      <top/>
      <bottom style="medium">
        <color indexed="54"/>
      </bottom>
      <diagonal/>
    </border>
    <border>
      <left style="thick">
        <color indexed="6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/>
      <right style="thick">
        <color indexed="64"/>
      </right>
      <top style="medium">
        <color indexed="54"/>
      </top>
      <bottom style="medium">
        <color indexed="54"/>
      </bottom>
      <diagonal/>
    </border>
    <border>
      <left style="thick">
        <color indexed="64"/>
      </left>
      <right style="medium">
        <color indexed="54"/>
      </right>
      <top/>
      <bottom/>
      <diagonal/>
    </border>
    <border>
      <left style="medium">
        <color indexed="54"/>
      </left>
      <right style="thick">
        <color indexed="6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54"/>
      </right>
      <top style="medium">
        <color indexed="54"/>
      </top>
      <bottom style="thick">
        <color indexed="64"/>
      </bottom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5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9"/>
      </top>
      <bottom/>
      <diagonal/>
    </border>
    <border>
      <left style="medium">
        <color indexed="64"/>
      </left>
      <right style="medium">
        <color indexed="9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54"/>
      </bottom>
      <diagonal/>
    </border>
    <border>
      <left/>
      <right style="medium">
        <color indexed="64"/>
      </right>
      <top/>
      <bottom style="medium">
        <color indexed="54"/>
      </bottom>
      <diagonal/>
    </border>
    <border>
      <left style="medium">
        <color indexed="64"/>
      </left>
      <right style="medium">
        <color indexed="5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5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9"/>
      </right>
      <top style="medium">
        <color indexed="5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theme="4" tint="-0.24994659260841701"/>
      </right>
      <top style="medium">
        <color indexed="9"/>
      </top>
      <bottom style="medium">
        <color indexed="9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0"/>
      </top>
      <bottom style="medium">
        <color theme="0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64"/>
      </right>
      <top/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/>
      <diagonal/>
    </border>
    <border>
      <left style="medium">
        <color indexed="6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 style="medium">
        <color indexed="64"/>
      </right>
      <top style="medium">
        <color indexed="54"/>
      </top>
      <bottom style="medium">
        <color indexed="54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indexed="64"/>
      </left>
      <right style="medium">
        <color indexed="54"/>
      </right>
      <top style="medium">
        <color indexed="54"/>
      </top>
      <bottom style="medium">
        <color indexed="64"/>
      </bottom>
      <diagonal/>
    </border>
    <border>
      <left style="medium">
        <color indexed="54"/>
      </left>
      <right style="medium">
        <color indexed="64"/>
      </right>
      <top style="medium">
        <color indexed="54"/>
      </top>
      <bottom style="medium">
        <color indexed="64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4"/>
      </right>
      <top/>
      <bottom style="thin">
        <color indexed="64"/>
      </bottom>
      <diagonal/>
    </border>
    <border>
      <left style="medium">
        <color theme="4" tint="-0.24994659260841701"/>
      </left>
      <right style="medium">
        <color theme="4" tint="-0.24994659260841701"/>
      </right>
      <top/>
      <bottom style="thin">
        <color indexed="64"/>
      </bottom>
      <diagonal/>
    </border>
    <border>
      <left style="medium">
        <color indexed="54"/>
      </left>
      <right style="medium">
        <color indexed="54"/>
      </right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5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theme="4" tint="-0.24994659260841701"/>
      </right>
      <top/>
      <bottom/>
      <diagonal/>
    </border>
    <border>
      <left/>
      <right style="thin">
        <color indexed="64"/>
      </right>
      <top style="medium">
        <color indexed="54"/>
      </top>
      <bottom/>
      <diagonal/>
    </border>
    <border>
      <left/>
      <right style="medium">
        <color theme="4" tint="-0.24994659260841701"/>
      </right>
      <top style="medium">
        <color theme="4" tint="-0.24994659260841701"/>
      </top>
      <bottom/>
      <diagonal/>
    </border>
    <border>
      <left/>
      <right style="thin">
        <color indexed="64"/>
      </right>
      <top/>
      <bottom style="medium">
        <color indexed="54"/>
      </bottom>
      <diagonal/>
    </border>
    <border>
      <left/>
      <right style="medium">
        <color theme="4" tint="-0.24994659260841701"/>
      </right>
      <top/>
      <bottom style="medium">
        <color theme="4" tint="-0.24994659260841701"/>
      </bottom>
      <diagonal/>
    </border>
    <border>
      <left/>
      <right style="thin">
        <color indexed="64"/>
      </right>
      <top style="medium">
        <color indexed="54"/>
      </top>
      <bottom style="medium">
        <color indexed="54"/>
      </bottom>
      <diagonal/>
    </border>
    <border>
      <left/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indexed="54"/>
      </left>
      <right style="thick">
        <color indexed="64"/>
      </right>
      <top style="medium">
        <color indexed="54"/>
      </top>
      <bottom style="thick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54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54"/>
      </bottom>
      <diagonal/>
    </border>
    <border>
      <left style="medium">
        <color indexed="9"/>
      </left>
      <right style="medium">
        <color indexed="54"/>
      </right>
      <top style="medium">
        <color indexed="9"/>
      </top>
      <bottom style="medium">
        <color indexed="54"/>
      </bottom>
      <diagonal/>
    </border>
    <border>
      <left style="medium">
        <color indexed="9"/>
      </left>
      <right/>
      <top style="medium">
        <color indexed="9"/>
      </top>
      <bottom style="medium">
        <color indexed="54"/>
      </bottom>
      <diagonal/>
    </border>
    <border>
      <left style="medium">
        <color indexed="64"/>
      </left>
      <right/>
      <top style="medium">
        <color indexed="9"/>
      </top>
      <bottom style="medium">
        <color indexed="54"/>
      </bottom>
      <diagonal/>
    </border>
    <border>
      <left/>
      <right/>
      <top style="medium">
        <color indexed="9"/>
      </top>
      <bottom style="medium">
        <color indexed="54"/>
      </bottom>
      <diagonal/>
    </border>
    <border>
      <left/>
      <right style="medium">
        <color indexed="64"/>
      </right>
      <top style="medium">
        <color indexed="9"/>
      </top>
      <bottom style="medium">
        <color indexed="54"/>
      </bottom>
      <diagonal/>
    </border>
    <border>
      <left/>
      <right style="medium">
        <color indexed="64"/>
      </right>
      <top style="medium">
        <color indexed="54"/>
      </top>
      <bottom style="medium">
        <color indexed="5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indexed="64"/>
      </bottom>
      <diagonal/>
    </border>
    <border>
      <left/>
      <right style="medium">
        <color indexed="9"/>
      </right>
      <top style="medium">
        <color indexed="9"/>
      </top>
      <bottom style="medium">
        <color indexed="5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64"/>
      </left>
      <right style="medium">
        <color indexed="9"/>
      </right>
      <top style="thick">
        <color auto="1"/>
      </top>
      <bottom/>
      <diagonal/>
    </border>
    <border>
      <left/>
      <right style="medium">
        <color indexed="54"/>
      </right>
      <top style="thick">
        <color auto="1"/>
      </top>
      <bottom/>
      <diagonal/>
    </border>
    <border>
      <left style="medium">
        <color indexed="9"/>
      </left>
      <right style="medium">
        <color indexed="64"/>
      </right>
      <top style="thick">
        <color auto="1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medium">
        <color indexed="54"/>
      </bottom>
      <diagonal/>
    </border>
    <border>
      <left style="thick">
        <color indexed="64"/>
      </left>
      <right/>
      <top style="medium">
        <color theme="4" tint="-0.49998474074526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5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 style="thick">
        <color indexed="64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theme="3" tint="-0.24994659260841701"/>
      </top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/>
      <diagonal/>
    </border>
    <border>
      <left style="thick">
        <color indexed="64"/>
      </left>
      <right/>
      <top style="medium">
        <color theme="4" tint="-0.24994659260841701"/>
      </top>
      <bottom style="thick">
        <color indexed="64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theme="4" tint="-0.24994659260841701"/>
      </top>
      <bottom style="thick">
        <color indexed="64"/>
      </bottom>
      <diagonal/>
    </border>
    <border>
      <left/>
      <right style="thick">
        <color indexed="64"/>
      </right>
      <top style="medium">
        <color theme="4" tint="-0.24994659260841701"/>
      </top>
      <bottom style="thick">
        <color indexed="64"/>
      </bottom>
      <diagonal/>
    </border>
  </borders>
  <cellStyleXfs count="8">
    <xf numFmtId="0" fontId="0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8" fillId="0" borderId="0"/>
    <xf numFmtId="0" fontId="47" fillId="0" borderId="0"/>
    <xf numFmtId="172" fontId="5" fillId="0" borderId="0" applyFont="0" applyFill="0" applyBorder="0" applyAlignment="0" applyProtection="0"/>
    <xf numFmtId="41" fontId="5" fillId="0" borderId="0" applyFont="0" applyFill="0" applyBorder="0" applyAlignment="0" applyProtection="0"/>
  </cellStyleXfs>
  <cellXfs count="732">
    <xf numFmtId="0" fontId="0" fillId="0" borderId="0" xfId="0"/>
    <xf numFmtId="0" fontId="3" fillId="0" borderId="0" xfId="1" applyFont="1" applyAlignment="1">
      <alignment horizontal="center" wrapText="1"/>
    </xf>
    <xf numFmtId="0" fontId="3" fillId="2" borderId="0" xfId="1" applyFont="1" applyFill="1" applyAlignment="1">
      <alignment horizontal="center" wrapText="1"/>
    </xf>
    <xf numFmtId="0" fontId="6" fillId="3" borderId="0" xfId="1" applyFont="1" applyFill="1" applyAlignment="1">
      <alignment vertical="center"/>
    </xf>
    <xf numFmtId="0" fontId="7" fillId="0" borderId="0" xfId="1" applyFont="1" applyAlignment="1">
      <alignment horizontal="center" wrapText="1"/>
    </xf>
    <xf numFmtId="0" fontId="8" fillId="0" borderId="0" xfId="1" applyFont="1" applyAlignment="1">
      <alignment horizontal="center" wrapText="1"/>
    </xf>
    <xf numFmtId="164" fontId="9" fillId="2" borderId="0" xfId="2" applyNumberFormat="1" applyFont="1" applyFill="1" applyAlignment="1">
      <alignment horizontal="center" wrapText="1"/>
    </xf>
    <xf numFmtId="0" fontId="10" fillId="0" borderId="0" xfId="1" applyFont="1" applyAlignment="1">
      <alignment horizontal="center" wrapText="1"/>
    </xf>
    <xf numFmtId="0" fontId="9" fillId="0" borderId="0" xfId="1" applyFont="1" applyAlignment="1">
      <alignment horizontal="center" wrapText="1"/>
    </xf>
    <xf numFmtId="0" fontId="1" fillId="2" borderId="0" xfId="1" applyFont="1" applyFill="1"/>
    <xf numFmtId="0" fontId="5" fillId="0" borderId="0" xfId="1"/>
    <xf numFmtId="0" fontId="5" fillId="4" borderId="0" xfId="1" applyFill="1"/>
    <xf numFmtId="0" fontId="11" fillId="0" borderId="0" xfId="1" applyFont="1"/>
    <xf numFmtId="164" fontId="9" fillId="2" borderId="0" xfId="2" applyNumberFormat="1" applyFont="1" applyFill="1"/>
    <xf numFmtId="0" fontId="12" fillId="0" borderId="0" xfId="1" applyFont="1" applyAlignment="1">
      <alignment horizontal="center"/>
    </xf>
    <xf numFmtId="0" fontId="10" fillId="0" borderId="0" xfId="1" applyFont="1"/>
    <xf numFmtId="0" fontId="1" fillId="2" borderId="0" xfId="1" applyFont="1" applyFill="1" applyAlignment="1">
      <alignment horizontal="left"/>
    </xf>
    <xf numFmtId="0" fontId="13" fillId="0" borderId="0" xfId="1" applyFont="1" applyAlignment="1">
      <alignment horizontal="center"/>
    </xf>
    <xf numFmtId="3" fontId="14" fillId="2" borderId="0" xfId="2" applyNumberFormat="1" applyFont="1" applyFill="1"/>
    <xf numFmtId="0" fontId="12" fillId="0" borderId="0" xfId="1" applyFont="1" applyAlignment="1">
      <alignment horizontal="center"/>
    </xf>
    <xf numFmtId="0" fontId="15" fillId="0" borderId="0" xfId="1" applyFont="1"/>
    <xf numFmtId="0" fontId="16" fillId="5" borderId="1" xfId="1" applyFont="1" applyFill="1" applyBorder="1" applyAlignment="1">
      <alignment horizontal="left"/>
    </xf>
    <xf numFmtId="165" fontId="17" fillId="5" borderId="2" xfId="1" applyNumberFormat="1" applyFont="1" applyFill="1" applyBorder="1" applyAlignment="1">
      <alignment horizontal="centerContinuous"/>
    </xf>
    <xf numFmtId="165" fontId="17" fillId="5" borderId="3" xfId="1" applyNumberFormat="1" applyFont="1" applyFill="1" applyBorder="1" applyAlignment="1">
      <alignment horizontal="centerContinuous"/>
    </xf>
    <xf numFmtId="165" fontId="17" fillId="5" borderId="4" xfId="1" applyNumberFormat="1" applyFont="1" applyFill="1" applyBorder="1" applyAlignment="1">
      <alignment horizontal="center"/>
    </xf>
    <xf numFmtId="0" fontId="17" fillId="5" borderId="2" xfId="1" applyFont="1" applyFill="1" applyBorder="1" applyAlignment="1">
      <alignment horizontal="center"/>
    </xf>
    <xf numFmtId="0" fontId="5" fillId="0" borderId="3" xfId="1" applyBorder="1" applyAlignment="1">
      <alignment horizontal="center"/>
    </xf>
    <xf numFmtId="0" fontId="5" fillId="0" borderId="3" xfId="1" applyBorder="1"/>
    <xf numFmtId="0" fontId="5" fillId="0" borderId="5" xfId="1" applyBorder="1"/>
    <xf numFmtId="164" fontId="18" fillId="2" borderId="0" xfId="2" applyNumberFormat="1" applyFont="1" applyFill="1" applyBorder="1" applyAlignment="1">
      <alignment horizontal="center"/>
    </xf>
    <xf numFmtId="166" fontId="9" fillId="6" borderId="6" xfId="1" applyNumberFormat="1" applyFont="1" applyFill="1" applyBorder="1" applyAlignment="1">
      <alignment horizontal="centerContinuous"/>
    </xf>
    <xf numFmtId="166" fontId="9" fillId="6" borderId="7" xfId="1" applyNumberFormat="1" applyFont="1" applyFill="1" applyBorder="1" applyAlignment="1">
      <alignment horizontal="centerContinuous"/>
    </xf>
    <xf numFmtId="0" fontId="19" fillId="6" borderId="8" xfId="1" applyFont="1" applyFill="1" applyBorder="1" applyAlignment="1">
      <alignment horizontal="center"/>
    </xf>
    <xf numFmtId="0" fontId="19" fillId="6" borderId="9" xfId="1" applyFont="1" applyFill="1" applyBorder="1" applyAlignment="1">
      <alignment horizontal="center"/>
    </xf>
    <xf numFmtId="0" fontId="19" fillId="6" borderId="10" xfId="1" applyFont="1" applyFill="1" applyBorder="1" applyAlignment="1">
      <alignment horizontal="center"/>
    </xf>
    <xf numFmtId="0" fontId="1" fillId="0" borderId="0" xfId="1" applyFont="1"/>
    <xf numFmtId="0" fontId="16" fillId="5" borderId="11" xfId="1" applyFont="1" applyFill="1" applyBorder="1" applyAlignment="1">
      <alignment horizontal="left"/>
    </xf>
    <xf numFmtId="0" fontId="17" fillId="5" borderId="12" xfId="1" applyFont="1" applyFill="1" applyBorder="1" applyAlignment="1">
      <alignment horizontal="center" wrapText="1"/>
    </xf>
    <xf numFmtId="0" fontId="5" fillId="0" borderId="13" xfId="1" applyBorder="1" applyAlignment="1">
      <alignment horizontal="center" wrapText="1"/>
    </xf>
    <xf numFmtId="0" fontId="17" fillId="5" borderId="14" xfId="1" applyFont="1" applyFill="1" applyBorder="1" applyAlignment="1">
      <alignment horizontal="center" wrapText="1"/>
    </xf>
    <xf numFmtId="0" fontId="17" fillId="5" borderId="15" xfId="1" applyFont="1" applyFill="1" applyBorder="1" applyAlignment="1">
      <alignment horizontal="center" wrapText="1"/>
    </xf>
    <xf numFmtId="0" fontId="17" fillId="5" borderId="16" xfId="1" applyFont="1" applyFill="1" applyBorder="1" applyAlignment="1">
      <alignment horizontal="center" wrapText="1"/>
    </xf>
    <xf numFmtId="0" fontId="20" fillId="5" borderId="17" xfId="1" applyFont="1" applyFill="1" applyBorder="1" applyAlignment="1">
      <alignment horizontal="left"/>
    </xf>
    <xf numFmtId="0" fontId="21" fillId="5" borderId="18" xfId="1" applyFont="1" applyFill="1" applyBorder="1" applyAlignment="1">
      <alignment horizontal="center"/>
    </xf>
    <xf numFmtId="0" fontId="21" fillId="5" borderId="19" xfId="1" applyFont="1" applyFill="1" applyBorder="1" applyAlignment="1">
      <alignment horizontal="center"/>
    </xf>
    <xf numFmtId="0" fontId="21" fillId="5" borderId="20" xfId="1" applyFont="1" applyFill="1" applyBorder="1" applyAlignment="1">
      <alignment horizontal="center"/>
    </xf>
    <xf numFmtId="0" fontId="21" fillId="5" borderId="21" xfId="1" applyFont="1" applyFill="1" applyBorder="1" applyAlignment="1">
      <alignment horizontal="center"/>
    </xf>
    <xf numFmtId="0" fontId="21" fillId="5" borderId="22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3" fontId="22" fillId="2" borderId="0" xfId="1" quotePrefix="1" applyNumberFormat="1" applyFont="1" applyFill="1"/>
    <xf numFmtId="0" fontId="23" fillId="5" borderId="23" xfId="1" applyFont="1" applyFill="1" applyBorder="1" applyAlignment="1">
      <alignment horizontal="left"/>
    </xf>
    <xf numFmtId="0" fontId="17" fillId="5" borderId="24" xfId="1" applyFont="1" applyFill="1" applyBorder="1" applyAlignment="1">
      <alignment horizontal="center"/>
    </xf>
    <xf numFmtId="0" fontId="24" fillId="5" borderId="25" xfId="1" applyFont="1" applyFill="1" applyBorder="1" applyAlignment="1">
      <alignment horizontal="center"/>
    </xf>
    <xf numFmtId="0" fontId="24" fillId="5" borderId="26" xfId="1" applyFont="1" applyFill="1" applyBorder="1" applyAlignment="1">
      <alignment horizontal="center"/>
    </xf>
    <xf numFmtId="0" fontId="24" fillId="5" borderId="27" xfId="1" applyFont="1" applyFill="1" applyBorder="1" applyAlignment="1">
      <alignment horizontal="center"/>
    </xf>
    <xf numFmtId="0" fontId="24" fillId="5" borderId="28" xfId="1" applyFont="1" applyFill="1" applyBorder="1" applyAlignment="1">
      <alignment horizontal="center"/>
    </xf>
    <xf numFmtId="0" fontId="24" fillId="5" borderId="29" xfId="1" applyFont="1" applyFill="1" applyBorder="1" applyAlignment="1">
      <alignment horizontal="center"/>
    </xf>
    <xf numFmtId="0" fontId="21" fillId="5" borderId="23" xfId="1" applyFont="1" applyFill="1" applyBorder="1" applyAlignment="1">
      <alignment horizontal="left"/>
    </xf>
    <xf numFmtId="0" fontId="21" fillId="5" borderId="28" xfId="1" applyFont="1" applyFill="1" applyBorder="1" applyAlignment="1">
      <alignment horizontal="center"/>
    </xf>
    <xf numFmtId="0" fontId="21" fillId="5" borderId="24" xfId="1" applyFont="1" applyFill="1" applyBorder="1" applyAlignment="1">
      <alignment horizontal="center"/>
    </xf>
    <xf numFmtId="0" fontId="21" fillId="5" borderId="30" xfId="1" applyFont="1" applyFill="1" applyBorder="1" applyAlignment="1">
      <alignment horizontal="center"/>
    </xf>
    <xf numFmtId="0" fontId="21" fillId="5" borderId="31" xfId="1" applyFont="1" applyFill="1" applyBorder="1" applyAlignment="1">
      <alignment horizontal="center"/>
    </xf>
    <xf numFmtId="0" fontId="21" fillId="5" borderId="29" xfId="1" applyFont="1" applyFill="1" applyBorder="1" applyAlignment="1">
      <alignment horizontal="center"/>
    </xf>
    <xf numFmtId="0" fontId="21" fillId="5" borderId="32" xfId="1" applyFont="1" applyFill="1" applyBorder="1" applyAlignment="1">
      <alignment horizontal="center"/>
    </xf>
    <xf numFmtId="0" fontId="22" fillId="2" borderId="0" xfId="1" applyFont="1" applyFill="1"/>
    <xf numFmtId="0" fontId="25" fillId="7" borderId="33" xfId="1" applyFont="1" applyFill="1" applyBorder="1" applyAlignment="1">
      <alignment horizontal="left"/>
    </xf>
    <xf numFmtId="3" fontId="25" fillId="8" borderId="11" xfId="1" applyNumberFormat="1" applyFont="1" applyFill="1" applyBorder="1" applyAlignment="1">
      <alignment horizontal="right"/>
    </xf>
    <xf numFmtId="9" fontId="25" fillId="8" borderId="33" xfId="3" applyFont="1" applyFill="1" applyBorder="1" applyAlignment="1">
      <alignment horizontal="center"/>
    </xf>
    <xf numFmtId="9" fontId="25" fillId="8" borderId="0" xfId="3" applyFont="1" applyFill="1" applyBorder="1" applyAlignment="1">
      <alignment horizontal="center"/>
    </xf>
    <xf numFmtId="9" fontId="25" fillId="8" borderId="34" xfId="3" applyFont="1" applyFill="1" applyBorder="1" applyAlignment="1">
      <alignment horizontal="center"/>
    </xf>
    <xf numFmtId="9" fontId="25" fillId="8" borderId="33" xfId="3" applyFont="1" applyFill="1" applyBorder="1" applyAlignment="1">
      <alignment horizontal="right"/>
    </xf>
    <xf numFmtId="164" fontId="9" fillId="2" borderId="0" xfId="2" applyNumberFormat="1" applyFont="1" applyFill="1" applyBorder="1" applyAlignment="1"/>
    <xf numFmtId="164" fontId="14" fillId="2" borderId="0" xfId="2" applyNumberFormat="1" applyFont="1" applyFill="1" applyBorder="1" applyAlignment="1"/>
    <xf numFmtId="0" fontId="25" fillId="7" borderId="35" xfId="1" applyFont="1" applyFill="1" applyBorder="1" applyAlignment="1">
      <alignment horizontal="left"/>
    </xf>
    <xf numFmtId="3" fontId="25" fillId="7" borderId="36" xfId="1" applyNumberFormat="1" applyFont="1" applyFill="1" applyBorder="1" applyAlignment="1">
      <alignment horizontal="right"/>
    </xf>
    <xf numFmtId="3" fontId="25" fillId="7" borderId="35" xfId="1" applyNumberFormat="1" applyFont="1" applyFill="1" applyBorder="1" applyAlignment="1">
      <alignment horizontal="right"/>
    </xf>
    <xf numFmtId="164" fontId="25" fillId="7" borderId="37" xfId="2" applyNumberFormat="1" applyFont="1" applyFill="1" applyBorder="1" applyAlignment="1">
      <alignment horizontal="right"/>
    </xf>
    <xf numFmtId="9" fontId="25" fillId="7" borderId="37" xfId="3" applyFont="1" applyFill="1" applyBorder="1" applyAlignment="1">
      <alignment horizontal="center"/>
    </xf>
    <xf numFmtId="164" fontId="15" fillId="0" borderId="0" xfId="2" applyNumberFormat="1" applyFont="1" applyFill="1"/>
    <xf numFmtId="164" fontId="10" fillId="0" borderId="0" xfId="2" applyNumberFormat="1" applyFont="1" applyFill="1"/>
    <xf numFmtId="49" fontId="26" fillId="0" borderId="0" xfId="1" applyNumberFormat="1" applyFont="1"/>
    <xf numFmtId="0" fontId="27" fillId="0" borderId="34" xfId="1" applyFont="1" applyBorder="1" applyAlignment="1">
      <alignment horizontal="left"/>
    </xf>
    <xf numFmtId="3" fontId="27" fillId="0" borderId="34" xfId="1" applyNumberFormat="1" applyFont="1" applyBorder="1" applyAlignment="1">
      <alignment horizontal="right"/>
    </xf>
    <xf numFmtId="3" fontId="27" fillId="0" borderId="11" xfId="1" applyNumberFormat="1" applyFont="1" applyBorder="1" applyAlignment="1">
      <alignment horizontal="right"/>
    </xf>
    <xf numFmtId="3" fontId="27" fillId="0" borderId="38" xfId="1" applyNumberFormat="1" applyFont="1" applyBorder="1" applyAlignment="1">
      <alignment horizontal="right"/>
    </xf>
    <xf numFmtId="164" fontId="27" fillId="0" borderId="33" xfId="2" applyNumberFormat="1" applyFont="1" applyBorder="1" applyAlignment="1">
      <alignment horizontal="right"/>
    </xf>
    <xf numFmtId="9" fontId="27" fillId="0" borderId="33" xfId="3" applyFont="1" applyBorder="1" applyAlignment="1">
      <alignment horizontal="center"/>
    </xf>
    <xf numFmtId="3" fontId="10" fillId="0" borderId="0" xfId="1" applyNumberFormat="1" applyFont="1"/>
    <xf numFmtId="3" fontId="27" fillId="0" borderId="39" xfId="1" applyNumberFormat="1" applyFont="1" applyBorder="1" applyAlignment="1">
      <alignment horizontal="right"/>
    </xf>
    <xf numFmtId="0" fontId="25" fillId="7" borderId="34" xfId="1" applyFont="1" applyFill="1" applyBorder="1" applyAlignment="1">
      <alignment horizontal="left"/>
    </xf>
    <xf numFmtId="3" fontId="27" fillId="0" borderId="33" xfId="1" applyNumberFormat="1" applyFont="1" applyBorder="1" applyAlignment="1">
      <alignment horizontal="right"/>
    </xf>
    <xf numFmtId="3" fontId="27" fillId="0" borderId="0" xfId="1" applyNumberFormat="1" applyFont="1" applyAlignment="1">
      <alignment horizontal="right"/>
    </xf>
    <xf numFmtId="3" fontId="27" fillId="0" borderId="40" xfId="1" applyNumberFormat="1" applyFont="1" applyBorder="1" applyAlignment="1">
      <alignment horizontal="right"/>
    </xf>
    <xf numFmtId="3" fontId="25" fillId="7" borderId="41" xfId="1" applyNumberFormat="1" applyFont="1" applyFill="1" applyBorder="1" applyAlignment="1">
      <alignment horizontal="right"/>
    </xf>
    <xf numFmtId="3" fontId="25" fillId="7" borderId="42" xfId="1" applyNumberFormat="1" applyFont="1" applyFill="1" applyBorder="1" applyAlignment="1">
      <alignment horizontal="right"/>
    </xf>
    <xf numFmtId="3" fontId="25" fillId="7" borderId="37" xfId="1" applyNumberFormat="1" applyFont="1" applyFill="1" applyBorder="1" applyAlignment="1">
      <alignment horizontal="right"/>
    </xf>
    <xf numFmtId="167" fontId="25" fillId="8" borderId="33" xfId="3" applyNumberFormat="1" applyFont="1" applyFill="1" applyBorder="1" applyAlignment="1">
      <alignment horizontal="center"/>
    </xf>
    <xf numFmtId="3" fontId="25" fillId="7" borderId="34" xfId="1" applyNumberFormat="1" applyFont="1" applyFill="1" applyBorder="1" applyAlignment="1">
      <alignment horizontal="right"/>
    </xf>
    <xf numFmtId="3" fontId="25" fillId="7" borderId="11" xfId="1" applyNumberFormat="1" applyFont="1" applyFill="1" applyBorder="1" applyAlignment="1">
      <alignment horizontal="right"/>
    </xf>
    <xf numFmtId="3" fontId="25" fillId="7" borderId="43" xfId="1" applyNumberFormat="1" applyFont="1" applyFill="1" applyBorder="1" applyAlignment="1">
      <alignment horizontal="right"/>
    </xf>
    <xf numFmtId="3" fontId="25" fillId="7" borderId="44" xfId="1" applyNumberFormat="1" applyFont="1" applyFill="1" applyBorder="1" applyAlignment="1">
      <alignment horizontal="right"/>
    </xf>
    <xf numFmtId="3" fontId="25" fillId="7" borderId="33" xfId="1" applyNumberFormat="1" applyFont="1" applyFill="1" applyBorder="1" applyAlignment="1">
      <alignment horizontal="right"/>
    </xf>
    <xf numFmtId="9" fontId="25" fillId="7" borderId="33" xfId="3" applyFont="1" applyFill="1" applyBorder="1" applyAlignment="1">
      <alignment horizontal="center"/>
    </xf>
    <xf numFmtId="164" fontId="25" fillId="7" borderId="33" xfId="2" applyNumberFormat="1" applyFont="1" applyFill="1" applyBorder="1" applyAlignment="1">
      <alignment horizontal="right"/>
    </xf>
    <xf numFmtId="0" fontId="25" fillId="7" borderId="45" xfId="1" applyFont="1" applyFill="1" applyBorder="1" applyAlignment="1">
      <alignment horizontal="left"/>
    </xf>
    <xf numFmtId="3" fontId="25" fillId="8" borderId="17" xfId="1" applyNumberFormat="1" applyFont="1" applyFill="1" applyBorder="1" applyAlignment="1">
      <alignment horizontal="right"/>
    </xf>
    <xf numFmtId="9" fontId="25" fillId="8" borderId="22" xfId="3" applyFont="1" applyFill="1" applyBorder="1" applyAlignment="1">
      <alignment horizontal="center"/>
    </xf>
    <xf numFmtId="9" fontId="25" fillId="8" borderId="46" xfId="3" applyFont="1" applyFill="1" applyBorder="1" applyAlignment="1">
      <alignment horizontal="center"/>
    </xf>
    <xf numFmtId="9" fontId="25" fillId="8" borderId="45" xfId="3" applyFont="1" applyFill="1" applyBorder="1" applyAlignment="1">
      <alignment horizontal="center"/>
    </xf>
    <xf numFmtId="9" fontId="25" fillId="8" borderId="22" xfId="3" applyFont="1" applyFill="1" applyBorder="1" applyAlignment="1">
      <alignment horizontal="right"/>
    </xf>
    <xf numFmtId="3" fontId="27" fillId="0" borderId="44" xfId="1" applyNumberFormat="1" applyFont="1" applyBorder="1" applyAlignment="1">
      <alignment horizontal="right"/>
    </xf>
    <xf numFmtId="49" fontId="29" fillId="0" borderId="0" xfId="4" applyNumberFormat="1" applyFont="1"/>
    <xf numFmtId="0" fontId="25" fillId="0" borderId="34" xfId="1" applyFont="1" applyBorder="1" applyAlignment="1">
      <alignment horizontal="left"/>
    </xf>
    <xf numFmtId="9" fontId="25" fillId="0" borderId="33" xfId="3" applyFont="1" applyFill="1" applyBorder="1" applyAlignment="1">
      <alignment horizontal="center"/>
    </xf>
    <xf numFmtId="3" fontId="25" fillId="0" borderId="0" xfId="1" applyNumberFormat="1" applyFont="1" applyAlignment="1">
      <alignment horizontal="right"/>
    </xf>
    <xf numFmtId="9" fontId="25" fillId="0" borderId="0" xfId="3" applyFont="1" applyFill="1" applyBorder="1" applyAlignment="1">
      <alignment horizontal="center"/>
    </xf>
    <xf numFmtId="9" fontId="25" fillId="0" borderId="34" xfId="3" applyFont="1" applyFill="1" applyBorder="1" applyAlignment="1">
      <alignment horizontal="center"/>
    </xf>
    <xf numFmtId="3" fontId="25" fillId="0" borderId="11" xfId="1" applyNumberFormat="1" applyFont="1" applyBorder="1" applyAlignment="1">
      <alignment horizontal="right"/>
    </xf>
    <xf numFmtId="9" fontId="25" fillId="0" borderId="33" xfId="3" applyFont="1" applyFill="1" applyBorder="1" applyAlignment="1">
      <alignment horizontal="right"/>
    </xf>
    <xf numFmtId="0" fontId="25" fillId="7" borderId="47" xfId="1" applyFont="1" applyFill="1" applyBorder="1" applyAlignment="1">
      <alignment horizontal="left"/>
    </xf>
    <xf numFmtId="3" fontId="25" fillId="8" borderId="23" xfId="1" applyNumberFormat="1" applyFont="1" applyFill="1" applyBorder="1" applyAlignment="1">
      <alignment horizontal="right"/>
    </xf>
    <xf numFmtId="9" fontId="25" fillId="8" borderId="29" xfId="3" applyFont="1" applyFill="1" applyBorder="1" applyAlignment="1">
      <alignment horizontal="center"/>
    </xf>
    <xf numFmtId="9" fontId="25" fillId="8" borderId="27" xfId="3" applyFont="1" applyFill="1" applyBorder="1" applyAlignment="1">
      <alignment horizontal="center"/>
    </xf>
    <xf numFmtId="9" fontId="25" fillId="8" borderId="47" xfId="3" applyFont="1" applyFill="1" applyBorder="1" applyAlignment="1">
      <alignment horizontal="center"/>
    </xf>
    <xf numFmtId="9" fontId="25" fillId="7" borderId="47" xfId="3" applyFont="1" applyFill="1" applyBorder="1" applyAlignment="1">
      <alignment horizontal="center"/>
    </xf>
    <xf numFmtId="9" fontId="25" fillId="8" borderId="29" xfId="3" applyFont="1" applyFill="1" applyBorder="1" applyAlignment="1">
      <alignment horizontal="right"/>
    </xf>
    <xf numFmtId="9" fontId="27" fillId="0" borderId="33" xfId="3" applyFont="1" applyFill="1" applyBorder="1" applyAlignment="1">
      <alignment horizontal="center"/>
    </xf>
    <xf numFmtId="9" fontId="27" fillId="0" borderId="0" xfId="3" applyFont="1" applyFill="1" applyBorder="1" applyAlignment="1">
      <alignment horizontal="center"/>
    </xf>
    <xf numFmtId="9" fontId="27" fillId="0" borderId="34" xfId="3" applyFont="1" applyFill="1" applyBorder="1" applyAlignment="1">
      <alignment horizontal="center"/>
    </xf>
    <xf numFmtId="9" fontId="27" fillId="0" borderId="33" xfId="3" applyFont="1" applyFill="1" applyBorder="1" applyAlignment="1">
      <alignment horizontal="right"/>
    </xf>
    <xf numFmtId="3" fontId="25" fillId="7" borderId="48" xfId="1" applyNumberFormat="1" applyFont="1" applyFill="1" applyBorder="1" applyAlignment="1">
      <alignment horizontal="right"/>
    </xf>
    <xf numFmtId="3" fontId="25" fillId="7" borderId="49" xfId="1" applyNumberFormat="1" applyFont="1" applyFill="1" applyBorder="1" applyAlignment="1">
      <alignment horizontal="right"/>
    </xf>
    <xf numFmtId="3" fontId="25" fillId="7" borderId="50" xfId="1" applyNumberFormat="1" applyFont="1" applyFill="1" applyBorder="1" applyAlignment="1">
      <alignment horizontal="right"/>
    </xf>
    <xf numFmtId="9" fontId="30" fillId="0" borderId="34" xfId="3" applyFont="1" applyFill="1" applyBorder="1" applyAlignment="1">
      <alignment horizontal="center"/>
    </xf>
    <xf numFmtId="0" fontId="15" fillId="2" borderId="0" xfId="1" applyFont="1" applyFill="1" applyAlignment="1">
      <alignment horizontal="center"/>
    </xf>
    <xf numFmtId="164" fontId="15" fillId="0" borderId="0" xfId="2" applyNumberFormat="1" applyFont="1" applyFill="1" applyAlignment="1">
      <alignment horizontal="center"/>
    </xf>
    <xf numFmtId="3" fontId="15" fillId="0" borderId="0" xfId="1" applyNumberFormat="1" applyFont="1" applyAlignment="1">
      <alignment horizontal="center"/>
    </xf>
    <xf numFmtId="0" fontId="10" fillId="2" borderId="0" xfId="1" applyFont="1" applyFill="1" applyAlignment="1">
      <alignment horizontal="center"/>
    </xf>
    <xf numFmtId="0" fontId="10" fillId="2" borderId="0" xfId="1" applyFont="1" applyFill="1"/>
    <xf numFmtId="0" fontId="15" fillId="2" borderId="0" xfId="1" applyFont="1" applyFill="1"/>
    <xf numFmtId="3" fontId="15" fillId="0" borderId="0" xfId="1" applyNumberFormat="1" applyFont="1"/>
    <xf numFmtId="3" fontId="25" fillId="8" borderId="36" xfId="1" applyNumberFormat="1" applyFont="1" applyFill="1" applyBorder="1" applyAlignment="1">
      <alignment horizontal="right"/>
    </xf>
    <xf numFmtId="9" fontId="25" fillId="8" borderId="37" xfId="3" applyFont="1" applyFill="1" applyBorder="1" applyAlignment="1">
      <alignment horizontal="center"/>
    </xf>
    <xf numFmtId="9" fontId="25" fillId="8" borderId="51" xfId="3" applyFont="1" applyFill="1" applyBorder="1" applyAlignment="1">
      <alignment horizontal="center"/>
    </xf>
    <xf numFmtId="9" fontId="25" fillId="8" borderId="35" xfId="3" applyFont="1" applyFill="1" applyBorder="1" applyAlignment="1">
      <alignment horizontal="center"/>
    </xf>
    <xf numFmtId="9" fontId="25" fillId="7" borderId="51" xfId="3" applyFont="1" applyFill="1" applyBorder="1" applyAlignment="1">
      <alignment horizontal="center"/>
    </xf>
    <xf numFmtId="9" fontId="25" fillId="7" borderId="35" xfId="3" applyFont="1" applyFill="1" applyBorder="1" applyAlignment="1">
      <alignment horizontal="center"/>
    </xf>
    <xf numFmtId="9" fontId="25" fillId="8" borderId="37" xfId="3" applyFont="1" applyFill="1" applyBorder="1" applyAlignment="1">
      <alignment horizontal="right"/>
    </xf>
    <xf numFmtId="9" fontId="27" fillId="0" borderId="34" xfId="3" applyFont="1" applyBorder="1" applyAlignment="1">
      <alignment horizontal="center"/>
    </xf>
    <xf numFmtId="3" fontId="5" fillId="0" borderId="0" xfId="1" applyNumberFormat="1"/>
    <xf numFmtId="3" fontId="5" fillId="0" borderId="0" xfId="1" applyNumberFormat="1" applyAlignment="1">
      <alignment horizontal="center"/>
    </xf>
    <xf numFmtId="49" fontId="1" fillId="2" borderId="0" xfId="1" applyNumberFormat="1" applyFont="1" applyFill="1"/>
    <xf numFmtId="3" fontId="1" fillId="2" borderId="0" xfId="1" applyNumberFormat="1" applyFont="1" applyFill="1"/>
    <xf numFmtId="0" fontId="25" fillId="0" borderId="47" xfId="1" applyFont="1" applyBorder="1" applyAlignment="1">
      <alignment horizontal="left"/>
    </xf>
    <xf numFmtId="3" fontId="25" fillId="0" borderId="23" xfId="1" applyNumberFormat="1" applyFont="1" applyBorder="1" applyAlignment="1">
      <alignment horizontal="right"/>
    </xf>
    <xf numFmtId="9" fontId="25" fillId="0" borderId="29" xfId="3" applyFont="1" applyFill="1" applyBorder="1" applyAlignment="1">
      <alignment horizontal="center"/>
    </xf>
    <xf numFmtId="9" fontId="25" fillId="0" borderId="27" xfId="3" applyFont="1" applyFill="1" applyBorder="1" applyAlignment="1">
      <alignment horizontal="center"/>
    </xf>
    <xf numFmtId="9" fontId="25" fillId="0" borderId="47" xfId="3" applyFont="1" applyFill="1" applyBorder="1" applyAlignment="1">
      <alignment horizontal="center"/>
    </xf>
    <xf numFmtId="3" fontId="25" fillId="0" borderId="36" xfId="1" applyNumberFormat="1" applyFont="1" applyBorder="1" applyAlignment="1">
      <alignment horizontal="right"/>
    </xf>
    <xf numFmtId="9" fontId="25" fillId="0" borderId="27" xfId="3" applyFont="1" applyBorder="1" applyAlignment="1">
      <alignment horizontal="center"/>
    </xf>
    <xf numFmtId="9" fontId="25" fillId="0" borderId="47" xfId="3" applyFont="1" applyBorder="1" applyAlignment="1">
      <alignment horizontal="center"/>
    </xf>
    <xf numFmtId="9" fontId="25" fillId="0" borderId="29" xfId="3" applyFont="1" applyFill="1" applyBorder="1" applyAlignment="1">
      <alignment horizontal="right"/>
    </xf>
    <xf numFmtId="0" fontId="4" fillId="0" borderId="0" xfId="1" applyFont="1"/>
    <xf numFmtId="0" fontId="4" fillId="2" borderId="0" xfId="1" applyFont="1" applyFill="1"/>
    <xf numFmtId="0" fontId="31" fillId="0" borderId="17" xfId="1" applyFont="1" applyBorder="1" applyAlignment="1">
      <alignment horizontal="left"/>
    </xf>
    <xf numFmtId="3" fontId="31" fillId="0" borderId="0" xfId="1" applyNumberFormat="1" applyFont="1" applyAlignment="1">
      <alignment horizontal="right"/>
    </xf>
    <xf numFmtId="3" fontId="32" fillId="0" borderId="0" xfId="1" applyNumberFormat="1" applyFont="1" applyAlignment="1">
      <alignment horizontal="right"/>
    </xf>
    <xf numFmtId="0" fontId="10" fillId="0" borderId="0" xfId="1" applyFont="1" applyAlignment="1">
      <alignment horizontal="center"/>
    </xf>
    <xf numFmtId="0" fontId="10" fillId="0" borderId="46" xfId="1" applyFont="1" applyBorder="1"/>
    <xf numFmtId="164" fontId="7" fillId="2" borderId="0" xfId="2" applyNumberFormat="1" applyFont="1" applyFill="1" applyBorder="1" applyAlignment="1"/>
    <xf numFmtId="3" fontId="33" fillId="0" borderId="0" xfId="1" applyNumberFormat="1" applyFont="1" applyAlignment="1">
      <alignment horizontal="right"/>
    </xf>
    <xf numFmtId="3" fontId="34" fillId="0" borderId="0" xfId="1" applyNumberFormat="1" applyFont="1" applyAlignment="1">
      <alignment horizontal="right"/>
    </xf>
    <xf numFmtId="164" fontId="7" fillId="2" borderId="0" xfId="2" applyNumberFormat="1" applyFont="1" applyFill="1"/>
    <xf numFmtId="3" fontId="35" fillId="0" borderId="0" xfId="1" applyNumberFormat="1" applyFont="1" applyAlignment="1">
      <alignment horizontal="right"/>
    </xf>
    <xf numFmtId="164" fontId="7" fillId="0" borderId="0" xfId="2" applyNumberFormat="1" applyFont="1" applyFill="1"/>
    <xf numFmtId="0" fontId="2" fillId="0" borderId="0" xfId="1" applyFont="1"/>
    <xf numFmtId="0" fontId="2" fillId="2" borderId="0" xfId="1" applyFont="1" applyFill="1"/>
    <xf numFmtId="0" fontId="7" fillId="0" borderId="0" xfId="1" applyFont="1"/>
    <xf numFmtId="0" fontId="9" fillId="0" borderId="0" xfId="1" applyFont="1"/>
    <xf numFmtId="164" fontId="0" fillId="0" borderId="0" xfId="2" applyNumberFormat="1" applyFont="1"/>
    <xf numFmtId="0" fontId="7" fillId="2" borderId="0" xfId="1" applyFont="1" applyFill="1" applyAlignment="1">
      <alignment horizontal="center" wrapText="1"/>
    </xf>
    <xf numFmtId="0" fontId="5" fillId="2" borderId="0" xfId="1" applyFill="1"/>
    <xf numFmtId="17" fontId="17" fillId="5" borderId="2" xfId="1" applyNumberFormat="1" applyFont="1" applyFill="1" applyBorder="1" applyAlignment="1">
      <alignment horizontal="center"/>
    </xf>
    <xf numFmtId="0" fontId="5" fillId="0" borderId="4" xfId="1" applyBorder="1"/>
    <xf numFmtId="0" fontId="17" fillId="5" borderId="12" xfId="1" applyFont="1" applyFill="1" applyBorder="1" applyAlignment="1">
      <alignment horizontal="center"/>
    </xf>
    <xf numFmtId="0" fontId="17" fillId="5" borderId="52" xfId="1" applyFont="1" applyFill="1" applyBorder="1" applyAlignment="1">
      <alignment horizontal="center"/>
    </xf>
    <xf numFmtId="0" fontId="17" fillId="5" borderId="27" xfId="1" applyFont="1" applyFill="1" applyBorder="1" applyAlignment="1">
      <alignment horizontal="center"/>
    </xf>
    <xf numFmtId="49" fontId="5" fillId="2" borderId="0" xfId="1" applyNumberFormat="1" applyFill="1"/>
    <xf numFmtId="164" fontId="10" fillId="2" borderId="0" xfId="2" applyNumberFormat="1" applyFont="1" applyFill="1"/>
    <xf numFmtId="164" fontId="9" fillId="0" borderId="0" xfId="2" applyNumberFormat="1" applyFont="1" applyFill="1"/>
    <xf numFmtId="3" fontId="38" fillId="0" borderId="11" xfId="1" applyNumberFormat="1" applyFont="1" applyBorder="1" applyAlignment="1">
      <alignment horizontal="right"/>
    </xf>
    <xf numFmtId="0" fontId="11" fillId="2" borderId="0" xfId="1" applyFont="1" applyFill="1"/>
    <xf numFmtId="0" fontId="14" fillId="0" borderId="0" xfId="1" applyFont="1"/>
    <xf numFmtId="3" fontId="10" fillId="2" borderId="0" xfId="1" applyNumberFormat="1" applyFont="1" applyFill="1"/>
    <xf numFmtId="164" fontId="39" fillId="0" borderId="0" xfId="2" applyNumberFormat="1" applyFont="1" applyFill="1" applyAlignment="1">
      <alignment horizontal="center" wrapText="1"/>
    </xf>
    <xf numFmtId="0" fontId="5" fillId="9" borderId="0" xfId="1" applyFill="1"/>
    <xf numFmtId="164" fontId="39" fillId="0" borderId="0" xfId="2" applyNumberFormat="1" applyFont="1" applyFill="1"/>
    <xf numFmtId="164" fontId="39" fillId="0" borderId="0" xfId="2" applyNumberFormat="1" applyFont="1" applyFill="1" applyBorder="1"/>
    <xf numFmtId="164" fontId="40" fillId="0" borderId="0" xfId="2" applyNumberFormat="1" applyFont="1" applyFill="1" applyAlignment="1">
      <alignment horizontal="center"/>
    </xf>
    <xf numFmtId="164" fontId="39" fillId="0" borderId="0" xfId="2" applyNumberFormat="1" applyFont="1" applyFill="1" applyBorder="1" applyAlignment="1"/>
    <xf numFmtId="164" fontId="41" fillId="0" borderId="0" xfId="2" applyNumberFormat="1" applyFont="1" applyFill="1" applyBorder="1" applyAlignment="1">
      <alignment horizontal="center"/>
    </xf>
    <xf numFmtId="0" fontId="10" fillId="6" borderId="6" xfId="1" applyFont="1" applyFill="1" applyBorder="1" applyAlignment="1">
      <alignment horizontal="center"/>
    </xf>
    <xf numFmtId="0" fontId="10" fillId="6" borderId="7" xfId="1" applyFont="1" applyFill="1" applyBorder="1" applyAlignment="1">
      <alignment horizontal="center"/>
    </xf>
    <xf numFmtId="0" fontId="10" fillId="6" borderId="53" xfId="1" applyFont="1" applyFill="1" applyBorder="1" applyAlignment="1">
      <alignment horizontal="center"/>
    </xf>
    <xf numFmtId="0" fontId="10" fillId="6" borderId="54" xfId="1" applyFont="1" applyFill="1" applyBorder="1" applyAlignment="1">
      <alignment horizontal="center"/>
    </xf>
    <xf numFmtId="0" fontId="10" fillId="6" borderId="55" xfId="1" applyFont="1" applyFill="1" applyBorder="1" applyAlignment="1">
      <alignment horizontal="center"/>
    </xf>
    <xf numFmtId="0" fontId="5" fillId="0" borderId="52" xfId="1" applyBorder="1" applyAlignment="1">
      <alignment horizontal="center"/>
    </xf>
    <xf numFmtId="164" fontId="42" fillId="0" borderId="33" xfId="2" applyNumberFormat="1" applyFont="1" applyFill="1" applyBorder="1" applyAlignment="1">
      <alignment horizontal="center" wrapText="1"/>
    </xf>
    <xf numFmtId="0" fontId="43" fillId="5" borderId="17" xfId="1" applyFont="1" applyFill="1" applyBorder="1" applyAlignment="1">
      <alignment horizontal="left"/>
    </xf>
    <xf numFmtId="0" fontId="21" fillId="5" borderId="33" xfId="1" applyFont="1" applyFill="1" applyBorder="1" applyAlignment="1">
      <alignment horizontal="center"/>
    </xf>
    <xf numFmtId="0" fontId="21" fillId="5" borderId="0" xfId="1" applyFont="1" applyFill="1" applyAlignment="1">
      <alignment horizontal="center"/>
    </xf>
    <xf numFmtId="0" fontId="21" fillId="5" borderId="56" xfId="1" applyFont="1" applyFill="1" applyBorder="1" applyAlignment="1">
      <alignment horizontal="center"/>
    </xf>
    <xf numFmtId="0" fontId="21" fillId="5" borderId="57" xfId="1" applyFont="1" applyFill="1" applyBorder="1" applyAlignment="1">
      <alignment horizontal="center"/>
    </xf>
    <xf numFmtId="164" fontId="44" fillId="0" borderId="33" xfId="2" applyNumberFormat="1" applyFont="1" applyFill="1" applyBorder="1" applyAlignment="1">
      <alignment horizontal="center"/>
    </xf>
    <xf numFmtId="164" fontId="44" fillId="0" borderId="0" xfId="2" applyNumberFormat="1" applyFont="1" applyFill="1" applyBorder="1" applyAlignment="1">
      <alignment horizontal="center"/>
    </xf>
    <xf numFmtId="9" fontId="25" fillId="8" borderId="0" xfId="3" applyFont="1" applyFill="1" applyBorder="1" applyAlignment="1">
      <alignment horizontal="right"/>
    </xf>
    <xf numFmtId="9" fontId="39" fillId="0" borderId="0" xfId="3" applyFont="1" applyFill="1" applyBorder="1" applyAlignment="1"/>
    <xf numFmtId="3" fontId="25" fillId="7" borderId="58" xfId="1" applyNumberFormat="1" applyFont="1" applyFill="1" applyBorder="1" applyAlignment="1">
      <alignment horizontal="right"/>
    </xf>
    <xf numFmtId="3" fontId="27" fillId="0" borderId="59" xfId="1" applyNumberFormat="1" applyFont="1" applyBorder="1" applyAlignment="1">
      <alignment horizontal="right"/>
    </xf>
    <xf numFmtId="0" fontId="5" fillId="4" borderId="60" xfId="1" applyFill="1" applyBorder="1"/>
    <xf numFmtId="164" fontId="0" fillId="0" borderId="0" xfId="2" applyNumberFormat="1" applyFont="1" applyFill="1"/>
    <xf numFmtId="3" fontId="25" fillId="7" borderId="59" xfId="1" applyNumberFormat="1" applyFont="1" applyFill="1" applyBorder="1" applyAlignment="1">
      <alignment horizontal="right"/>
    </xf>
    <xf numFmtId="3" fontId="25" fillId="7" borderId="40" xfId="1" applyNumberFormat="1" applyFont="1" applyFill="1" applyBorder="1" applyAlignment="1">
      <alignment horizontal="right"/>
    </xf>
    <xf numFmtId="167" fontId="25" fillId="7" borderId="47" xfId="1" applyNumberFormat="1" applyFont="1" applyFill="1" applyBorder="1" applyAlignment="1">
      <alignment horizontal="left"/>
    </xf>
    <xf numFmtId="43" fontId="15" fillId="0" borderId="0" xfId="1" applyNumberFormat="1" applyFont="1"/>
    <xf numFmtId="164" fontId="45" fillId="0" borderId="0" xfId="2" applyNumberFormat="1" applyFont="1" applyFill="1" applyBorder="1" applyAlignment="1"/>
    <xf numFmtId="0" fontId="38" fillId="0" borderId="0" xfId="1" applyFont="1" applyAlignment="1">
      <alignment horizontal="left"/>
    </xf>
    <xf numFmtId="9" fontId="25" fillId="8" borderId="51" xfId="3" applyFont="1" applyFill="1" applyBorder="1" applyAlignment="1">
      <alignment horizontal="right"/>
    </xf>
    <xf numFmtId="3" fontId="14" fillId="0" borderId="0" xfId="1" applyNumberFormat="1" applyFont="1"/>
    <xf numFmtId="164" fontId="10" fillId="0" borderId="0" xfId="2" applyNumberFormat="1" applyFont="1" applyFill="1" applyBorder="1" applyAlignment="1"/>
    <xf numFmtId="3" fontId="46" fillId="0" borderId="0" xfId="1" applyNumberFormat="1" applyFont="1" applyAlignment="1">
      <alignment horizontal="right"/>
    </xf>
    <xf numFmtId="164" fontId="10" fillId="0" borderId="0" xfId="2" applyNumberFormat="1" applyFont="1" applyFill="1" applyBorder="1"/>
    <xf numFmtId="164" fontId="10" fillId="0" borderId="0" xfId="2" applyNumberFormat="1" applyFont="1"/>
    <xf numFmtId="0" fontId="13" fillId="0" borderId="0" xfId="1" applyFont="1" applyAlignment="1">
      <alignment horizontal="center"/>
    </xf>
    <xf numFmtId="168" fontId="5" fillId="0" borderId="0" xfId="1" applyNumberFormat="1"/>
    <xf numFmtId="169" fontId="48" fillId="3" borderId="61" xfId="5" applyNumberFormat="1" applyFont="1" applyFill="1" applyBorder="1" applyAlignment="1">
      <alignment horizontal="right" vertical="center" wrapText="1"/>
    </xf>
    <xf numFmtId="43" fontId="5" fillId="0" borderId="0" xfId="1" applyNumberFormat="1"/>
    <xf numFmtId="170" fontId="0" fillId="0" borderId="0" xfId="3" applyNumberFormat="1" applyFont="1"/>
    <xf numFmtId="0" fontId="10" fillId="9" borderId="62" xfId="1" applyFont="1" applyFill="1" applyBorder="1" applyAlignment="1">
      <alignment horizontal="center"/>
    </xf>
    <xf numFmtId="0" fontId="10" fillId="9" borderId="63" xfId="1" applyFont="1" applyFill="1" applyBorder="1" applyAlignment="1">
      <alignment horizontal="center"/>
    </xf>
    <xf numFmtId="0" fontId="10" fillId="9" borderId="64" xfId="1" applyFont="1" applyFill="1" applyBorder="1" applyAlignment="1">
      <alignment horizontal="center"/>
    </xf>
    <xf numFmtId="43" fontId="0" fillId="2" borderId="0" xfId="2" applyFont="1" applyFill="1"/>
    <xf numFmtId="0" fontId="17" fillId="0" borderId="33" xfId="1" applyFont="1" applyBorder="1" applyAlignment="1">
      <alignment horizontal="center" wrapText="1"/>
    </xf>
    <xf numFmtId="0" fontId="5" fillId="5" borderId="22" xfId="1" applyFill="1" applyBorder="1" applyAlignment="1">
      <alignment horizontal="centerContinuous" wrapText="1"/>
    </xf>
    <xf numFmtId="0" fontId="21" fillId="5" borderId="65" xfId="1" applyFont="1" applyFill="1" applyBorder="1" applyAlignment="1">
      <alignment horizontal="center"/>
    </xf>
    <xf numFmtId="0" fontId="21" fillId="5" borderId="66" xfId="1" applyFont="1" applyFill="1" applyBorder="1" applyAlignment="1">
      <alignment horizontal="center"/>
    </xf>
    <xf numFmtId="43" fontId="0" fillId="0" borderId="0" xfId="2" applyFont="1"/>
    <xf numFmtId="0" fontId="17" fillId="5" borderId="19" xfId="1" applyFont="1" applyFill="1" applyBorder="1" applyAlignment="1">
      <alignment horizontal="center"/>
    </xf>
    <xf numFmtId="0" fontId="24" fillId="5" borderId="67" xfId="1" applyFont="1" applyFill="1" applyBorder="1" applyAlignment="1">
      <alignment horizontal="center"/>
    </xf>
    <xf numFmtId="0" fontId="24" fillId="0" borderId="33" xfId="1" applyFont="1" applyBorder="1" applyAlignment="1">
      <alignment horizontal="center"/>
    </xf>
    <xf numFmtId="164" fontId="24" fillId="5" borderId="68" xfId="2" applyNumberFormat="1" applyFont="1" applyFill="1" applyBorder="1" applyAlignment="1">
      <alignment horizontal="center"/>
    </xf>
    <xf numFmtId="164" fontId="24" fillId="0" borderId="0" xfId="2" applyNumberFormat="1" applyFont="1" applyFill="1" applyBorder="1" applyAlignment="1">
      <alignment horizontal="center"/>
    </xf>
    <xf numFmtId="0" fontId="21" fillId="10" borderId="69" xfId="1" applyFont="1" applyFill="1" applyBorder="1" applyAlignment="1">
      <alignment horizontal="center"/>
    </xf>
    <xf numFmtId="0" fontId="21" fillId="10" borderId="27" xfId="1" applyFont="1" applyFill="1" applyBorder="1" applyAlignment="1">
      <alignment horizontal="center"/>
    </xf>
    <xf numFmtId="0" fontId="21" fillId="10" borderId="70" xfId="1" applyFont="1" applyFill="1" applyBorder="1" applyAlignment="1">
      <alignment horizontal="center"/>
    </xf>
    <xf numFmtId="0" fontId="25" fillId="7" borderId="0" xfId="1" applyFont="1" applyFill="1" applyAlignment="1">
      <alignment horizontal="left"/>
    </xf>
    <xf numFmtId="164" fontId="49" fillId="0" borderId="0" xfId="2" applyNumberFormat="1" applyFont="1" applyFill="1" applyBorder="1" applyAlignment="1">
      <alignment horizontal="center"/>
    </xf>
    <xf numFmtId="3" fontId="25" fillId="7" borderId="51" xfId="1" applyNumberFormat="1" applyFont="1" applyFill="1" applyBorder="1" applyAlignment="1">
      <alignment horizontal="right"/>
    </xf>
    <xf numFmtId="3" fontId="25" fillId="7" borderId="71" xfId="1" applyNumberFormat="1" applyFont="1" applyFill="1" applyBorder="1" applyAlignment="1">
      <alignment horizontal="right"/>
    </xf>
    <xf numFmtId="3" fontId="25" fillId="7" borderId="72" xfId="1" applyNumberFormat="1" applyFont="1" applyFill="1" applyBorder="1" applyAlignment="1">
      <alignment horizontal="right"/>
    </xf>
    <xf numFmtId="164" fontId="49" fillId="0" borderId="0" xfId="2" applyNumberFormat="1" applyFont="1" applyFill="1" applyBorder="1" applyAlignment="1">
      <alignment horizontal="right"/>
    </xf>
    <xf numFmtId="3" fontId="27" fillId="0" borderId="73" xfId="1" applyNumberFormat="1" applyFont="1" applyBorder="1" applyAlignment="1">
      <alignment horizontal="right"/>
    </xf>
    <xf numFmtId="3" fontId="27" fillId="0" borderId="66" xfId="1" applyNumberFormat="1" applyFont="1" applyBorder="1" applyAlignment="1">
      <alignment horizontal="right"/>
    </xf>
    <xf numFmtId="9" fontId="25" fillId="0" borderId="33" xfId="3" applyFont="1" applyBorder="1" applyAlignment="1">
      <alignment horizontal="center"/>
    </xf>
    <xf numFmtId="9" fontId="25" fillId="7" borderId="29" xfId="3" applyFont="1" applyFill="1" applyBorder="1" applyAlignment="1">
      <alignment horizontal="center"/>
    </xf>
    <xf numFmtId="171" fontId="49" fillId="0" borderId="0" xfId="2" applyNumberFormat="1" applyFont="1" applyFill="1" applyBorder="1" applyAlignment="1">
      <alignment horizontal="right"/>
    </xf>
    <xf numFmtId="3" fontId="27" fillId="2" borderId="0" xfId="1" applyNumberFormat="1" applyFont="1" applyFill="1" applyAlignment="1">
      <alignment horizontal="right"/>
    </xf>
    <xf numFmtId="3" fontId="27" fillId="2" borderId="73" xfId="1" applyNumberFormat="1" applyFont="1" applyFill="1" applyBorder="1" applyAlignment="1">
      <alignment horizontal="right"/>
    </xf>
    <xf numFmtId="3" fontId="27" fillId="2" borderId="66" xfId="1" applyNumberFormat="1" applyFont="1" applyFill="1" applyBorder="1" applyAlignment="1">
      <alignment horizontal="right"/>
    </xf>
    <xf numFmtId="3" fontId="25" fillId="7" borderId="74" xfId="1" applyNumberFormat="1" applyFont="1" applyFill="1" applyBorder="1" applyAlignment="1">
      <alignment horizontal="right"/>
    </xf>
    <xf numFmtId="3" fontId="25" fillId="7" borderId="0" xfId="1" applyNumberFormat="1" applyFont="1" applyFill="1" applyAlignment="1">
      <alignment horizontal="right"/>
    </xf>
    <xf numFmtId="3" fontId="25" fillId="7" borderId="73" xfId="1" applyNumberFormat="1" applyFont="1" applyFill="1" applyBorder="1" applyAlignment="1">
      <alignment horizontal="right"/>
    </xf>
    <xf numFmtId="3" fontId="25" fillId="7" borderId="66" xfId="1" applyNumberFormat="1" applyFont="1" applyFill="1" applyBorder="1" applyAlignment="1">
      <alignment horizontal="right"/>
    </xf>
    <xf numFmtId="9" fontId="25" fillId="8" borderId="46" xfId="3" applyFont="1" applyFill="1" applyBorder="1" applyAlignment="1">
      <alignment horizontal="right"/>
    </xf>
    <xf numFmtId="3" fontId="27" fillId="0" borderId="75" xfId="1" applyNumberFormat="1" applyFont="1" applyBorder="1" applyAlignment="1">
      <alignment horizontal="right"/>
    </xf>
    <xf numFmtId="9" fontId="25" fillId="8" borderId="27" xfId="3" applyFont="1" applyFill="1" applyBorder="1" applyAlignment="1">
      <alignment horizontal="right"/>
    </xf>
    <xf numFmtId="164" fontId="50" fillId="0" borderId="0" xfId="2" applyNumberFormat="1" applyFont="1" applyFill="1" applyBorder="1" applyAlignment="1">
      <alignment horizontal="right"/>
    </xf>
    <xf numFmtId="172" fontId="25" fillId="0" borderId="0" xfId="6" applyFont="1" applyFill="1" applyBorder="1" applyAlignment="1">
      <alignment horizontal="center"/>
    </xf>
    <xf numFmtId="3" fontId="25" fillId="7" borderId="76" xfId="1" applyNumberFormat="1" applyFont="1" applyFill="1" applyBorder="1" applyAlignment="1">
      <alignment horizontal="right"/>
    </xf>
    <xf numFmtId="3" fontId="25" fillId="7" borderId="77" xfId="1" applyNumberFormat="1" applyFont="1" applyFill="1" applyBorder="1" applyAlignment="1">
      <alignment horizontal="right"/>
    </xf>
    <xf numFmtId="3" fontId="25" fillId="7" borderId="78" xfId="1" applyNumberFormat="1" applyFont="1" applyFill="1" applyBorder="1" applyAlignment="1">
      <alignment horizontal="right"/>
    </xf>
    <xf numFmtId="0" fontId="38" fillId="2" borderId="34" xfId="1" applyFont="1" applyFill="1" applyBorder="1" applyAlignment="1">
      <alignment horizontal="left"/>
    </xf>
    <xf numFmtId="3" fontId="38" fillId="2" borderId="11" xfId="1" applyNumberFormat="1" applyFont="1" applyFill="1" applyBorder="1" applyAlignment="1">
      <alignment horizontal="right"/>
    </xf>
    <xf numFmtId="9" fontId="38" fillId="2" borderId="33" xfId="3" applyFont="1" applyFill="1" applyBorder="1" applyAlignment="1">
      <alignment horizontal="center"/>
    </xf>
    <xf numFmtId="9" fontId="38" fillId="2" borderId="0" xfId="3" applyFont="1" applyFill="1" applyBorder="1" applyAlignment="1">
      <alignment horizontal="center"/>
    </xf>
    <xf numFmtId="9" fontId="38" fillId="2" borderId="34" xfId="3" applyFont="1" applyFill="1" applyBorder="1" applyAlignment="1">
      <alignment horizontal="center"/>
    </xf>
    <xf numFmtId="172" fontId="51" fillId="2" borderId="0" xfId="6" applyFont="1" applyFill="1" applyBorder="1" applyAlignment="1">
      <alignment horizontal="center"/>
    </xf>
    <xf numFmtId="9" fontId="51" fillId="2" borderId="37" xfId="3" applyFont="1" applyFill="1" applyBorder="1" applyAlignment="1">
      <alignment horizontal="center"/>
    </xf>
    <xf numFmtId="171" fontId="52" fillId="2" borderId="0" xfId="2" applyNumberFormat="1" applyFont="1" applyFill="1" applyBorder="1" applyAlignment="1">
      <alignment horizontal="right"/>
    </xf>
    <xf numFmtId="43" fontId="15" fillId="2" borderId="0" xfId="1" applyNumberFormat="1" applyFont="1" applyFill="1"/>
    <xf numFmtId="0" fontId="51" fillId="2" borderId="34" xfId="1" applyFont="1" applyFill="1" applyBorder="1" applyAlignment="1">
      <alignment horizontal="left"/>
    </xf>
    <xf numFmtId="3" fontId="51" fillId="2" borderId="11" xfId="1" applyNumberFormat="1" applyFont="1" applyFill="1" applyBorder="1" applyAlignment="1">
      <alignment horizontal="right"/>
    </xf>
    <xf numFmtId="9" fontId="51" fillId="2" borderId="33" xfId="3" applyFont="1" applyFill="1" applyBorder="1" applyAlignment="1">
      <alignment horizontal="center"/>
    </xf>
    <xf numFmtId="9" fontId="51" fillId="2" borderId="0" xfId="3" applyFont="1" applyFill="1" applyBorder="1" applyAlignment="1">
      <alignment horizontal="center"/>
    </xf>
    <xf numFmtId="9" fontId="51" fillId="2" borderId="34" xfId="3" applyFont="1" applyFill="1" applyBorder="1" applyAlignment="1">
      <alignment horizontal="center"/>
    </xf>
    <xf numFmtId="164" fontId="53" fillId="2" borderId="0" xfId="2" applyNumberFormat="1" applyFont="1" applyFill="1" applyBorder="1" applyAlignment="1">
      <alignment horizontal="right"/>
    </xf>
    <xf numFmtId="164" fontId="52" fillId="2" borderId="0" xfId="2" applyNumberFormat="1" applyFont="1" applyFill="1" applyBorder="1" applyAlignment="1">
      <alignment horizontal="center"/>
    </xf>
    <xf numFmtId="164" fontId="25" fillId="0" borderId="0" xfId="2" applyNumberFormat="1" applyFont="1" applyFill="1" applyBorder="1" applyAlignment="1">
      <alignment horizontal="center"/>
    </xf>
    <xf numFmtId="9" fontId="25" fillId="0" borderId="29" xfId="3" applyFont="1" applyBorder="1" applyAlignment="1">
      <alignment horizontal="center"/>
    </xf>
    <xf numFmtId="0" fontId="18" fillId="0" borderId="17" xfId="1" applyFont="1" applyBorder="1" applyAlignment="1">
      <alignment horizontal="left"/>
    </xf>
    <xf numFmtId="43" fontId="10" fillId="0" borderId="0" xfId="1" applyNumberFormat="1" applyFont="1"/>
    <xf numFmtId="3" fontId="11" fillId="0" borderId="0" xfId="1" applyNumberFormat="1" applyFont="1"/>
    <xf numFmtId="43" fontId="11" fillId="0" borderId="0" xfId="1" applyNumberFormat="1" applyFont="1"/>
    <xf numFmtId="164" fontId="5" fillId="0" borderId="0" xfId="2" applyNumberFormat="1" applyFont="1"/>
    <xf numFmtId="164" fontId="5" fillId="0" borderId="0" xfId="2" applyNumberFormat="1" applyFont="1" applyFill="1"/>
    <xf numFmtId="0" fontId="54" fillId="0" borderId="0" xfId="1" applyFont="1" applyAlignment="1">
      <alignment horizontal="center" wrapText="1"/>
    </xf>
    <xf numFmtId="1" fontId="2" fillId="0" borderId="0" xfId="1" applyNumberFormat="1" applyFont="1" applyAlignment="1">
      <alignment horizontal="right" wrapText="1"/>
    </xf>
    <xf numFmtId="0" fontId="2" fillId="0" borderId="0" xfId="1" applyFont="1" applyAlignment="1">
      <alignment horizontal="center" wrapText="1"/>
    </xf>
    <xf numFmtId="0" fontId="1" fillId="9" borderId="0" xfId="1" applyFont="1" applyFill="1"/>
    <xf numFmtId="0" fontId="1" fillId="4" borderId="0" xfId="1" applyFont="1" applyFill="1"/>
    <xf numFmtId="0" fontId="55" fillId="0" borderId="0" xfId="1" applyFont="1"/>
    <xf numFmtId="1" fontId="4" fillId="0" borderId="0" xfId="1" applyNumberFormat="1" applyFont="1" applyAlignment="1">
      <alignment horizontal="right"/>
    </xf>
    <xf numFmtId="0" fontId="56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1" fontId="18" fillId="0" borderId="0" xfId="1" applyNumberFormat="1" applyFont="1" applyAlignment="1">
      <alignment horizontal="right"/>
    </xf>
    <xf numFmtId="0" fontId="56" fillId="0" borderId="0" xfId="1" applyFont="1" applyAlignment="1">
      <alignment horizontal="center"/>
    </xf>
    <xf numFmtId="17" fontId="21" fillId="5" borderId="2" xfId="1" applyNumberFormat="1" applyFont="1" applyFill="1" applyBorder="1" applyAlignment="1">
      <alignment horizontal="center"/>
    </xf>
    <xf numFmtId="0" fontId="1" fillId="0" borderId="3" xfId="1" applyFont="1" applyBorder="1" applyAlignment="1">
      <alignment horizontal="center"/>
    </xf>
    <xf numFmtId="0" fontId="1" fillId="0" borderId="3" xfId="1" applyFont="1" applyBorder="1"/>
    <xf numFmtId="0" fontId="1" fillId="0" borderId="4" xfId="1" applyFont="1" applyBorder="1"/>
    <xf numFmtId="1" fontId="4" fillId="0" borderId="0" xfId="1" applyNumberFormat="1" applyFont="1" applyAlignment="1">
      <alignment horizontal="left"/>
    </xf>
    <xf numFmtId="0" fontId="4" fillId="6" borderId="6" xfId="1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3" fillId="11" borderId="6" xfId="1" applyFont="1" applyFill="1" applyBorder="1" applyAlignment="1">
      <alignment horizontal="center"/>
    </xf>
    <xf numFmtId="0" fontId="3" fillId="11" borderId="7" xfId="1" applyFont="1" applyFill="1" applyBorder="1" applyAlignment="1">
      <alignment horizontal="center"/>
    </xf>
    <xf numFmtId="0" fontId="3" fillId="11" borderId="79" xfId="1" applyFont="1" applyFill="1" applyBorder="1" applyAlignment="1">
      <alignment horizontal="center"/>
    </xf>
    <xf numFmtId="0" fontId="57" fillId="0" borderId="0" xfId="1" applyFont="1"/>
    <xf numFmtId="0" fontId="21" fillId="5" borderId="12" xfId="1" applyFont="1" applyFill="1" applyBorder="1" applyAlignment="1">
      <alignment horizontal="center"/>
    </xf>
    <xf numFmtId="0" fontId="1" fillId="0" borderId="52" xfId="1" applyFont="1" applyBorder="1" applyAlignment="1">
      <alignment horizontal="center"/>
    </xf>
    <xf numFmtId="0" fontId="21" fillId="5" borderId="12" xfId="1" applyFont="1" applyFill="1" applyBorder="1" applyAlignment="1">
      <alignment horizontal="center" wrapText="1"/>
    </xf>
    <xf numFmtId="0" fontId="1" fillId="0" borderId="13" xfId="1" applyFont="1" applyBorder="1" applyAlignment="1">
      <alignment horizontal="center" wrapText="1"/>
    </xf>
    <xf numFmtId="0" fontId="21" fillId="5" borderId="14" xfId="1" applyFont="1" applyFill="1" applyBorder="1" applyAlignment="1">
      <alignment horizontal="center" wrapText="1"/>
    </xf>
    <xf numFmtId="0" fontId="21" fillId="5" borderId="15" xfId="1" applyFont="1" applyFill="1" applyBorder="1" applyAlignment="1">
      <alignment horizontal="center" wrapText="1"/>
    </xf>
    <xf numFmtId="0" fontId="21" fillId="5" borderId="80" xfId="1" applyFont="1" applyFill="1" applyBorder="1" applyAlignment="1">
      <alignment horizontal="center" wrapText="1"/>
    </xf>
    <xf numFmtId="164" fontId="58" fillId="2" borderId="0" xfId="2" applyNumberFormat="1" applyFont="1" applyFill="1" applyBorder="1" applyAlignment="1">
      <alignment horizontal="right"/>
    </xf>
    <xf numFmtId="0" fontId="9" fillId="2" borderId="0" xfId="1" applyFont="1" applyFill="1"/>
    <xf numFmtId="0" fontId="43" fillId="5" borderId="46" xfId="1" applyFont="1" applyFill="1" applyBorder="1" applyAlignment="1">
      <alignment horizontal="left"/>
    </xf>
    <xf numFmtId="0" fontId="21" fillId="5" borderId="81" xfId="1" applyFont="1" applyFill="1" applyBorder="1" applyAlignment="1">
      <alignment horizontal="center"/>
    </xf>
    <xf numFmtId="0" fontId="21" fillId="5" borderId="82" xfId="1" applyFont="1" applyFill="1" applyBorder="1" applyAlignment="1">
      <alignment horizontal="center"/>
    </xf>
    <xf numFmtId="0" fontId="20" fillId="5" borderId="23" xfId="1" applyFont="1" applyFill="1" applyBorder="1" applyAlignment="1">
      <alignment horizontal="left"/>
    </xf>
    <xf numFmtId="0" fontId="21" fillId="5" borderId="25" xfId="1" applyFont="1" applyFill="1" applyBorder="1" applyAlignment="1">
      <alignment horizontal="center"/>
    </xf>
    <xf numFmtId="0" fontId="21" fillId="5" borderId="27" xfId="1" applyFont="1" applyFill="1" applyBorder="1" applyAlignment="1">
      <alignment horizontal="center"/>
    </xf>
    <xf numFmtId="0" fontId="21" fillId="5" borderId="35" xfId="1" applyFont="1" applyFill="1" applyBorder="1" applyAlignment="1">
      <alignment horizontal="center"/>
    </xf>
    <xf numFmtId="164" fontId="58" fillId="2" borderId="0" xfId="2" applyNumberFormat="1" applyFont="1" applyFill="1" applyBorder="1" applyAlignment="1">
      <alignment horizontal="center"/>
    </xf>
    <xf numFmtId="0" fontId="21" fillId="5" borderId="27" xfId="1" applyFont="1" applyFill="1" applyBorder="1" applyAlignment="1">
      <alignment horizontal="left"/>
    </xf>
    <xf numFmtId="0" fontId="21" fillId="10" borderId="83" xfId="1" applyFont="1" applyFill="1" applyBorder="1" applyAlignment="1">
      <alignment horizontal="center"/>
    </xf>
    <xf numFmtId="0" fontId="21" fillId="10" borderId="84" xfId="1" applyFont="1" applyFill="1" applyBorder="1" applyAlignment="1">
      <alignment horizontal="center"/>
    </xf>
    <xf numFmtId="0" fontId="21" fillId="5" borderId="47" xfId="1" applyFont="1" applyFill="1" applyBorder="1" applyAlignment="1">
      <alignment horizontal="center"/>
    </xf>
    <xf numFmtId="9" fontId="25" fillId="7" borderId="0" xfId="3" applyFont="1" applyFill="1" applyBorder="1" applyAlignment="1">
      <alignment horizontal="center"/>
    </xf>
    <xf numFmtId="9" fontId="25" fillId="7" borderId="34" xfId="3" applyFont="1" applyFill="1" applyBorder="1" applyAlignment="1">
      <alignment horizontal="center"/>
    </xf>
    <xf numFmtId="164" fontId="31" fillId="0" borderId="0" xfId="2" applyNumberFormat="1" applyFont="1" applyFill="1" applyBorder="1" applyAlignment="1">
      <alignment horizontal="right"/>
    </xf>
    <xf numFmtId="1" fontId="31" fillId="0" borderId="0" xfId="3" applyNumberFormat="1" applyFont="1" applyFill="1" applyBorder="1" applyAlignment="1">
      <alignment horizontal="right"/>
    </xf>
    <xf numFmtId="1" fontId="31" fillId="0" borderId="0" xfId="2" applyNumberFormat="1" applyFont="1" applyFill="1" applyBorder="1" applyAlignment="1">
      <alignment horizontal="right"/>
    </xf>
    <xf numFmtId="0" fontId="25" fillId="7" borderId="37" xfId="1" applyFont="1" applyFill="1" applyBorder="1" applyAlignment="1">
      <alignment horizontal="left"/>
    </xf>
    <xf numFmtId="0" fontId="27" fillId="0" borderId="33" xfId="1" applyFont="1" applyBorder="1" applyAlignment="1">
      <alignment horizontal="left"/>
    </xf>
    <xf numFmtId="3" fontId="27" fillId="0" borderId="85" xfId="1" applyNumberFormat="1" applyFont="1" applyBorder="1" applyAlignment="1">
      <alignment horizontal="right"/>
    </xf>
    <xf numFmtId="3" fontId="27" fillId="0" borderId="86" xfId="1" applyNumberFormat="1" applyFont="1" applyBorder="1" applyAlignment="1">
      <alignment horizontal="right"/>
    </xf>
    <xf numFmtId="9" fontId="50" fillId="0" borderId="33" xfId="3" applyFont="1" applyBorder="1" applyAlignment="1">
      <alignment horizontal="center"/>
    </xf>
    <xf numFmtId="164" fontId="4" fillId="0" borderId="0" xfId="2" applyNumberFormat="1" applyFont="1" applyFill="1" applyBorder="1" applyAlignment="1">
      <alignment horizontal="right"/>
    </xf>
    <xf numFmtId="3" fontId="25" fillId="7" borderId="85" xfId="1" applyNumberFormat="1" applyFont="1" applyFill="1" applyBorder="1" applyAlignment="1">
      <alignment horizontal="right"/>
    </xf>
    <xf numFmtId="3" fontId="25" fillId="7" borderId="86" xfId="1" applyNumberFormat="1" applyFont="1" applyFill="1" applyBorder="1" applyAlignment="1">
      <alignment horizontal="right"/>
    </xf>
    <xf numFmtId="0" fontId="25" fillId="8" borderId="45" xfId="1" applyFont="1" applyFill="1" applyBorder="1" applyAlignment="1">
      <alignment horizontal="left"/>
    </xf>
    <xf numFmtId="9" fontId="25" fillId="7" borderId="46" xfId="3" applyFont="1" applyFill="1" applyBorder="1" applyAlignment="1">
      <alignment horizontal="center"/>
    </xf>
    <xf numFmtId="9" fontId="25" fillId="0" borderId="0" xfId="3" applyFont="1" applyBorder="1" applyAlignment="1">
      <alignment horizontal="center"/>
    </xf>
    <xf numFmtId="3" fontId="25" fillId="7" borderId="23" xfId="1" applyNumberFormat="1" applyFont="1" applyFill="1" applyBorder="1" applyAlignment="1">
      <alignment horizontal="right"/>
    </xf>
    <xf numFmtId="9" fontId="25" fillId="7" borderId="27" xfId="3" applyFont="1" applyFill="1" applyBorder="1" applyAlignment="1">
      <alignment horizontal="center"/>
    </xf>
    <xf numFmtId="3" fontId="4" fillId="0" borderId="0" xfId="1" applyNumberFormat="1" applyFont="1"/>
    <xf numFmtId="9" fontId="27" fillId="0" borderId="88" xfId="3" applyFont="1" applyBorder="1" applyAlignment="1">
      <alignment horizontal="center"/>
    </xf>
    <xf numFmtId="9" fontId="27" fillId="0" borderId="88" xfId="3" applyFont="1" applyFill="1" applyBorder="1" applyAlignment="1">
      <alignment horizontal="center"/>
    </xf>
    <xf numFmtId="9" fontId="27" fillId="0" borderId="0" xfId="3" applyFont="1" applyBorder="1" applyAlignment="1">
      <alignment horizontal="center"/>
    </xf>
    <xf numFmtId="9" fontId="25" fillId="0" borderId="34" xfId="3" applyFont="1" applyBorder="1" applyAlignment="1">
      <alignment horizontal="center"/>
    </xf>
    <xf numFmtId="3" fontId="25" fillId="0" borderId="89" xfId="1" applyNumberFormat="1" applyFont="1" applyBorder="1" applyAlignment="1">
      <alignment horizontal="right"/>
    </xf>
    <xf numFmtId="0" fontId="25" fillId="7" borderId="22" xfId="1" applyFont="1" applyFill="1" applyBorder="1" applyAlignment="1">
      <alignment horizontal="left"/>
    </xf>
    <xf numFmtId="3" fontId="57" fillId="0" borderId="0" xfId="1" applyNumberFormat="1" applyFont="1"/>
    <xf numFmtId="164" fontId="57" fillId="0" borderId="0" xfId="2" applyNumberFormat="1" applyFont="1" applyFill="1" applyBorder="1"/>
    <xf numFmtId="4" fontId="25" fillId="0" borderId="11" xfId="1" applyNumberFormat="1" applyFont="1" applyBorder="1" applyAlignment="1">
      <alignment horizontal="right"/>
    </xf>
    <xf numFmtId="3" fontId="25" fillId="0" borderId="90" xfId="1" applyNumberFormat="1" applyFont="1" applyBorder="1" applyAlignment="1">
      <alignment horizontal="right"/>
    </xf>
    <xf numFmtId="9" fontId="25" fillId="0" borderId="91" xfId="3" applyFont="1" applyBorder="1" applyAlignment="1">
      <alignment horizontal="center"/>
    </xf>
    <xf numFmtId="0" fontId="57" fillId="2" borderId="0" xfId="1" applyFont="1" applyFill="1"/>
    <xf numFmtId="0" fontId="51" fillId="0" borderId="47" xfId="1" applyFont="1" applyBorder="1" applyAlignment="1">
      <alignment horizontal="left"/>
    </xf>
    <xf numFmtId="3" fontId="51" fillId="0" borderId="23" xfId="1" applyNumberFormat="1" applyFont="1" applyBorder="1" applyAlignment="1">
      <alignment horizontal="right"/>
    </xf>
    <xf numFmtId="9" fontId="51" fillId="0" borderId="29" xfId="3" applyFont="1" applyFill="1" applyBorder="1" applyAlignment="1">
      <alignment horizontal="center"/>
    </xf>
    <xf numFmtId="9" fontId="51" fillId="0" borderId="27" xfId="3" applyFont="1" applyFill="1" applyBorder="1" applyAlignment="1">
      <alignment horizontal="center"/>
    </xf>
    <xf numFmtId="9" fontId="51" fillId="0" borderId="47" xfId="3" applyFont="1" applyFill="1" applyBorder="1" applyAlignment="1">
      <alignment horizontal="center"/>
    </xf>
    <xf numFmtId="9" fontId="51" fillId="0" borderId="27" xfId="3" applyFont="1" applyBorder="1" applyAlignment="1">
      <alignment horizontal="center"/>
    </xf>
    <xf numFmtId="0" fontId="51" fillId="2" borderId="17" xfId="1" applyFont="1" applyFill="1" applyBorder="1" applyAlignment="1">
      <alignment horizontal="left"/>
    </xf>
    <xf numFmtId="1" fontId="57" fillId="0" borderId="0" xfId="1" applyNumberFormat="1" applyFont="1" applyAlignment="1">
      <alignment horizontal="right"/>
    </xf>
    <xf numFmtId="1" fontId="1" fillId="0" borderId="0" xfId="1" applyNumberFormat="1" applyFont="1" applyAlignment="1">
      <alignment horizontal="right"/>
    </xf>
    <xf numFmtId="0" fontId="14" fillId="0" borderId="0" xfId="1" applyFont="1" applyAlignment="1">
      <alignment horizontal="center" wrapText="1"/>
    </xf>
    <xf numFmtId="0" fontId="59" fillId="0" borderId="0" xfId="1" applyFont="1" applyAlignment="1">
      <alignment horizontal="center" wrapText="1"/>
    </xf>
    <xf numFmtId="164" fontId="60" fillId="2" borderId="0" xfId="2" applyNumberFormat="1" applyFont="1" applyFill="1" applyBorder="1" applyAlignment="1">
      <alignment horizontal="right"/>
    </xf>
    <xf numFmtId="0" fontId="10" fillId="2" borderId="0" xfId="1" applyFont="1" applyFill="1" applyAlignment="1">
      <alignment horizontal="center" wrapText="1"/>
    </xf>
    <xf numFmtId="0" fontId="61" fillId="0" borderId="0" xfId="1" applyFont="1"/>
    <xf numFmtId="0" fontId="5" fillId="0" borderId="46" xfId="1" applyBorder="1"/>
    <xf numFmtId="0" fontId="5" fillId="0" borderId="92" xfId="1" applyBorder="1"/>
    <xf numFmtId="164" fontId="62" fillId="2" borderId="0" xfId="2" applyNumberFormat="1" applyFont="1" applyFill="1" applyBorder="1" applyAlignment="1">
      <alignment horizontal="left"/>
    </xf>
    <xf numFmtId="0" fontId="21" fillId="12" borderId="93" xfId="1" applyFont="1" applyFill="1" applyBorder="1" applyAlignment="1">
      <alignment horizontal="center"/>
    </xf>
    <xf numFmtId="0" fontId="21" fillId="12" borderId="94" xfId="1" applyFont="1" applyFill="1" applyBorder="1" applyAlignment="1">
      <alignment horizontal="center"/>
    </xf>
    <xf numFmtId="0" fontId="21" fillId="12" borderId="82" xfId="1" applyFont="1" applyFill="1" applyBorder="1" applyAlignment="1">
      <alignment horizontal="center"/>
    </xf>
    <xf numFmtId="0" fontId="17" fillId="5" borderId="95" xfId="1" applyFont="1" applyFill="1" applyBorder="1" applyAlignment="1">
      <alignment horizontal="center"/>
    </xf>
    <xf numFmtId="0" fontId="17" fillId="5" borderId="96" xfId="1" applyFont="1" applyFill="1" applyBorder="1" applyAlignment="1">
      <alignment horizontal="center" wrapText="1"/>
    </xf>
    <xf numFmtId="0" fontId="17" fillId="5" borderId="13" xfId="1" applyFont="1" applyFill="1" applyBorder="1" applyAlignment="1">
      <alignment horizontal="center"/>
    </xf>
    <xf numFmtId="0" fontId="17" fillId="5" borderId="97" xfId="1" applyFont="1" applyFill="1" applyBorder="1" applyAlignment="1">
      <alignment horizontal="center" wrapText="1"/>
    </xf>
    <xf numFmtId="0" fontId="17" fillId="5" borderId="13" xfId="1" applyFont="1" applyFill="1" applyBorder="1" applyAlignment="1">
      <alignment horizontal="center" wrapText="1"/>
    </xf>
    <xf numFmtId="164" fontId="62" fillId="2" borderId="0" xfId="2" applyNumberFormat="1" applyFont="1" applyFill="1" applyBorder="1" applyAlignment="1">
      <alignment horizontal="right"/>
    </xf>
    <xf numFmtId="0" fontId="7" fillId="2" borderId="0" xfId="1" applyFont="1" applyFill="1"/>
    <xf numFmtId="0" fontId="21" fillId="5" borderId="98" xfId="1" applyFont="1" applyFill="1" applyBorder="1" applyAlignment="1">
      <alignment horizontal="center"/>
    </xf>
    <xf numFmtId="0" fontId="21" fillId="5" borderId="99" xfId="1" applyFont="1" applyFill="1" applyBorder="1" applyAlignment="1">
      <alignment horizontal="center"/>
    </xf>
    <xf numFmtId="0" fontId="35" fillId="2" borderId="11" xfId="1" applyFont="1" applyFill="1" applyBorder="1" applyAlignment="1">
      <alignment horizontal="center"/>
    </xf>
    <xf numFmtId="0" fontId="35" fillId="2" borderId="0" xfId="1" applyFont="1" applyFill="1" applyAlignment="1">
      <alignment horizontal="center"/>
    </xf>
    <xf numFmtId="0" fontId="24" fillId="5" borderId="100" xfId="1" applyFont="1" applyFill="1" applyBorder="1" applyAlignment="1">
      <alignment horizontal="center"/>
    </xf>
    <xf numFmtId="164" fontId="62" fillId="2" borderId="0" xfId="2" applyNumberFormat="1" applyFont="1" applyFill="1" applyBorder="1" applyAlignment="1">
      <alignment horizontal="center"/>
    </xf>
    <xf numFmtId="9" fontId="25" fillId="8" borderId="100" xfId="3" applyFont="1" applyFill="1" applyBorder="1" applyAlignment="1">
      <alignment horizontal="center"/>
    </xf>
    <xf numFmtId="164" fontId="63" fillId="2" borderId="0" xfId="2" applyNumberFormat="1" applyFont="1" applyFill="1" applyBorder="1" applyAlignment="1">
      <alignment horizontal="right"/>
    </xf>
    <xf numFmtId="3" fontId="25" fillId="7" borderId="101" xfId="1" applyNumberFormat="1" applyFont="1" applyFill="1" applyBorder="1" applyAlignment="1">
      <alignment horizontal="right"/>
    </xf>
    <xf numFmtId="3" fontId="25" fillId="7" borderId="102" xfId="1" applyNumberFormat="1" applyFont="1" applyFill="1" applyBorder="1" applyAlignment="1">
      <alignment horizontal="right"/>
    </xf>
    <xf numFmtId="9" fontId="25" fillId="8" borderId="103" xfId="3" applyFont="1" applyFill="1" applyBorder="1" applyAlignment="1">
      <alignment horizontal="center"/>
    </xf>
    <xf numFmtId="9" fontId="49" fillId="8" borderId="22" xfId="3" applyFont="1" applyFill="1" applyBorder="1" applyAlignment="1">
      <alignment horizontal="center"/>
    </xf>
    <xf numFmtId="3" fontId="27" fillId="0" borderId="87" xfId="1" applyNumberFormat="1" applyFont="1" applyBorder="1" applyAlignment="1">
      <alignment horizontal="right"/>
    </xf>
    <xf numFmtId="9" fontId="25" fillId="0" borderId="100" xfId="3" applyFont="1" applyFill="1" applyBorder="1" applyAlignment="1">
      <alignment horizontal="center"/>
    </xf>
    <xf numFmtId="9" fontId="25" fillId="8" borderId="104" xfId="3" applyFont="1" applyFill="1" applyBorder="1" applyAlignment="1">
      <alignment horizontal="center"/>
    </xf>
    <xf numFmtId="9" fontId="27" fillId="0" borderId="100" xfId="3" applyFont="1" applyFill="1" applyBorder="1" applyAlignment="1">
      <alignment horizontal="center"/>
    </xf>
    <xf numFmtId="3" fontId="27" fillId="2" borderId="33" xfId="1" applyNumberFormat="1" applyFont="1" applyFill="1" applyBorder="1" applyAlignment="1">
      <alignment horizontal="right"/>
    </xf>
    <xf numFmtId="3" fontId="27" fillId="2" borderId="86" xfId="1" applyNumberFormat="1" applyFont="1" applyFill="1" applyBorder="1" applyAlignment="1">
      <alignment horizontal="right"/>
    </xf>
    <xf numFmtId="3" fontId="25" fillId="7" borderId="105" xfId="1" applyNumberFormat="1" applyFont="1" applyFill="1" applyBorder="1" applyAlignment="1">
      <alignment horizontal="right"/>
    </xf>
    <xf numFmtId="3" fontId="25" fillId="7" borderId="106" xfId="1" applyNumberFormat="1" applyFont="1" applyFill="1" applyBorder="1" applyAlignment="1">
      <alignment horizontal="right"/>
    </xf>
    <xf numFmtId="3" fontId="15" fillId="0" borderId="0" xfId="1" applyNumberFormat="1" applyFont="1" applyAlignment="1">
      <alignment horizontal="left"/>
    </xf>
    <xf numFmtId="3" fontId="9" fillId="0" borderId="0" xfId="1" applyNumberFormat="1" applyFont="1"/>
    <xf numFmtId="164" fontId="52" fillId="0" borderId="0" xfId="2" applyNumberFormat="1" applyFont="1" applyFill="1" applyBorder="1" applyAlignment="1">
      <alignment horizontal="center"/>
    </xf>
    <xf numFmtId="9" fontId="25" fillId="8" borderId="107" xfId="3" applyFont="1" applyFill="1" applyBorder="1" applyAlignment="1">
      <alignment horizontal="center"/>
    </xf>
    <xf numFmtId="9" fontId="25" fillId="0" borderId="37" xfId="3" applyFont="1" applyFill="1" applyBorder="1" applyAlignment="1">
      <alignment horizontal="center"/>
    </xf>
    <xf numFmtId="9" fontId="25" fillId="0" borderId="51" xfId="3" applyFont="1" applyFill="1" applyBorder="1" applyAlignment="1">
      <alignment horizontal="center"/>
    </xf>
    <xf numFmtId="9" fontId="25" fillId="0" borderId="107" xfId="3" applyFont="1" applyFill="1" applyBorder="1" applyAlignment="1">
      <alignment horizontal="center"/>
    </xf>
    <xf numFmtId="9" fontId="25" fillId="0" borderId="35" xfId="3" applyFont="1" applyFill="1" applyBorder="1" applyAlignment="1">
      <alignment horizontal="center"/>
    </xf>
    <xf numFmtId="0" fontId="25" fillId="0" borderId="108" xfId="1" applyFont="1" applyBorder="1" applyAlignment="1">
      <alignment horizontal="left"/>
    </xf>
    <xf numFmtId="3" fontId="25" fillId="0" borderId="91" xfId="1" applyNumberFormat="1" applyFont="1" applyBorder="1" applyAlignment="1">
      <alignment horizontal="right"/>
    </xf>
    <xf numFmtId="9" fontId="25" fillId="0" borderId="109" xfId="3" applyFont="1" applyFill="1" applyBorder="1" applyAlignment="1">
      <alignment horizontal="center"/>
    </xf>
    <xf numFmtId="9" fontId="25" fillId="0" borderId="91" xfId="3" applyFont="1" applyFill="1" applyBorder="1" applyAlignment="1">
      <alignment horizontal="center"/>
    </xf>
    <xf numFmtId="9" fontId="25" fillId="0" borderId="110" xfId="3" applyFont="1" applyFill="1" applyBorder="1" applyAlignment="1">
      <alignment horizontal="center"/>
    </xf>
    <xf numFmtId="9" fontId="25" fillId="0" borderId="111" xfId="3" applyFont="1" applyBorder="1" applyAlignment="1">
      <alignment horizontal="center"/>
    </xf>
    <xf numFmtId="3" fontId="51" fillId="0" borderId="0" xfId="1" applyNumberFormat="1" applyFont="1" applyAlignment="1">
      <alignment horizontal="right"/>
    </xf>
    <xf numFmtId="164" fontId="62" fillId="0" borderId="0" xfId="2" applyNumberFormat="1" applyFont="1" applyFill="1" applyBorder="1" applyAlignment="1">
      <alignment horizontal="right"/>
    </xf>
    <xf numFmtId="164" fontId="58" fillId="0" borderId="0" xfId="2" applyNumberFormat="1" applyFont="1" applyFill="1" applyBorder="1" applyAlignment="1">
      <alignment horizontal="right"/>
    </xf>
    <xf numFmtId="3" fontId="18" fillId="0" borderId="0" xfId="1" applyNumberFormat="1" applyFont="1" applyAlignment="1">
      <alignment horizontal="right"/>
    </xf>
    <xf numFmtId="0" fontId="64" fillId="0" borderId="0" xfId="1" applyFont="1" applyAlignment="1">
      <alignment horizontal="center"/>
    </xf>
    <xf numFmtId="0" fontId="65" fillId="0" borderId="0" xfId="1" applyFont="1"/>
    <xf numFmtId="0" fontId="17" fillId="5" borderId="12" xfId="1" applyFont="1" applyFill="1" applyBorder="1" applyAlignment="1">
      <alignment horizontal="center"/>
    </xf>
    <xf numFmtId="0" fontId="5" fillId="0" borderId="52" xfId="1" applyBorder="1" applyAlignment="1">
      <alignment horizontal="center"/>
    </xf>
    <xf numFmtId="0" fontId="66" fillId="0" borderId="0" xfId="1" applyFont="1" applyAlignment="1">
      <alignment horizontal="center" wrapText="1"/>
    </xf>
    <xf numFmtId="0" fontId="10" fillId="0" borderId="0" xfId="1" applyFont="1" applyAlignment="1">
      <alignment horizontal="centerContinuous" wrapText="1"/>
    </xf>
    <xf numFmtId="0" fontId="21" fillId="5" borderId="112" xfId="1" applyFont="1" applyFill="1" applyBorder="1" applyAlignment="1">
      <alignment horizontal="center"/>
    </xf>
    <xf numFmtId="0" fontId="58" fillId="0" borderId="0" xfId="1" applyFont="1" applyAlignment="1">
      <alignment horizontal="center"/>
    </xf>
    <xf numFmtId="164" fontId="58" fillId="0" borderId="0" xfId="2" applyNumberFormat="1" applyFont="1" applyFill="1" applyBorder="1" applyAlignment="1">
      <alignment horizontal="center"/>
    </xf>
    <xf numFmtId="164" fontId="67" fillId="0" borderId="0" xfId="2" applyNumberFormat="1" applyFont="1" applyFill="1" applyBorder="1" applyAlignment="1">
      <alignment horizontal="center"/>
    </xf>
    <xf numFmtId="164" fontId="67" fillId="0" borderId="0" xfId="2" applyNumberFormat="1" applyFont="1" applyFill="1" applyBorder="1" applyAlignment="1">
      <alignment horizontal="right"/>
    </xf>
    <xf numFmtId="9" fontId="25" fillId="8" borderId="113" xfId="3" applyFont="1" applyFill="1" applyBorder="1" applyAlignment="1">
      <alignment horizontal="center"/>
    </xf>
    <xf numFmtId="9" fontId="25" fillId="8" borderId="114" xfId="3" applyFont="1" applyFill="1" applyBorder="1" applyAlignment="1">
      <alignment horizontal="center"/>
    </xf>
    <xf numFmtId="9" fontId="25" fillId="8" borderId="115" xfId="3" applyFont="1" applyFill="1" applyBorder="1" applyAlignment="1">
      <alignment horizontal="center"/>
    </xf>
    <xf numFmtId="9" fontId="25" fillId="8" borderId="116" xfId="3" applyFont="1" applyFill="1" applyBorder="1" applyAlignment="1">
      <alignment horizontal="center"/>
    </xf>
    <xf numFmtId="9" fontId="25" fillId="0" borderId="113" xfId="3" applyFont="1" applyFill="1" applyBorder="1" applyAlignment="1">
      <alignment horizontal="center"/>
    </xf>
    <xf numFmtId="9" fontId="25" fillId="0" borderId="114" xfId="3" applyFont="1" applyFill="1" applyBorder="1" applyAlignment="1">
      <alignment horizontal="center"/>
    </xf>
    <xf numFmtId="9" fontId="25" fillId="8" borderId="117" xfId="3" applyFont="1" applyFill="1" applyBorder="1" applyAlignment="1">
      <alignment horizontal="center"/>
    </xf>
    <xf numFmtId="9" fontId="25" fillId="8" borderId="118" xfId="3" applyFont="1" applyFill="1" applyBorder="1" applyAlignment="1">
      <alignment horizontal="center"/>
    </xf>
    <xf numFmtId="9" fontId="27" fillId="0" borderId="113" xfId="3" applyFont="1" applyFill="1" applyBorder="1" applyAlignment="1">
      <alignment horizontal="center"/>
    </xf>
    <xf numFmtId="9" fontId="27" fillId="0" borderId="114" xfId="3" applyFont="1" applyFill="1" applyBorder="1" applyAlignment="1">
      <alignment horizontal="center"/>
    </xf>
    <xf numFmtId="3" fontId="25" fillId="8" borderId="35" xfId="1" applyNumberFormat="1" applyFont="1" applyFill="1" applyBorder="1" applyAlignment="1">
      <alignment horizontal="right"/>
    </xf>
    <xf numFmtId="0" fontId="68" fillId="0" borderId="0" xfId="1" applyFont="1"/>
    <xf numFmtId="164" fontId="69" fillId="0" borderId="0" xfId="2" applyNumberFormat="1" applyFont="1" applyFill="1" applyBorder="1" applyAlignment="1">
      <alignment horizontal="right"/>
    </xf>
    <xf numFmtId="0" fontId="5" fillId="0" borderId="0" xfId="1" applyAlignment="1">
      <alignment horizontal="center"/>
    </xf>
    <xf numFmtId="9" fontId="25" fillId="8" borderId="119" xfId="3" applyFont="1" applyFill="1" applyBorder="1" applyAlignment="1">
      <alignment horizontal="center"/>
    </xf>
    <xf numFmtId="9" fontId="25" fillId="8" borderId="120" xfId="3" applyFont="1" applyFill="1" applyBorder="1" applyAlignment="1">
      <alignment horizontal="center"/>
    </xf>
    <xf numFmtId="9" fontId="25" fillId="0" borderId="117" xfId="3" applyFont="1" applyFill="1" applyBorder="1" applyAlignment="1">
      <alignment horizontal="center"/>
    </xf>
    <xf numFmtId="9" fontId="25" fillId="0" borderId="118" xfId="3" applyFont="1" applyFill="1" applyBorder="1" applyAlignment="1">
      <alignment horizontal="center"/>
    </xf>
    <xf numFmtId="9" fontId="25" fillId="0" borderId="104" xfId="3" applyFont="1" applyFill="1" applyBorder="1" applyAlignment="1">
      <alignment horizontal="center"/>
    </xf>
    <xf numFmtId="0" fontId="70" fillId="3" borderId="0" xfId="1" applyFont="1" applyFill="1" applyAlignment="1">
      <alignment vertical="center"/>
    </xf>
    <xf numFmtId="0" fontId="15" fillId="4" borderId="0" xfId="1" applyFont="1" applyFill="1"/>
    <xf numFmtId="0" fontId="71" fillId="0" borderId="0" xfId="1" applyFont="1" applyAlignment="1">
      <alignment horizontal="center"/>
    </xf>
    <xf numFmtId="0" fontId="72" fillId="0" borderId="0" xfId="1" applyFont="1" applyAlignment="1">
      <alignment horizontal="center"/>
    </xf>
    <xf numFmtId="0" fontId="71" fillId="0" borderId="0" xfId="1" applyFont="1" applyAlignment="1">
      <alignment horizontal="center"/>
    </xf>
    <xf numFmtId="0" fontId="73" fillId="5" borderId="1" xfId="1" applyFont="1" applyFill="1" applyBorder="1" applyAlignment="1">
      <alignment horizontal="left"/>
    </xf>
    <xf numFmtId="17" fontId="66" fillId="5" borderId="2" xfId="1" applyNumberFormat="1" applyFont="1" applyFill="1" applyBorder="1" applyAlignment="1">
      <alignment horizontal="center"/>
    </xf>
    <xf numFmtId="0" fontId="10" fillId="0" borderId="3" xfId="1" applyFont="1" applyBorder="1" applyAlignment="1">
      <alignment horizontal="center"/>
    </xf>
    <xf numFmtId="0" fontId="10" fillId="0" borderId="3" xfId="1" applyFont="1" applyBorder="1"/>
    <xf numFmtId="0" fontId="10" fillId="0" borderId="46" xfId="1" applyFont="1" applyBorder="1"/>
    <xf numFmtId="0" fontId="10" fillId="0" borderId="92" xfId="1" applyFont="1" applyBorder="1"/>
    <xf numFmtId="0" fontId="66" fillId="5" borderId="2" xfId="1" applyFont="1" applyFill="1" applyBorder="1" applyAlignment="1">
      <alignment horizontal="center"/>
    </xf>
    <xf numFmtId="0" fontId="74" fillId="0" borderId="0" xfId="1" applyFont="1"/>
    <xf numFmtId="0" fontId="73" fillId="5" borderId="11" xfId="1" applyFont="1" applyFill="1" applyBorder="1" applyAlignment="1">
      <alignment horizontal="left"/>
    </xf>
    <xf numFmtId="0" fontId="66" fillId="5" borderId="12" xfId="1" applyFont="1" applyFill="1" applyBorder="1" applyAlignment="1">
      <alignment horizontal="center"/>
    </xf>
    <xf numFmtId="0" fontId="10" fillId="0" borderId="52" xfId="1" applyFont="1" applyBorder="1" applyAlignment="1">
      <alignment horizontal="center"/>
    </xf>
    <xf numFmtId="0" fontId="66" fillId="5" borderId="96" xfId="1" applyFont="1" applyFill="1" applyBorder="1" applyAlignment="1">
      <alignment horizontal="center" wrapText="1"/>
    </xf>
    <xf numFmtId="0" fontId="66" fillId="5" borderId="13" xfId="1" applyFont="1" applyFill="1" applyBorder="1" applyAlignment="1">
      <alignment horizontal="center"/>
    </xf>
    <xf numFmtId="0" fontId="66" fillId="5" borderId="97" xfId="1" applyFont="1" applyFill="1" applyBorder="1" applyAlignment="1">
      <alignment horizontal="center" wrapText="1"/>
    </xf>
    <xf numFmtId="0" fontId="66" fillId="5" borderId="13" xfId="1" applyFont="1" applyFill="1" applyBorder="1" applyAlignment="1">
      <alignment horizontal="center" wrapText="1"/>
    </xf>
    <xf numFmtId="0" fontId="75" fillId="5" borderId="46" xfId="1" applyFont="1" applyFill="1" applyBorder="1" applyAlignment="1">
      <alignment horizontal="left"/>
    </xf>
    <xf numFmtId="0" fontId="76" fillId="5" borderId="112" xfId="1" applyFont="1" applyFill="1" applyBorder="1" applyAlignment="1">
      <alignment horizontal="center"/>
    </xf>
    <xf numFmtId="0" fontId="76" fillId="5" borderId="22" xfId="1" applyFont="1" applyFill="1" applyBorder="1" applyAlignment="1">
      <alignment horizontal="center"/>
    </xf>
    <xf numFmtId="0" fontId="77" fillId="5" borderId="23" xfId="1" applyFont="1" applyFill="1" applyBorder="1" applyAlignment="1">
      <alignment horizontal="left"/>
    </xf>
    <xf numFmtId="0" fontId="66" fillId="5" borderId="24" xfId="1" applyFont="1" applyFill="1" applyBorder="1" applyAlignment="1">
      <alignment horizontal="center"/>
    </xf>
    <xf numFmtId="0" fontId="58" fillId="5" borderId="25" xfId="1" applyFont="1" applyFill="1" applyBorder="1" applyAlignment="1">
      <alignment horizontal="center"/>
    </xf>
    <xf numFmtId="0" fontId="66" fillId="5" borderId="27" xfId="1" applyFont="1" applyFill="1" applyBorder="1" applyAlignment="1">
      <alignment horizontal="center"/>
    </xf>
    <xf numFmtId="0" fontId="58" fillId="5" borderId="26" xfId="1" applyFont="1" applyFill="1" applyBorder="1" applyAlignment="1">
      <alignment horizontal="center"/>
    </xf>
    <xf numFmtId="0" fontId="58" fillId="5" borderId="27" xfId="1" applyFont="1" applyFill="1" applyBorder="1" applyAlignment="1">
      <alignment horizontal="center"/>
    </xf>
    <xf numFmtId="0" fontId="58" fillId="5" borderId="100" xfId="1" applyFont="1" applyFill="1" applyBorder="1" applyAlignment="1">
      <alignment horizontal="center"/>
    </xf>
    <xf numFmtId="0" fontId="58" fillId="5" borderId="28" xfId="1" applyFont="1" applyFill="1" applyBorder="1" applyAlignment="1">
      <alignment horizontal="center"/>
    </xf>
    <xf numFmtId="0" fontId="76" fillId="5" borderId="27" xfId="1" applyFont="1" applyFill="1" applyBorder="1" applyAlignment="1">
      <alignment horizontal="left"/>
    </xf>
    <xf numFmtId="0" fontId="76" fillId="5" borderId="28" xfId="1" applyFont="1" applyFill="1" applyBorder="1" applyAlignment="1">
      <alignment horizontal="center"/>
    </xf>
    <xf numFmtId="0" fontId="76" fillId="5" borderId="32" xfId="1" applyFont="1" applyFill="1" applyBorder="1" applyAlignment="1">
      <alignment horizontal="center"/>
    </xf>
    <xf numFmtId="0" fontId="76" fillId="5" borderId="47" xfId="1" applyFont="1" applyFill="1" applyBorder="1" applyAlignment="1">
      <alignment horizontal="center"/>
    </xf>
    <xf numFmtId="0" fontId="51" fillId="7" borderId="33" xfId="1" applyFont="1" applyFill="1" applyBorder="1" applyAlignment="1">
      <alignment horizontal="left"/>
    </xf>
    <xf numFmtId="3" fontId="51" fillId="8" borderId="11" xfId="1" applyNumberFormat="1" applyFont="1" applyFill="1" applyBorder="1" applyAlignment="1">
      <alignment horizontal="right"/>
    </xf>
    <xf numFmtId="9" fontId="51" fillId="8" borderId="33" xfId="3" applyFont="1" applyFill="1" applyBorder="1" applyAlignment="1">
      <alignment horizontal="center"/>
    </xf>
    <xf numFmtId="3" fontId="51" fillId="8" borderId="17" xfId="1" applyNumberFormat="1" applyFont="1" applyFill="1" applyBorder="1" applyAlignment="1">
      <alignment horizontal="right"/>
    </xf>
    <xf numFmtId="9" fontId="51" fillId="8" borderId="115" xfId="3" applyFont="1" applyFill="1" applyBorder="1" applyAlignment="1">
      <alignment horizontal="center"/>
    </xf>
    <xf numFmtId="9" fontId="51" fillId="8" borderId="114" xfId="3" applyFont="1" applyFill="1" applyBorder="1" applyAlignment="1">
      <alignment horizontal="center"/>
    </xf>
    <xf numFmtId="9" fontId="51" fillId="8" borderId="100" xfId="3" applyFont="1" applyFill="1" applyBorder="1" applyAlignment="1">
      <alignment horizontal="center"/>
    </xf>
    <xf numFmtId="9" fontId="51" fillId="8" borderId="0" xfId="3" applyFont="1" applyFill="1" applyBorder="1" applyAlignment="1">
      <alignment horizontal="center"/>
    </xf>
    <xf numFmtId="9" fontId="51" fillId="8" borderId="34" xfId="3" applyFont="1" applyFill="1" applyBorder="1" applyAlignment="1">
      <alignment horizontal="center"/>
    </xf>
    <xf numFmtId="9" fontId="51" fillId="7" borderId="34" xfId="3" applyFont="1" applyFill="1" applyBorder="1" applyAlignment="1">
      <alignment horizontal="center"/>
    </xf>
    <xf numFmtId="0" fontId="76" fillId="7" borderId="35" xfId="1" applyFont="1" applyFill="1" applyBorder="1" applyAlignment="1">
      <alignment horizontal="left"/>
    </xf>
    <xf numFmtId="3" fontId="76" fillId="7" borderId="35" xfId="1" applyNumberFormat="1" applyFont="1" applyFill="1" applyBorder="1" applyAlignment="1">
      <alignment horizontal="right"/>
    </xf>
    <xf numFmtId="3" fontId="76" fillId="7" borderId="37" xfId="1" applyNumberFormat="1" applyFont="1" applyFill="1" applyBorder="1" applyAlignment="1">
      <alignment horizontal="right"/>
    </xf>
    <xf numFmtId="164" fontId="76" fillId="7" borderId="37" xfId="2" applyNumberFormat="1" applyFont="1" applyFill="1" applyBorder="1" applyAlignment="1">
      <alignment horizontal="right"/>
    </xf>
    <xf numFmtId="9" fontId="76" fillId="7" borderId="37" xfId="3" applyFont="1" applyFill="1" applyBorder="1" applyAlignment="1">
      <alignment horizontal="center"/>
    </xf>
    <xf numFmtId="9" fontId="51" fillId="8" borderId="113" xfId="3" applyFont="1" applyFill="1" applyBorder="1" applyAlignment="1">
      <alignment horizontal="center"/>
    </xf>
    <xf numFmtId="0" fontId="46" fillId="0" borderId="34" xfId="1" applyFont="1" applyBorder="1" applyAlignment="1">
      <alignment horizontal="left"/>
    </xf>
    <xf numFmtId="3" fontId="46" fillId="0" borderId="33" xfId="1" applyNumberFormat="1" applyFont="1" applyBorder="1" applyAlignment="1">
      <alignment horizontal="right"/>
    </xf>
    <xf numFmtId="164" fontId="46" fillId="0" borderId="33" xfId="2" applyNumberFormat="1" applyFont="1" applyBorder="1" applyAlignment="1">
      <alignment horizontal="right"/>
    </xf>
    <xf numFmtId="9" fontId="46" fillId="0" borderId="33" xfId="3" applyFont="1" applyBorder="1" applyAlignment="1">
      <alignment horizontal="center"/>
    </xf>
    <xf numFmtId="3" fontId="46" fillId="2" borderId="33" xfId="1" applyNumberFormat="1" applyFont="1" applyFill="1" applyBorder="1" applyAlignment="1">
      <alignment horizontal="right"/>
    </xf>
    <xf numFmtId="0" fontId="76" fillId="7" borderId="34" xfId="1" applyFont="1" applyFill="1" applyBorder="1" applyAlignment="1">
      <alignment horizontal="left"/>
    </xf>
    <xf numFmtId="3" fontId="76" fillId="7" borderId="34" xfId="1" applyNumberFormat="1" applyFont="1" applyFill="1" applyBorder="1" applyAlignment="1">
      <alignment horizontal="right"/>
    </xf>
    <xf numFmtId="3" fontId="76" fillId="7" borderId="33" xfId="1" applyNumberFormat="1" applyFont="1" applyFill="1" applyBorder="1" applyAlignment="1">
      <alignment horizontal="right"/>
    </xf>
    <xf numFmtId="164" fontId="76" fillId="7" borderId="33" xfId="2" applyNumberFormat="1" applyFont="1" applyFill="1" applyBorder="1" applyAlignment="1">
      <alignment horizontal="right"/>
    </xf>
    <xf numFmtId="9" fontId="76" fillId="7" borderId="33" xfId="3" applyFont="1" applyFill="1" applyBorder="1" applyAlignment="1">
      <alignment horizontal="center"/>
    </xf>
    <xf numFmtId="0" fontId="51" fillId="7" borderId="45" xfId="1" applyFont="1" applyFill="1" applyBorder="1" applyAlignment="1">
      <alignment horizontal="left"/>
    </xf>
    <xf numFmtId="9" fontId="51" fillId="8" borderId="22" xfId="3" applyFont="1" applyFill="1" applyBorder="1" applyAlignment="1">
      <alignment horizontal="center"/>
    </xf>
    <xf numFmtId="9" fontId="51" fillId="8" borderId="116" xfId="3" applyFont="1" applyFill="1" applyBorder="1" applyAlignment="1">
      <alignment horizontal="center"/>
    </xf>
    <xf numFmtId="9" fontId="51" fillId="8" borderId="103" xfId="3" applyFont="1" applyFill="1" applyBorder="1" applyAlignment="1">
      <alignment horizontal="center"/>
    </xf>
    <xf numFmtId="9" fontId="51" fillId="8" borderId="46" xfId="3" applyFont="1" applyFill="1" applyBorder="1" applyAlignment="1">
      <alignment horizontal="center"/>
    </xf>
    <xf numFmtId="9" fontId="51" fillId="8" borderId="45" xfId="3" applyFont="1" applyFill="1" applyBorder="1" applyAlignment="1">
      <alignment horizontal="center"/>
    </xf>
    <xf numFmtId="3" fontId="46" fillId="0" borderId="34" xfId="1" applyNumberFormat="1" applyFont="1" applyBorder="1" applyAlignment="1">
      <alignment horizontal="right"/>
    </xf>
    <xf numFmtId="0" fontId="51" fillId="0" borderId="34" xfId="1" applyFont="1" applyBorder="1" applyAlignment="1">
      <alignment horizontal="left"/>
    </xf>
    <xf numFmtId="9" fontId="51" fillId="0" borderId="33" xfId="3" applyFont="1" applyFill="1" applyBorder="1" applyAlignment="1">
      <alignment horizontal="center"/>
    </xf>
    <xf numFmtId="3" fontId="51" fillId="0" borderId="11" xfId="1" applyNumberFormat="1" applyFont="1" applyBorder="1" applyAlignment="1">
      <alignment horizontal="right"/>
    </xf>
    <xf numFmtId="9" fontId="51" fillId="0" borderId="113" xfId="3" applyFont="1" applyFill="1" applyBorder="1" applyAlignment="1">
      <alignment horizontal="center"/>
    </xf>
    <xf numFmtId="9" fontId="51" fillId="0" borderId="114" xfId="3" applyFont="1" applyFill="1" applyBorder="1" applyAlignment="1">
      <alignment horizontal="center"/>
    </xf>
    <xf numFmtId="9" fontId="51" fillId="0" borderId="100" xfId="3" applyFont="1" applyFill="1" applyBorder="1" applyAlignment="1">
      <alignment horizontal="center"/>
    </xf>
    <xf numFmtId="9" fontId="51" fillId="0" borderId="0" xfId="3" applyFont="1" applyFill="1" applyBorder="1" applyAlignment="1">
      <alignment horizontal="center"/>
    </xf>
    <xf numFmtId="9" fontId="51" fillId="0" borderId="34" xfId="3" applyFont="1" applyFill="1" applyBorder="1" applyAlignment="1">
      <alignment horizontal="center"/>
    </xf>
    <xf numFmtId="9" fontId="51" fillId="0" borderId="34" xfId="3" applyFont="1" applyBorder="1" applyAlignment="1">
      <alignment horizontal="center"/>
    </xf>
    <xf numFmtId="0" fontId="51" fillId="7" borderId="47" xfId="1" applyFont="1" applyFill="1" applyBorder="1" applyAlignment="1">
      <alignment horizontal="left"/>
    </xf>
    <xf numFmtId="3" fontId="51" fillId="8" borderId="23" xfId="1" applyNumberFormat="1" applyFont="1" applyFill="1" applyBorder="1" applyAlignment="1">
      <alignment horizontal="right"/>
    </xf>
    <xf numFmtId="9" fontId="51" fillId="8" borderId="29" xfId="3" applyFont="1" applyFill="1" applyBorder="1" applyAlignment="1">
      <alignment horizontal="center"/>
    </xf>
    <xf numFmtId="9" fontId="51" fillId="8" borderId="117" xfId="3" applyFont="1" applyFill="1" applyBorder="1" applyAlignment="1">
      <alignment horizontal="center"/>
    </xf>
    <xf numFmtId="9" fontId="51" fillId="8" borderId="118" xfId="3" applyFont="1" applyFill="1" applyBorder="1" applyAlignment="1">
      <alignment horizontal="center"/>
    </xf>
    <xf numFmtId="9" fontId="51" fillId="8" borderId="104" xfId="3" applyFont="1" applyFill="1" applyBorder="1" applyAlignment="1">
      <alignment horizontal="center"/>
    </xf>
    <xf numFmtId="3" fontId="51" fillId="8" borderId="47" xfId="1" applyNumberFormat="1" applyFont="1" applyFill="1" applyBorder="1" applyAlignment="1">
      <alignment horizontal="right"/>
    </xf>
    <xf numFmtId="9" fontId="51" fillId="8" borderId="27" xfId="3" applyFont="1" applyFill="1" applyBorder="1" applyAlignment="1">
      <alignment horizontal="center"/>
    </xf>
    <xf numFmtId="9" fontId="51" fillId="7" borderId="47" xfId="3" applyFont="1" applyFill="1" applyBorder="1" applyAlignment="1">
      <alignment horizontal="center"/>
    </xf>
    <xf numFmtId="0" fontId="38" fillId="0" borderId="34" xfId="1" applyFont="1" applyBorder="1" applyAlignment="1">
      <alignment horizontal="left"/>
    </xf>
    <xf numFmtId="9" fontId="38" fillId="0" borderId="33" xfId="3" applyFont="1" applyFill="1" applyBorder="1" applyAlignment="1">
      <alignment horizontal="center"/>
    </xf>
    <xf numFmtId="9" fontId="38" fillId="0" borderId="113" xfId="3" applyFont="1" applyFill="1" applyBorder="1" applyAlignment="1">
      <alignment horizontal="center"/>
    </xf>
    <xf numFmtId="9" fontId="38" fillId="0" borderId="114" xfId="3" applyFont="1" applyFill="1" applyBorder="1" applyAlignment="1">
      <alignment horizontal="center"/>
    </xf>
    <xf numFmtId="9" fontId="38" fillId="0" borderId="100" xfId="3" applyFont="1" applyFill="1" applyBorder="1" applyAlignment="1">
      <alignment horizontal="center"/>
    </xf>
    <xf numFmtId="3" fontId="38" fillId="0" borderId="34" xfId="1" applyNumberFormat="1" applyFont="1" applyBorder="1" applyAlignment="1">
      <alignment horizontal="right"/>
    </xf>
    <xf numFmtId="3" fontId="38" fillId="0" borderId="0" xfId="1" applyNumberFormat="1" applyFont="1" applyAlignment="1">
      <alignment horizontal="right"/>
    </xf>
    <xf numFmtId="9" fontId="38" fillId="0" borderId="0" xfId="3" applyFont="1" applyFill="1" applyBorder="1" applyAlignment="1">
      <alignment horizontal="center"/>
    </xf>
    <xf numFmtId="9" fontId="38" fillId="0" borderId="34" xfId="3" applyFont="1" applyFill="1" applyBorder="1" applyAlignment="1">
      <alignment horizontal="center"/>
    </xf>
    <xf numFmtId="9" fontId="38" fillId="0" borderId="34" xfId="3" applyFont="1" applyBorder="1" applyAlignment="1">
      <alignment horizontal="center"/>
    </xf>
    <xf numFmtId="164" fontId="52" fillId="0" borderId="0" xfId="2" applyNumberFormat="1" applyFont="1" applyFill="1" applyBorder="1" applyAlignment="1">
      <alignment horizontal="right"/>
    </xf>
    <xf numFmtId="3" fontId="51" fillId="0" borderId="34" xfId="1" applyNumberFormat="1" applyFont="1" applyBorder="1" applyAlignment="1">
      <alignment horizontal="right"/>
    </xf>
    <xf numFmtId="3" fontId="76" fillId="8" borderId="35" xfId="1" applyNumberFormat="1" applyFont="1" applyFill="1" applyBorder="1" applyAlignment="1">
      <alignment horizontal="right"/>
    </xf>
    <xf numFmtId="0" fontId="11" fillId="0" borderId="0" xfId="1" applyFont="1" applyAlignment="1">
      <alignment horizontal="center"/>
    </xf>
    <xf numFmtId="3" fontId="51" fillId="0" borderId="47" xfId="1" applyNumberFormat="1" applyFont="1" applyBorder="1" applyAlignment="1">
      <alignment horizontal="right"/>
    </xf>
    <xf numFmtId="0" fontId="51" fillId="7" borderId="35" xfId="1" applyFont="1" applyFill="1" applyBorder="1" applyAlignment="1">
      <alignment horizontal="left"/>
    </xf>
    <xf numFmtId="3" fontId="51" fillId="8" borderId="36" xfId="1" applyNumberFormat="1" applyFont="1" applyFill="1" applyBorder="1" applyAlignment="1">
      <alignment horizontal="right"/>
    </xf>
    <xf numFmtId="9" fontId="51" fillId="8" borderId="37" xfId="3" applyFont="1" applyFill="1" applyBorder="1" applyAlignment="1">
      <alignment horizontal="center"/>
    </xf>
    <xf numFmtId="9" fontId="51" fillId="8" borderId="119" xfId="3" applyFont="1" applyFill="1" applyBorder="1" applyAlignment="1">
      <alignment horizontal="center"/>
    </xf>
    <xf numFmtId="9" fontId="51" fillId="8" borderId="120" xfId="3" applyFont="1" applyFill="1" applyBorder="1" applyAlignment="1">
      <alignment horizontal="center"/>
    </xf>
    <xf numFmtId="9" fontId="51" fillId="8" borderId="107" xfId="3" applyFont="1" applyFill="1" applyBorder="1" applyAlignment="1">
      <alignment horizontal="center"/>
    </xf>
    <xf numFmtId="9" fontId="51" fillId="8" borderId="51" xfId="3" applyFont="1" applyFill="1" applyBorder="1" applyAlignment="1">
      <alignment horizontal="center"/>
    </xf>
    <xf numFmtId="9" fontId="51" fillId="8" borderId="35" xfId="3" applyFont="1" applyFill="1" applyBorder="1" applyAlignment="1">
      <alignment horizontal="center"/>
    </xf>
    <xf numFmtId="9" fontId="51" fillId="7" borderId="35" xfId="3" applyFont="1" applyFill="1" applyBorder="1" applyAlignment="1">
      <alignment horizontal="center"/>
    </xf>
    <xf numFmtId="0" fontId="58" fillId="0" borderId="0" xfId="2" applyNumberFormat="1" applyFont="1" applyFill="1" applyBorder="1" applyAlignment="1">
      <alignment horizontal="right"/>
    </xf>
    <xf numFmtId="9" fontId="51" fillId="0" borderId="117" xfId="3" applyFont="1" applyFill="1" applyBorder="1" applyAlignment="1">
      <alignment horizontal="center"/>
    </xf>
    <xf numFmtId="9" fontId="51" fillId="0" borderId="118" xfId="3" applyFont="1" applyFill="1" applyBorder="1" applyAlignment="1">
      <alignment horizontal="center"/>
    </xf>
    <xf numFmtId="9" fontId="51" fillId="0" borderId="104" xfId="3" applyFont="1" applyFill="1" applyBorder="1" applyAlignment="1">
      <alignment horizontal="center"/>
    </xf>
    <xf numFmtId="9" fontId="51" fillId="0" borderId="47" xfId="3" applyFont="1" applyBorder="1" applyAlignment="1">
      <alignment horizontal="center"/>
    </xf>
    <xf numFmtId="0" fontId="51" fillId="0" borderId="17" xfId="1" applyFont="1" applyBorder="1" applyAlignment="1">
      <alignment horizontal="left"/>
    </xf>
    <xf numFmtId="0" fontId="15" fillId="0" borderId="46" xfId="1" applyFont="1" applyBorder="1"/>
    <xf numFmtId="0" fontId="8" fillId="0" borderId="0" xfId="1" applyFont="1"/>
    <xf numFmtId="164" fontId="15" fillId="0" borderId="0" xfId="2" applyNumberFormat="1" applyFont="1"/>
    <xf numFmtId="0" fontId="78" fillId="9" borderId="62" xfId="1" applyFont="1" applyFill="1" applyBorder="1" applyAlignment="1">
      <alignment horizontal="center"/>
    </xf>
    <xf numFmtId="0" fontId="78" fillId="9" borderId="63" xfId="1" applyFont="1" applyFill="1" applyBorder="1" applyAlignment="1">
      <alignment horizontal="center"/>
    </xf>
    <xf numFmtId="0" fontId="78" fillId="9" borderId="64" xfId="1" applyFont="1" applyFill="1" applyBorder="1" applyAlignment="1">
      <alignment horizontal="center"/>
    </xf>
    <xf numFmtId="0" fontId="21" fillId="5" borderId="73" xfId="1" applyFont="1" applyFill="1" applyBorder="1" applyAlignment="1">
      <alignment horizontal="center"/>
    </xf>
    <xf numFmtId="3" fontId="25" fillId="7" borderId="75" xfId="1" applyNumberFormat="1" applyFont="1" applyFill="1" applyBorder="1" applyAlignment="1">
      <alignment horizontal="right"/>
    </xf>
    <xf numFmtId="3" fontId="31" fillId="0" borderId="11" xfId="1" applyNumberFormat="1" applyFont="1" applyBorder="1" applyAlignment="1">
      <alignment horizontal="right"/>
    </xf>
    <xf numFmtId="3" fontId="25" fillId="7" borderId="121" xfId="1" applyNumberFormat="1" applyFont="1" applyFill="1" applyBorder="1" applyAlignment="1">
      <alignment horizontal="right"/>
    </xf>
    <xf numFmtId="0" fontId="79" fillId="0" borderId="0" xfId="1" applyFont="1"/>
    <xf numFmtId="0" fontId="80" fillId="0" borderId="17" xfId="1" applyFont="1" applyBorder="1" applyAlignment="1">
      <alignment horizontal="left"/>
    </xf>
    <xf numFmtId="3" fontId="79" fillId="0" borderId="0" xfId="1" applyNumberFormat="1" applyFont="1"/>
    <xf numFmtId="164" fontId="81" fillId="0" borderId="0" xfId="2" applyNumberFormat="1" applyFont="1" applyFill="1" applyBorder="1" applyAlignment="1">
      <alignment horizontal="right"/>
    </xf>
    <xf numFmtId="164" fontId="82" fillId="0" borderId="0" xfId="2" applyNumberFormat="1" applyFont="1" applyFill="1" applyBorder="1" applyAlignment="1">
      <alignment horizontal="right"/>
    </xf>
    <xf numFmtId="3" fontId="61" fillId="0" borderId="0" xfId="1" applyNumberFormat="1" applyFont="1"/>
    <xf numFmtId="0" fontId="59" fillId="0" borderId="0" xfId="1" applyFont="1"/>
    <xf numFmtId="0" fontId="10" fillId="6" borderId="27" xfId="1" applyFont="1" applyFill="1" applyBorder="1" applyAlignment="1">
      <alignment horizontal="center"/>
    </xf>
    <xf numFmtId="0" fontId="78" fillId="9" borderId="6" xfId="1" applyFont="1" applyFill="1" applyBorder="1" applyAlignment="1">
      <alignment horizontal="center"/>
    </xf>
    <xf numFmtId="0" fontId="78" fillId="9" borderId="7" xfId="1" applyFont="1" applyFill="1" applyBorder="1" applyAlignment="1">
      <alignment horizontal="center"/>
    </xf>
    <xf numFmtId="0" fontId="78" fillId="9" borderId="79" xfId="1" applyFont="1" applyFill="1" applyBorder="1" applyAlignment="1">
      <alignment horizontal="center"/>
    </xf>
    <xf numFmtId="0" fontId="21" fillId="5" borderId="122" xfId="1" applyFont="1" applyFill="1" applyBorder="1" applyAlignment="1">
      <alignment horizontal="center"/>
    </xf>
    <xf numFmtId="0" fontId="21" fillId="5" borderId="2" xfId="1" applyFont="1" applyFill="1" applyBorder="1" applyAlignment="1">
      <alignment horizontal="center"/>
    </xf>
    <xf numFmtId="0" fontId="21" fillId="5" borderId="85" xfId="1" applyFont="1" applyFill="1" applyBorder="1" applyAlignment="1">
      <alignment horizontal="center"/>
    </xf>
    <xf numFmtId="0" fontId="21" fillId="5" borderId="86" xfId="1" applyFont="1" applyFill="1" applyBorder="1" applyAlignment="1">
      <alignment horizontal="center"/>
    </xf>
    <xf numFmtId="0" fontId="21" fillId="5" borderId="123" xfId="1" applyFont="1" applyFill="1" applyBorder="1" applyAlignment="1">
      <alignment horizontal="center"/>
    </xf>
    <xf numFmtId="0" fontId="21" fillId="5" borderId="124" xfId="1" applyFont="1" applyFill="1" applyBorder="1" applyAlignment="1">
      <alignment horizontal="center"/>
    </xf>
    <xf numFmtId="0" fontId="21" fillId="5" borderId="125" xfId="1" applyFont="1" applyFill="1" applyBorder="1" applyAlignment="1">
      <alignment horizontal="center"/>
    </xf>
    <xf numFmtId="0" fontId="21" fillId="10" borderId="126" xfId="1" applyFont="1" applyFill="1" applyBorder="1" applyAlignment="1">
      <alignment horizontal="center"/>
    </xf>
    <xf numFmtId="0" fontId="21" fillId="10" borderId="127" xfId="1" applyFont="1" applyFill="1" applyBorder="1" applyAlignment="1">
      <alignment horizontal="center"/>
    </xf>
    <xf numFmtId="0" fontId="21" fillId="10" borderId="128" xfId="1" applyFont="1" applyFill="1" applyBorder="1" applyAlignment="1">
      <alignment horizontal="center"/>
    </xf>
    <xf numFmtId="0" fontId="21" fillId="5" borderId="68" xfId="1" applyFont="1" applyFill="1" applyBorder="1" applyAlignment="1">
      <alignment horizontal="center"/>
    </xf>
    <xf numFmtId="3" fontId="25" fillId="7" borderId="129" xfId="1" applyNumberFormat="1" applyFont="1" applyFill="1" applyBorder="1" applyAlignment="1">
      <alignment horizontal="right"/>
    </xf>
    <xf numFmtId="3" fontId="27" fillId="0" borderId="130" xfId="1" applyNumberFormat="1" applyFont="1" applyBorder="1" applyAlignment="1">
      <alignment horizontal="right"/>
    </xf>
    <xf numFmtId="3" fontId="25" fillId="8" borderId="27" xfId="1" applyNumberFormat="1" applyFont="1" applyFill="1" applyBorder="1" applyAlignment="1">
      <alignment horizontal="right"/>
    </xf>
    <xf numFmtId="3" fontId="25" fillId="7" borderId="131" xfId="1" applyNumberFormat="1" applyFont="1" applyFill="1" applyBorder="1" applyAlignment="1">
      <alignment horizontal="right"/>
    </xf>
    <xf numFmtId="164" fontId="50" fillId="0" borderId="0" xfId="2" applyNumberFormat="1" applyFont="1" applyFill="1" applyBorder="1" applyAlignment="1">
      <alignment horizontal="center"/>
    </xf>
    <xf numFmtId="3" fontId="25" fillId="8" borderId="51" xfId="1" applyNumberFormat="1" applyFont="1" applyFill="1" applyBorder="1" applyAlignment="1">
      <alignment horizontal="right"/>
    </xf>
    <xf numFmtId="9" fontId="18" fillId="2" borderId="37" xfId="3" applyFont="1" applyFill="1" applyBorder="1" applyAlignment="1">
      <alignment horizontal="center"/>
    </xf>
    <xf numFmtId="0" fontId="17" fillId="5" borderId="80" xfId="1" applyFont="1" applyFill="1" applyBorder="1" applyAlignment="1">
      <alignment horizontal="center" wrapText="1"/>
    </xf>
    <xf numFmtId="0" fontId="24" fillId="5" borderId="132" xfId="1" applyFont="1" applyFill="1" applyBorder="1" applyAlignment="1">
      <alignment horizontal="center"/>
    </xf>
    <xf numFmtId="0" fontId="17" fillId="5" borderId="0" xfId="1" applyFont="1" applyFill="1" applyAlignment="1">
      <alignment horizontal="center"/>
    </xf>
    <xf numFmtId="9" fontId="25" fillId="7" borderId="0" xfId="3" applyFont="1" applyFill="1" applyBorder="1" applyAlignment="1">
      <alignment horizontal="right"/>
    </xf>
    <xf numFmtId="3" fontId="25" fillId="7" borderId="133" xfId="1" applyNumberFormat="1" applyFont="1" applyFill="1" applyBorder="1" applyAlignment="1">
      <alignment horizontal="right"/>
    </xf>
    <xf numFmtId="9" fontId="25" fillId="7" borderId="45" xfId="3" applyFont="1" applyFill="1" applyBorder="1" applyAlignment="1">
      <alignment horizontal="center"/>
    </xf>
    <xf numFmtId="9" fontId="25" fillId="7" borderId="11" xfId="3" applyFont="1" applyFill="1" applyBorder="1" applyAlignment="1">
      <alignment horizontal="center"/>
    </xf>
    <xf numFmtId="164" fontId="35" fillId="0" borderId="0" xfId="2" applyNumberFormat="1" applyFont="1" applyFill="1" applyBorder="1" applyAlignment="1">
      <alignment horizontal="center"/>
    </xf>
    <xf numFmtId="3" fontId="35" fillId="0" borderId="35" xfId="1" applyNumberFormat="1" applyFont="1" applyBorder="1" applyAlignment="1">
      <alignment horizontal="right"/>
    </xf>
    <xf numFmtId="3" fontId="25" fillId="7" borderId="134" xfId="1" applyNumberFormat="1" applyFont="1" applyFill="1" applyBorder="1" applyAlignment="1">
      <alignment horizontal="right"/>
    </xf>
    <xf numFmtId="164" fontId="0" fillId="0" borderId="0" xfId="2" applyNumberFormat="1" applyFont="1" applyFill="1" applyBorder="1"/>
    <xf numFmtId="9" fontId="83" fillId="0" borderId="33" xfId="3" applyFont="1" applyBorder="1" applyAlignment="1">
      <alignment horizontal="center"/>
    </xf>
    <xf numFmtId="164" fontId="33" fillId="0" borderId="0" xfId="2" applyNumberFormat="1" applyFont="1" applyFill="1" applyBorder="1" applyAlignment="1">
      <alignment horizontal="center"/>
    </xf>
    <xf numFmtId="0" fontId="5" fillId="2" borderId="60" xfId="1" applyFill="1" applyBorder="1"/>
    <xf numFmtId="9" fontId="25" fillId="7" borderId="17" xfId="3" applyFont="1" applyFill="1" applyBorder="1" applyAlignment="1">
      <alignment horizontal="center"/>
    </xf>
    <xf numFmtId="9" fontId="25" fillId="0" borderId="0" xfId="3" applyFont="1" applyFill="1" applyBorder="1" applyAlignment="1">
      <alignment horizontal="right"/>
    </xf>
    <xf numFmtId="9" fontId="25" fillId="0" borderId="11" xfId="3" applyFont="1" applyBorder="1" applyAlignment="1">
      <alignment horizontal="center"/>
    </xf>
    <xf numFmtId="9" fontId="25" fillId="7" borderId="27" xfId="3" applyFont="1" applyFill="1" applyBorder="1" applyAlignment="1">
      <alignment horizontal="right"/>
    </xf>
    <xf numFmtId="9" fontId="25" fillId="7" borderId="23" xfId="3" applyFont="1" applyFill="1" applyBorder="1" applyAlignment="1">
      <alignment horizontal="center"/>
    </xf>
    <xf numFmtId="9" fontId="27" fillId="0" borderId="0" xfId="3" applyFont="1" applyFill="1" applyBorder="1" applyAlignment="1">
      <alignment horizontal="right"/>
    </xf>
    <xf numFmtId="9" fontId="27" fillId="0" borderId="11" xfId="3" applyFont="1" applyBorder="1" applyAlignment="1">
      <alignment horizontal="center"/>
    </xf>
    <xf numFmtId="3" fontId="7" fillId="0" borderId="0" xfId="1" applyNumberFormat="1" applyFont="1"/>
    <xf numFmtId="9" fontId="25" fillId="0" borderId="0" xfId="3" applyFont="1" applyBorder="1" applyAlignment="1">
      <alignment horizontal="right"/>
    </xf>
    <xf numFmtId="9" fontId="25" fillId="7" borderId="51" xfId="3" applyFont="1" applyFill="1" applyBorder="1" applyAlignment="1">
      <alignment horizontal="right"/>
    </xf>
    <xf numFmtId="9" fontId="25" fillId="7" borderId="36" xfId="3" applyFont="1" applyFill="1" applyBorder="1" applyAlignment="1">
      <alignment horizontal="center"/>
    </xf>
    <xf numFmtId="9" fontId="27" fillId="0" borderId="11" xfId="3" applyFont="1" applyFill="1" applyBorder="1" applyAlignment="1">
      <alignment horizontal="center"/>
    </xf>
    <xf numFmtId="9" fontId="25" fillId="0" borderId="27" xfId="3" applyFont="1" applyFill="1" applyBorder="1" applyAlignment="1">
      <alignment horizontal="right"/>
    </xf>
    <xf numFmtId="9" fontId="25" fillId="0" borderId="23" xfId="3" applyFont="1" applyBorder="1" applyAlignment="1">
      <alignment horizontal="center"/>
    </xf>
    <xf numFmtId="3" fontId="35" fillId="0" borderId="46" xfId="1" applyNumberFormat="1" applyFont="1" applyBorder="1" applyAlignment="1">
      <alignment horizontal="right"/>
    </xf>
    <xf numFmtId="0" fontId="5" fillId="0" borderId="46" xfId="1" applyBorder="1"/>
    <xf numFmtId="0" fontId="21" fillId="4" borderId="93" xfId="1" applyFont="1" applyFill="1" applyBorder="1" applyAlignment="1">
      <alignment horizontal="center"/>
    </xf>
    <xf numFmtId="0" fontId="21" fillId="4" borderId="94" xfId="1" applyFont="1" applyFill="1" applyBorder="1" applyAlignment="1">
      <alignment horizontal="center"/>
    </xf>
    <xf numFmtId="0" fontId="21" fillId="4" borderId="82" xfId="1" applyFont="1" applyFill="1" applyBorder="1" applyAlignment="1">
      <alignment horizontal="center"/>
    </xf>
    <xf numFmtId="0" fontId="21" fillId="5" borderId="135" xfId="1" applyFont="1" applyFill="1" applyBorder="1" applyAlignment="1">
      <alignment horizontal="center"/>
    </xf>
    <xf numFmtId="0" fontId="21" fillId="5" borderId="136" xfId="1" applyFont="1" applyFill="1" applyBorder="1" applyAlignment="1">
      <alignment horizontal="center"/>
    </xf>
    <xf numFmtId="0" fontId="21" fillId="5" borderId="137" xfId="1" applyFont="1" applyFill="1" applyBorder="1" applyAlignment="1">
      <alignment horizontal="center"/>
    </xf>
    <xf numFmtId="0" fontId="21" fillId="5" borderId="138" xfId="1" applyFont="1" applyFill="1" applyBorder="1" applyAlignment="1">
      <alignment horizontal="center"/>
    </xf>
    <xf numFmtId="0" fontId="21" fillId="5" borderId="139" xfId="1" applyFont="1" applyFill="1" applyBorder="1" applyAlignment="1">
      <alignment horizontal="center"/>
    </xf>
    <xf numFmtId="0" fontId="21" fillId="5" borderId="140" xfId="1" applyFont="1" applyFill="1" applyBorder="1" applyAlignment="1">
      <alignment horizontal="center"/>
    </xf>
    <xf numFmtId="0" fontId="21" fillId="5" borderId="141" xfId="1" applyFont="1" applyFill="1" applyBorder="1" applyAlignment="1">
      <alignment horizontal="center"/>
    </xf>
    <xf numFmtId="3" fontId="25" fillId="8" borderId="0" xfId="1" applyNumberFormat="1" applyFont="1" applyFill="1" applyAlignment="1">
      <alignment horizontal="right"/>
    </xf>
    <xf numFmtId="3" fontId="25" fillId="7" borderId="142" xfId="1" applyNumberFormat="1" applyFont="1" applyFill="1" applyBorder="1" applyAlignment="1">
      <alignment horizontal="right"/>
    </xf>
    <xf numFmtId="3" fontId="25" fillId="7" borderId="143" xfId="1" applyNumberFormat="1" applyFont="1" applyFill="1" applyBorder="1" applyAlignment="1">
      <alignment horizontal="right"/>
    </xf>
    <xf numFmtId="3" fontId="25" fillId="7" borderId="144" xfId="1" applyNumberFormat="1" applyFont="1" applyFill="1" applyBorder="1" applyAlignment="1">
      <alignment horizontal="right"/>
    </xf>
    <xf numFmtId="3" fontId="27" fillId="0" borderId="145" xfId="1" applyNumberFormat="1" applyFont="1" applyBorder="1" applyAlignment="1">
      <alignment horizontal="right"/>
    </xf>
    <xf numFmtId="3" fontId="27" fillId="0" borderId="146" xfId="1" applyNumberFormat="1" applyFont="1" applyBorder="1" applyAlignment="1">
      <alignment horizontal="right"/>
    </xf>
    <xf numFmtId="3" fontId="27" fillId="0" borderId="147" xfId="1" applyNumberFormat="1" applyFont="1" applyBorder="1" applyAlignment="1">
      <alignment horizontal="right"/>
    </xf>
    <xf numFmtId="3" fontId="25" fillId="7" borderId="148" xfId="1" applyNumberFormat="1" applyFont="1" applyFill="1" applyBorder="1" applyAlignment="1">
      <alignment horizontal="right"/>
    </xf>
    <xf numFmtId="3" fontId="25" fillId="7" borderId="149" xfId="1" applyNumberFormat="1" applyFont="1" applyFill="1" applyBorder="1" applyAlignment="1">
      <alignment horizontal="right"/>
    </xf>
    <xf numFmtId="3" fontId="25" fillId="7" borderId="150" xfId="1" applyNumberFormat="1" applyFont="1" applyFill="1" applyBorder="1" applyAlignment="1">
      <alignment horizontal="right"/>
    </xf>
    <xf numFmtId="3" fontId="25" fillId="7" borderId="151" xfId="1" applyNumberFormat="1" applyFont="1" applyFill="1" applyBorder="1" applyAlignment="1">
      <alignment horizontal="right"/>
    </xf>
    <xf numFmtId="3" fontId="25" fillId="8" borderId="46" xfId="1" applyNumberFormat="1" applyFont="1" applyFill="1" applyBorder="1" applyAlignment="1">
      <alignment horizontal="right"/>
    </xf>
    <xf numFmtId="3" fontId="27" fillId="0" borderId="152" xfId="1" applyNumberFormat="1" applyFont="1" applyBorder="1" applyAlignment="1">
      <alignment horizontal="right"/>
    </xf>
    <xf numFmtId="3" fontId="25" fillId="7" borderId="153" xfId="1" applyNumberFormat="1" applyFont="1" applyFill="1" applyBorder="1" applyAlignment="1">
      <alignment horizontal="right"/>
    </xf>
    <xf numFmtId="3" fontId="25" fillId="7" borderId="154" xfId="1" applyNumberFormat="1" applyFont="1" applyFill="1" applyBorder="1" applyAlignment="1">
      <alignment horizontal="right"/>
    </xf>
    <xf numFmtId="3" fontId="25" fillId="7" borderId="155" xfId="1" applyNumberFormat="1" applyFont="1" applyFill="1" applyBorder="1" applyAlignment="1">
      <alignment horizontal="right"/>
    </xf>
    <xf numFmtId="3" fontId="8" fillId="0" borderId="0" xfId="1" applyNumberFormat="1" applyFont="1"/>
    <xf numFmtId="3" fontId="25" fillId="0" borderId="27" xfId="1" applyNumberFormat="1" applyFont="1" applyBorder="1" applyAlignment="1">
      <alignment horizontal="right"/>
    </xf>
    <xf numFmtId="3" fontId="11" fillId="2" borderId="0" xfId="1" applyNumberFormat="1" applyFont="1" applyFill="1"/>
    <xf numFmtId="3" fontId="76" fillId="0" borderId="46" xfId="1" applyNumberFormat="1" applyFont="1" applyBorder="1" applyAlignment="1">
      <alignment horizontal="right"/>
    </xf>
    <xf numFmtId="0" fontId="11" fillId="2" borderId="46" xfId="1" applyFont="1" applyFill="1" applyBorder="1"/>
    <xf numFmtId="3" fontId="76" fillId="2" borderId="0" xfId="1" applyNumberFormat="1" applyFont="1" applyFill="1" applyAlignment="1">
      <alignment horizontal="right"/>
    </xf>
    <xf numFmtId="3" fontId="18" fillId="2" borderId="0" xfId="1" applyNumberFormat="1" applyFont="1" applyFill="1" applyAlignment="1">
      <alignment horizontal="right"/>
    </xf>
    <xf numFmtId="3" fontId="76" fillId="0" borderId="0" xfId="1" applyNumberFormat="1" applyFont="1" applyAlignment="1">
      <alignment horizontal="right"/>
    </xf>
    <xf numFmtId="3" fontId="84" fillId="0" borderId="0" xfId="1" applyNumberFormat="1" applyFont="1" applyAlignment="1">
      <alignment horizontal="right"/>
    </xf>
    <xf numFmtId="49" fontId="85" fillId="0" borderId="0" xfId="1" applyNumberFormat="1" applyFont="1"/>
    <xf numFmtId="0" fontId="86" fillId="0" borderId="0" xfId="4" applyFont="1" applyAlignment="1">
      <alignment vertical="center"/>
    </xf>
    <xf numFmtId="0" fontId="87" fillId="0" borderId="0" xfId="1" applyFont="1"/>
    <xf numFmtId="49" fontId="88" fillId="0" borderId="0" xfId="1" applyNumberFormat="1" applyFont="1"/>
    <xf numFmtId="0" fontId="89" fillId="0" borderId="0" xfId="1" applyFont="1"/>
    <xf numFmtId="41" fontId="87" fillId="0" borderId="0" xfId="7" applyFont="1"/>
    <xf numFmtId="49" fontId="90" fillId="0" borderId="0" xfId="4" applyNumberFormat="1" applyFont="1"/>
    <xf numFmtId="0" fontId="91" fillId="0" borderId="0" xfId="4" applyFont="1" applyAlignment="1">
      <alignment vertical="center"/>
    </xf>
    <xf numFmtId="0" fontId="88" fillId="0" borderId="0" xfId="1" applyFont="1"/>
    <xf numFmtId="41" fontId="0" fillId="0" borderId="0" xfId="7" applyFont="1"/>
    <xf numFmtId="49" fontId="92" fillId="0" borderId="0" xfId="4" applyNumberFormat="1" applyFont="1"/>
    <xf numFmtId="49" fontId="91" fillId="0" borderId="0" xfId="4" applyNumberFormat="1" applyFont="1"/>
    <xf numFmtId="0" fontId="93" fillId="0" borderId="0" xfId="4" applyFont="1" applyAlignment="1">
      <alignment vertical="center"/>
    </xf>
    <xf numFmtId="49" fontId="94" fillId="0" borderId="0" xfId="4" applyNumberFormat="1" applyFont="1"/>
    <xf numFmtId="164" fontId="87" fillId="0" borderId="0" xfId="2" applyNumberFormat="1" applyFont="1"/>
    <xf numFmtId="164" fontId="87" fillId="0" borderId="0" xfId="1" applyNumberFormat="1" applyFont="1"/>
    <xf numFmtId="49" fontId="88" fillId="3" borderId="0" xfId="1" applyNumberFormat="1" applyFont="1" applyFill="1"/>
    <xf numFmtId="3" fontId="87" fillId="0" borderId="0" xfId="1" applyNumberFormat="1" applyFont="1"/>
    <xf numFmtId="43" fontId="87" fillId="0" borderId="0" xfId="1" applyNumberFormat="1" applyFont="1"/>
    <xf numFmtId="41" fontId="5" fillId="0" borderId="0" xfId="1" applyNumberFormat="1"/>
    <xf numFmtId="49" fontId="95" fillId="0" borderId="0" xfId="1" applyNumberFormat="1" applyFont="1"/>
    <xf numFmtId="49" fontId="96" fillId="0" borderId="0" xfId="4" applyNumberFormat="1" applyFont="1"/>
    <xf numFmtId="0" fontId="95" fillId="0" borderId="0" xfId="1" applyFont="1"/>
    <xf numFmtId="0" fontId="3" fillId="3" borderId="0" xfId="1" applyFont="1" applyFill="1"/>
    <xf numFmtId="0" fontId="87" fillId="3" borderId="0" xfId="1" applyFont="1" applyFill="1"/>
    <xf numFmtId="0" fontId="97" fillId="0" borderId="0" xfId="1" applyFont="1" applyAlignment="1">
      <alignment vertical="center"/>
    </xf>
    <xf numFmtId="0" fontId="97" fillId="0" borderId="0" xfId="1" applyFont="1" applyAlignment="1">
      <alignment horizontal="left" vertical="center"/>
    </xf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9" fontId="4" fillId="0" borderId="0" xfId="3" applyFont="1" applyFill="1"/>
    <xf numFmtId="3" fontId="4" fillId="2" borderId="0" xfId="1" applyNumberFormat="1" applyFont="1" applyFill="1"/>
    <xf numFmtId="3" fontId="2" fillId="2" borderId="0" xfId="1" applyNumberFormat="1" applyFont="1" applyFill="1"/>
    <xf numFmtId="170" fontId="4" fillId="2" borderId="0" xfId="3" applyNumberFormat="1" applyFont="1" applyFill="1"/>
    <xf numFmtId="3" fontId="2" fillId="0" borderId="0" xfId="1" applyNumberFormat="1" applyFont="1"/>
    <xf numFmtId="0" fontId="18" fillId="2" borderId="11" xfId="1" applyFont="1" applyFill="1" applyBorder="1" applyAlignment="1">
      <alignment horizontal="center"/>
    </xf>
    <xf numFmtId="0" fontId="18" fillId="2" borderId="0" xfId="1" applyFont="1" applyFill="1" applyAlignment="1">
      <alignment horizontal="center"/>
    </xf>
    <xf numFmtId="164" fontId="4" fillId="0" borderId="0" xfId="2" applyNumberFormat="1" applyFont="1" applyFill="1"/>
    <xf numFmtId="3" fontId="31" fillId="0" borderId="87" xfId="1" applyNumberFormat="1" applyFont="1" applyBorder="1" applyAlignment="1">
      <alignment horizontal="right"/>
    </xf>
  </cellXfs>
  <cellStyles count="8">
    <cellStyle name="Millares [0] 2" xfId="7" xr:uid="{DAEF380F-860E-4776-9B36-9DCFD46D16D0}"/>
    <cellStyle name="Millares 2" xfId="2" xr:uid="{986C3237-F774-4871-BD0D-DC9ACE61327E}"/>
    <cellStyle name="Moneda 2" xfId="6" xr:uid="{C7926101-D8CF-442D-ADD4-F5FF6931A2AA}"/>
    <cellStyle name="Normal" xfId="0" builtinId="0"/>
    <cellStyle name="Normal 2" xfId="1" xr:uid="{115FF2C9-364D-4925-BD89-B9CAF6AA44C6}"/>
    <cellStyle name="Normal 2 2" xfId="4" xr:uid="{F9B5479B-98D9-4397-AB5E-814868A3C8F3}"/>
    <cellStyle name="Normal 3" xfId="5" xr:uid="{82C19D60-7465-4834-9DCE-6287E80127E7}"/>
    <cellStyle name="Porcentaje 2" xfId="3" xr:uid="{1F189184-3A15-41E1-9CD1-3B11F7431230}"/>
  </cellStyles>
  <dxfs count="2">
    <dxf>
      <numFmt numFmtId="33" formatCode="_-* #,##0_-;\-* #,##0_-;_-* &quot;-&quot;_-;_-@_-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\Vision%20Tecnologica\UnoBiable\UnoBiable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definedNames>
      <definedName name="Consulta"/>
    </defined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47.442095023151" createdVersion="3" refreshedVersion="6" minRefreshableVersion="3" recordCount="3" xr:uid="{10D1CE6F-2554-4079-95F5-FD31E733A713}">
  <cacheSource type="external" connectionId="3"/>
  <cacheFields count="33">
    <cacheField name="PERIODO" numFmtId="0">
      <sharedItems containsSemiMixedTypes="0" containsString="0" containsNumber="1" containsInteger="1" minValue="201909" maxValue="201909" count="1">
        <n v="201909"/>
      </sharedItems>
    </cacheField>
    <cacheField name="Plan Presupuestal" numFmtId="0">
      <sharedItems count="1">
        <s v="001"/>
      </sharedItems>
    </cacheField>
    <cacheField name="Nombre Plan Presupuestal" numFmtId="0">
      <sharedItems count="1">
        <s v="REAL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pto Flujo de Efectivo" numFmtId="0">
      <sharedItems count="3">
        <s v="4102"/>
        <s v="7102"/>
        <s v="7105"/>
      </sharedItems>
    </cacheField>
    <cacheField name="Nombre Cpto Flujo Efectivo" numFmtId="0">
      <sharedItems count="3">
        <s v="INTERESES LARGO PLAZO"/>
        <s v="PAGO CUOTA CORRIENTE"/>
        <s v="PRESTAMOS ENTIDADES FINANCIERAS LP"/>
      </sharedItems>
    </cacheField>
    <cacheField name="Cpto Mayor Flujo Efectivo" numFmtId="0">
      <sharedItems count="2">
        <s v="4"/>
        <s v="7"/>
      </sharedItems>
    </cacheField>
    <cacheField name="CPTO_FE_N1" numFmtId="0">
      <sharedItems count="2">
        <s v="4"/>
        <s v="7"/>
      </sharedItems>
    </cacheField>
    <cacheField name="Nombre Cpto FE N1" numFmtId="0">
      <sharedItems count="2">
        <s v="MOVIMIENTO FINANCIERO"/>
        <s v="ACTIVIDADES DE FINANCIACION"/>
      </sharedItems>
    </cacheField>
    <cacheField name="CPTO_FE_N2" numFmtId="0">
      <sharedItems count="3">
        <s v="4102"/>
        <s v="7102"/>
        <s v="7105"/>
      </sharedItems>
    </cacheField>
    <cacheField name="Nombre Cpto FE N2" numFmtId="0">
      <sharedItems count="3">
        <s v="INTERESES LARGO PLAZO"/>
        <s v="PAGO CUOTA CORRIENTE"/>
        <s v="PRESTAMOS ENTIDADES FINANCIERAS LP"/>
      </sharedItems>
    </cacheField>
    <cacheField name="CPTO_FE_N3" numFmtId="0">
      <sharedItems count="3">
        <s v="4102"/>
        <s v="7102"/>
        <s v="7105"/>
      </sharedItems>
    </cacheField>
    <cacheField name="Nombre Cpto FE N3" numFmtId="0">
      <sharedItems count="3">
        <s v="INTERESES LARGO PLAZO"/>
        <s v="PAGO CUOTA CORRIENTE"/>
        <s v="PRESTAMOS ENTIDADES FINANCIERAS LP"/>
      </sharedItems>
    </cacheField>
    <cacheField name="CPTO_FE_N4" numFmtId="0">
      <sharedItems count="3">
        <s v="4102"/>
        <s v="7102"/>
        <s v="7105"/>
      </sharedItems>
    </cacheField>
    <cacheField name="Nombre Cpto FE N4" numFmtId="0">
      <sharedItems count="3">
        <s v="INTERESES LARGO PLAZO"/>
        <s v="PAGO CUOTA CORRIENTE"/>
        <s v="PRESTAMOS ENTIDADES FINANCIERAS LP"/>
      </sharedItems>
    </cacheField>
    <cacheField name="CPTO_FE_N5" numFmtId="0">
      <sharedItems count="3">
        <s v="4102"/>
        <s v="7102"/>
        <s v="7105"/>
      </sharedItems>
    </cacheField>
    <cacheField name="Nombre Cpto FE N5" numFmtId="0">
      <sharedItems count="3">
        <s v="INTERESES LARGO PLAZO"/>
        <s v="PAGO CUOTA CORRIENTE"/>
        <s v="PRESTAMOS ENTIDADES FINANCIERAS LP"/>
      </sharedItems>
    </cacheField>
    <cacheField name="CPTO_FE_N6" numFmtId="0">
      <sharedItems count="3">
        <s v="4102"/>
        <s v="7102"/>
        <s v="7105"/>
      </sharedItems>
    </cacheField>
    <cacheField name="Nombre Cpto FE N6" numFmtId="0">
      <sharedItems count="3">
        <s v="INTERESES LARGO PLAZO"/>
        <s v="PAGO CUOTA CORRIENTE"/>
        <s v="PRESTAMOS ENTIDADES FINANCIERAS LP"/>
      </sharedItems>
    </cacheField>
    <cacheField name="CPTO_FE_N7" numFmtId="0">
      <sharedItems count="3">
        <s v="4102"/>
        <s v="7102"/>
        <s v="7105"/>
      </sharedItems>
    </cacheField>
    <cacheField name="Nombre Cpto FE N7" numFmtId="0">
      <sharedItems count="3">
        <s v="INTERESES LARGO PLAZO"/>
        <s v="PAGO CUOTA CORRIENTE"/>
        <s v="PRESTAMOS ENTIDADES FINANCIERAS LP"/>
      </sharedItems>
    </cacheField>
    <cacheField name="CPTO_FE_N8" numFmtId="0">
      <sharedItems count="3">
        <s v="4102"/>
        <s v="7102"/>
        <s v="7105"/>
      </sharedItems>
    </cacheField>
    <cacheField name="Nombre Cpto FE N8" numFmtId="0">
      <sharedItems count="3">
        <s v="INTERESES LARGO PLAZO"/>
        <s v="PAGO CUOTA CORRIENTE"/>
        <s v="PRESTAMOS ENTIDADES FINANCIERAS LP"/>
      </sharedItems>
    </cacheField>
    <cacheField name="Centro de Operacion" numFmtId="0">
      <sharedItems count="1">
        <s v="450"/>
      </sharedItems>
    </cacheField>
    <cacheField name="Nombre Centro de Operacion" numFmtId="0">
      <sharedItems count="1">
        <s v="ADMINSTRATIVO"/>
      </sharedItems>
    </cacheField>
    <cacheField name="REGIONAL" numFmtId="0">
      <sharedItems count="1">
        <s v="00"/>
      </sharedItems>
    </cacheField>
    <cacheField name="nombre Regional" numFmtId="0">
      <sharedItems count="1">
        <s v="ADMINISTRATIVOS"/>
      </sharedItems>
    </cacheField>
    <cacheField name="Unidad de Negocio" numFmtId="0">
      <sharedItems count="1">
        <s v="00"/>
      </sharedItems>
    </cacheField>
    <cacheField name="nombre Unidad de Negocio" numFmtId="0">
      <sharedItems count="1">
        <s v="ADMINISTRATIVA FICIERA"/>
      </sharedItems>
    </cacheField>
    <cacheField name="FECHA" numFmtId="0">
      <sharedItems containsString="0" containsBlank="1" count="1">
        <m/>
      </sharedItems>
    </cacheField>
    <cacheField name="AÑO" numFmtId="0">
      <sharedItems containsSemiMixedTypes="0" containsString="0" containsNumber="1" containsInteger="1" minValue="2019" maxValue="2019" count="1">
        <n v="2019"/>
      </sharedItems>
    </cacheField>
    <cacheField name="Valor Presupuesto" numFmtId="0">
      <sharedItems containsSemiMixedTypes="0" containsString="0" containsNumber="1" containsInteger="1" minValue="15856000" maxValue="89381000" count="3">
        <n v="15856000"/>
        <n v="89381000"/>
        <n v="4200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24.714106712963" createdVersion="3" refreshedVersion="6" minRefreshableVersion="3" recordCount="2824" xr:uid="{F232D8A8-3FF5-4317-A6C5-FEE90AC7AE93}">
  <cacheSource type="external" connectionId="2"/>
  <cacheFields count="108">
    <cacheField name="PERIODO" numFmtId="0">
      <sharedItems containsSemiMixedTypes="0" containsString="0" containsNumber="1" containsInteger="1" minValue="201901" maxValue="201908" count="8">
        <n v="201901"/>
        <n v="201902"/>
        <n v="201906"/>
        <n v="201907"/>
        <n v="201908"/>
        <n v="201903"/>
        <n v="201905"/>
        <n v="201904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entro de Operacion" numFmtId="0">
      <sharedItems count="7">
        <s v="450"/>
        <s v="465"/>
        <s v="462"/>
        <s v="464"/>
        <s v="463"/>
        <s v="460"/>
        <s v="461"/>
      </sharedItems>
    </cacheField>
    <cacheField name="Nombre Centro de Operacion" numFmtId="0">
      <sharedItems count="7">
        <s v="ADMINSTRATIVO"/>
        <s v="BARRANQUILLA"/>
        <s v="BOGOTA"/>
        <s v="MEDELLIN"/>
        <s v="BUCARAMANGA"/>
        <s v="CALI"/>
        <s v="EJE CAFETERO"/>
      </sharedItems>
    </cacheField>
    <cacheField name="Tipo Documento" numFmtId="0">
      <sharedItems count="14">
        <s v="NDS"/>
        <s v="RC"/>
        <s v="NI"/>
        <s v="LAN"/>
        <s v="GVJ"/>
        <s v="OP"/>
        <s v="DFC"/>
        <s v="FP"/>
        <s v="NB"/>
        <s v="RK"/>
        <s v="DBA"/>
        <s v="PEL"/>
        <s v="CE"/>
        <s v="CJM"/>
      </sharedItems>
    </cacheField>
    <cacheField name="Nombre Tipo Documento" numFmtId="0">
      <sharedItems count="14">
        <s v="NOTA DEBITO VENTA DE SERVICIO"/>
        <s v="RECIBOS DE CAJA"/>
        <s v="NOTA INTERNA DE CONTABILIDAD"/>
        <s v="LEGALIZACION ANTICIPOS"/>
        <s v="LEGALIZACION GASTOS DE VIAJE"/>
        <s v="ORDEN DE PAGO"/>
        <s v="DIFERENCIA EN CAMBIO"/>
        <s v="FACTURA POR PAGAR"/>
        <s v="NOTAS BANCARIAS"/>
        <s v="RECIBO CAJA MONTOS SUPERIORES"/>
        <s v="DAR DE BAJA ACTIVOS FIJOS"/>
        <s v="PAGOS ELECTRONICOS"/>
        <s v="COMPROBANTES DE EGRESO"/>
        <s v="CAJA MENOR"/>
      </sharedItems>
    </cacheField>
    <cacheField name="DOCTO" numFmtId="0">
      <sharedItems containsSemiMixedTypes="0" containsString="0" containsNumber="1" containsInteger="1" minValue="9" maxValue="63967"/>
    </cacheField>
    <cacheField name="Tercero Docto" numFmtId="0">
      <sharedItems/>
    </cacheField>
    <cacheField name="Razon social Docto" numFmtId="0">
      <sharedItems/>
    </cacheField>
    <cacheField name="FECHA_DOCTO" numFmtId="0">
      <sharedItems/>
    </cacheField>
    <cacheField name="CUENTA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 Cuenta" numFmtId="0">
      <sharedItems containsString="0" containsBlank="1" count="1">
        <m/>
      </sharedItems>
    </cacheField>
    <cacheField name="NOMBRE_AUXILIAR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PLAN_CUENTA" numFmtId="0">
      <sharedItems count="1">
        <s v="NIF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                                  "/>
      </sharedItems>
    </cacheField>
    <cacheField name="CUENTA_N2" numFmtId="0">
      <sharedItems count="1">
        <s v="53"/>
      </sharedItems>
    </cacheField>
    <cacheField name="NOMBRE_CUENTA_N2" numFmtId="0">
      <sharedItems count="1">
        <s v="NO OPERACIONALES                        "/>
      </sharedItems>
    </cacheField>
    <cacheField name="CUENTA_N3" numFmtId="0">
      <sharedItems count="4">
        <s v="5315"/>
        <s v="5395"/>
        <s v="5305"/>
        <s v="5310"/>
      </sharedItems>
    </cacheField>
    <cacheField name="NOMBRE_CUENTA_N3" numFmtId="0">
      <sharedItems count="4">
        <s v="GASTOS EXTRAORDINARIOS                  "/>
        <s v="GASTOS DIVERSOS                         "/>
        <s v="FINANCIEROS                             "/>
        <s v="PERDIDA EN VENTA Y RETIRO DE BIENES     "/>
      </sharedItems>
    </cacheField>
    <cacheField name="CUENTA_N4" numFmtId="0">
      <sharedItems count="14">
        <s v="531515"/>
        <s v="539510"/>
        <s v="539505"/>
        <s v="530525"/>
        <s v="531516"/>
        <s v="531520"/>
        <s v="531595"/>
        <s v="530520"/>
        <s v="539520"/>
        <s v="530535"/>
        <s v="530595"/>
        <s v="531030"/>
        <s v="530505"/>
        <s v="530515"/>
      </sharedItems>
    </cacheField>
    <cacheField name="NOMBRE_CUENTA_N4" numFmtId="0">
      <sharedItems count="13">
        <s v="COSTOS Y GASTOS EJERCICIOS ANTERIORES   "/>
        <s v="AJUSTE AL PESO                          "/>
        <s v="DEMANDAS LABORALES"/>
        <s v="DIFERENCIA EN CAMBIO                    "/>
        <s v="GTO IMPORENTA EJE ANT                   "/>
        <s v="IMPUESTOS ASUMIDOS                      "/>
        <s v="OTROS                                   "/>
        <s v="INTERESES                               "/>
        <s v="MULTAS,SANCIONES Y LITIGIOS             "/>
        <s v="DESCUENTOS COMERCIALES CONDICONADOS     "/>
        <s v="PERDIDA POR SINIESTRO                   "/>
        <s v="GASTOS BANCARIOS                        "/>
        <s v="COMISIONES                              "/>
      </sharedItems>
    </cacheField>
    <cacheField name="CUENTA_N5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5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6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6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7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7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8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8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ENTRO_OPERACION_MOVTO" numFmtId="0">
      <sharedItems count="10">
        <s v="460"/>
        <s v="450"/>
        <s v="465"/>
        <s v="464"/>
        <s v="462"/>
        <s v="471"/>
        <s v="461"/>
        <s v="463"/>
        <s v="466"/>
        <s v="090"/>
      </sharedItems>
    </cacheField>
    <cacheField name="Nombre Centro_operacion_movto" numFmtId="0">
      <sharedItems count="10">
        <s v="CALI"/>
        <s v="ADMINSTRATIVO"/>
        <s v="BARRANQUILLA"/>
        <s v="MEDELLIN"/>
        <s v="BOGOTA"/>
        <s v="AYUDA INTERNACIONAL"/>
        <s v="EJE CAFETERO"/>
        <s v="BUCARAMANGA"/>
        <s v="CARTAGENA"/>
        <s v="PROYECTO INNOVACION"/>
      </sharedItems>
    </cacheField>
    <cacheField name="REGIONAL" numFmtId="0">
      <sharedItems count="3">
        <s v="MT"/>
        <s v="00"/>
        <s v="01"/>
      </sharedItems>
    </cacheField>
    <cacheField name="nombre Regional" numFmtId="0">
      <sharedItems count="3">
        <s v="TOTAL SUCURSALES"/>
        <s v="ADMINISTRATIVOS"/>
        <s v="CALI"/>
      </sharedItems>
    </cacheField>
    <cacheField name="Unidad de Negocio" numFmtId="0">
      <sharedItems count="2">
        <s v="01"/>
        <s v="00"/>
      </sharedItems>
    </cacheField>
    <cacheField name="nombre Unidad de Negocio" numFmtId="0">
      <sharedItems count="2">
        <s v="VENTAS"/>
        <s v="ADMINISTRATIVA FICIERA"/>
      </sharedItems>
    </cacheField>
    <cacheField name="TERCERO" numFmtId="0">
      <sharedItems/>
    </cacheField>
    <cacheField name="Nombre Tercero" numFmtId="0">
      <sharedItems containsBlank="1"/>
    </cacheField>
    <cacheField name="SUCURSAL_TERCERO" numFmtId="0">
      <sharedItems containsString="0" containsBlank="1" count="1">
        <m/>
      </sharedItems>
    </cacheField>
    <cacheField name="VENDEDOR" numFmtId="0">
      <sharedItems containsBlank="1" count="3">
        <m/>
        <s v="EJZO"/>
        <s v="MACP"/>
      </sharedItems>
    </cacheField>
    <cacheField name="Nombre vendedor Vendedor" numFmtId="0">
      <sharedItems containsBlank="1" count="3">
        <m/>
        <s v="MUSICAR S.A.S"/>
        <s v="CARRASQUILLA PIZARRO MARCO ANTONIO"/>
      </sharedItems>
    </cacheField>
    <cacheField name="GRUPO_CCOSTO" numFmtId="0">
      <sharedItems containsString="0" containsBlank="1" count="1">
        <m/>
      </sharedItems>
    </cacheField>
    <cacheField name="Centro de Costo" numFmtId="0">
      <sharedItems containsString="0" containsBlank="1" count="1">
        <m/>
      </sharedItems>
    </cacheField>
    <cacheField name="Nombre Centro de Costo" numFmtId="0">
      <sharedItems containsString="0" containsBlank="1" count="1">
        <m/>
      </sharedItems>
    </cacheField>
    <cacheField name="NOMBRE_CCOSTO" numFmtId="0">
      <sharedItems containsString="0" containsBlank="1" count="1">
        <m/>
      </sharedItems>
    </cacheField>
    <cacheField name="CCOSTO_N1" numFmtId="0">
      <sharedItems containsString="0" containsBlank="1" count="1">
        <m/>
      </sharedItems>
    </cacheField>
    <cacheField name="NOMBRE_CCOSTO_N1" numFmtId="0">
      <sharedItems containsString="0" containsBlank="1" count="1">
        <m/>
      </sharedItems>
    </cacheField>
    <cacheField name="CCOSTO_N2" numFmtId="0">
      <sharedItems containsString="0" containsBlank="1" count="1">
        <m/>
      </sharedItems>
    </cacheField>
    <cacheField name="NOMBRE_CCOSTO_N2" numFmtId="0">
      <sharedItems containsString="0" containsBlank="1" count="1">
        <m/>
      </sharedItems>
    </cacheField>
    <cacheField name="CCOSTO_N3" numFmtId="0">
      <sharedItems containsString="0" containsBlank="1" count="1">
        <m/>
      </sharedItems>
    </cacheField>
    <cacheField name="NOMBRE_CCOSTO_N3" numFmtId="0">
      <sharedItems containsString="0" containsBlank="1" count="1">
        <m/>
      </sharedItems>
    </cacheField>
    <cacheField name="CCOSTO_N4" numFmtId="0">
      <sharedItems containsString="0" containsBlank="1" count="1">
        <m/>
      </sharedItems>
    </cacheField>
    <cacheField name="NOMBRE_CCOSTO_N4" numFmtId="0">
      <sharedItems containsString="0" containsBlank="1" count="1">
        <m/>
      </sharedItems>
    </cacheField>
    <cacheField name="CCOSTO_N5" numFmtId="0">
      <sharedItems containsString="0" containsBlank="1" count="1">
        <m/>
      </sharedItems>
    </cacheField>
    <cacheField name="NOMBRE_CCOSTO_N5" numFmtId="0">
      <sharedItems containsString="0" containsBlank="1" count="1">
        <m/>
      </sharedItems>
    </cacheField>
    <cacheField name="CCOSTO_N6" numFmtId="0">
      <sharedItems containsString="0" containsBlank="1" count="1">
        <m/>
      </sharedItems>
    </cacheField>
    <cacheField name="NOMBRE_CCOSTO_N6" numFmtId="0">
      <sharedItems containsString="0" containsBlank="1" count="1">
        <m/>
      </sharedItems>
    </cacheField>
    <cacheField name="CCOSTO_N7" numFmtId="0">
      <sharedItems containsString="0" containsBlank="1" count="1">
        <m/>
      </sharedItems>
    </cacheField>
    <cacheField name="NOMBRE_CCOSTO_N7" numFmtId="0">
      <sharedItems containsString="0" containsBlank="1" count="1">
        <m/>
      </sharedItems>
    </cacheField>
    <cacheField name="CCOSTO_N8" numFmtId="0">
      <sharedItems containsString="0" containsBlank="1" count="1">
        <m/>
      </sharedItems>
    </cacheField>
    <cacheField name="NOMBRE_CCOSTO_N8" numFmtId="0">
      <sharedItems containsString="0" containsBlank="1" count="1">
        <m/>
      </sharedItems>
    </cacheField>
    <cacheField name="FLUJO_EFECTIVO" numFmtId="0">
      <sharedItems containsString="0" containsBlank="1" count="1">
        <m/>
      </sharedItems>
    </cacheField>
    <cacheField name="NOMBRE_FLUJO_EFECTIVO" numFmtId="0">
      <sharedItems containsString="0" containsBlank="1" count="1">
        <m/>
      </sharedItems>
    </cacheField>
    <cacheField name="MAYOR_FLUJO_EFECTIVO" numFmtId="0">
      <sharedItems containsString="0" containsBlank="1" count="1">
        <m/>
      </sharedItems>
    </cacheField>
    <cacheField name="CPTOFE_N1" numFmtId="0">
      <sharedItems containsString="0" containsBlank="1" count="1">
        <m/>
      </sharedItems>
    </cacheField>
    <cacheField name="NOMBRE_CPTOFE_N1" numFmtId="0">
      <sharedItems containsString="0" containsBlank="1" count="1">
        <m/>
      </sharedItems>
    </cacheField>
    <cacheField name="CPTOFE_N2" numFmtId="0">
      <sharedItems containsString="0" containsBlank="1" count="1">
        <m/>
      </sharedItems>
    </cacheField>
    <cacheField name="NOMBRE_CPTOFE_N2" numFmtId="0">
      <sharedItems containsString="0" containsBlank="1" count="1">
        <m/>
      </sharedItems>
    </cacheField>
    <cacheField name="CPTOFE_N3" numFmtId="0">
      <sharedItems containsString="0" containsBlank="1" count="1">
        <m/>
      </sharedItems>
    </cacheField>
    <cacheField name="NOMBRE_CPTOFE_N3" numFmtId="0">
      <sharedItems containsString="0" containsBlank="1" count="1">
        <m/>
      </sharedItems>
    </cacheField>
    <cacheField name="CPTOFE_N4" numFmtId="0">
      <sharedItems containsString="0" containsBlank="1" count="1">
        <m/>
      </sharedItems>
    </cacheField>
    <cacheField name="NOMBRE_CPTOFE_N4" numFmtId="0">
      <sharedItems containsString="0" containsBlank="1" count="1">
        <m/>
      </sharedItems>
    </cacheField>
    <cacheField name="CPTOFE_N5" numFmtId="0">
      <sharedItems containsString="0" containsBlank="1" count="1">
        <m/>
      </sharedItems>
    </cacheField>
    <cacheField name="NOMBRE_CPTOFE_N5" numFmtId="0">
      <sharedItems containsString="0" containsBlank="1" count="1">
        <m/>
      </sharedItems>
    </cacheField>
    <cacheField name="CPTOFE_N6" numFmtId="0">
      <sharedItems containsString="0" containsBlank="1" count="1">
        <m/>
      </sharedItems>
    </cacheField>
    <cacheField name="NOMBRE_CPTOFE_N6" numFmtId="0">
      <sharedItems containsString="0" containsBlank="1" count="1">
        <m/>
      </sharedItems>
    </cacheField>
    <cacheField name="CPTOFE_N7" numFmtId="0">
      <sharedItems containsString="0" containsBlank="1" count="1">
        <m/>
      </sharedItems>
    </cacheField>
    <cacheField name="NOMBRE_CPTOFE_N7" numFmtId="0">
      <sharedItems containsString="0" containsBlank="1" count="1">
        <m/>
      </sharedItems>
    </cacheField>
    <cacheField name="CPTOFE_N8" numFmtId="0">
      <sharedItems containsString="0" containsBlank="1" count="1">
        <m/>
      </sharedItems>
    </cacheField>
    <cacheField name="NOMBRE_CPTOFE_N8" numFmtId="0">
      <sharedItems containsString="0" containsBlank="1" count="1">
        <m/>
      </sharedItems>
    </cacheField>
    <cacheField name="DOCUMENTO_BANCOS" numFmtId="0">
      <sharedItems containsString="0" containsBlank="1" count="1">
        <m/>
      </sharedItems>
    </cacheField>
    <cacheField name="NUMERO_DOCTO_BANCOS" numFmtId="0">
      <sharedItems containsSemiMixedTypes="0" containsString="0" containsNumber="1" containsInteger="1" minValue="0" maxValue="0" count="1">
        <n v="0"/>
      </sharedItems>
    </cacheField>
    <cacheField name="DOCTO_ALTERNO_BANCOS" numFmtId="0">
      <sharedItems count="1">
        <s v=" "/>
      </sharedItems>
    </cacheField>
    <cacheField name="Referencia 1" numFmtId="0">
      <sharedItems count="1">
        <s v=" "/>
      </sharedItems>
    </cacheField>
    <cacheField name="Referencia 2" numFmtId="0">
      <sharedItems count="1">
        <s v=" "/>
      </sharedItems>
    </cacheField>
    <cacheField name="Referencia 3" numFmtId="0">
      <sharedItems count="1">
        <s v=" "/>
      </sharedItems>
    </cacheField>
    <cacheField name="NOTAS" numFmtId="0">
      <sharedItems/>
    </cacheField>
    <cacheField name="DEBITOS" numFmtId="0">
      <sharedItems containsSemiMixedTypes="0" containsString="0" containsNumber="1" minValue="0" maxValue="11209723.92"/>
    </cacheField>
    <cacheField name="CREDITOS" numFmtId="0">
      <sharedItems containsSemiMixedTypes="0" containsString="0" containsNumber="1" minValue="0" maxValue="5574045"/>
    </cacheField>
    <cacheField name="MOVIMIENTO" numFmtId="0">
      <sharedItems containsSemiMixedTypes="0" containsString="0" containsNumber="1" minValue="-5574045" maxValue="11209723.92"/>
    </cacheField>
    <cacheField name="DEBITOS_ALT" numFmtId="0">
      <sharedItems containsSemiMixedTypes="0" containsString="0" containsNumber="1" containsInteger="1" minValue="0" maxValue="0" count="1">
        <n v="0"/>
      </sharedItems>
    </cacheField>
    <cacheField name="CREDITOS_ALT" numFmtId="0">
      <sharedItems containsSemiMixedTypes="0" containsString="0" containsNumber="1" containsInteger="1" minValue="0" maxValue="0" count="1">
        <n v="0"/>
      </sharedItems>
    </cacheField>
    <cacheField name="MOVIMIENTO_ALT" numFmtId="0">
      <sharedItems containsSemiMixedTypes="0" containsString="0" containsNumber="1" containsInteger="1" minValue="0" maxValue="0" count="1">
        <n v="0"/>
      </sharedItems>
    </cacheField>
    <cacheField name="Deb Libro 2" numFmtId="0">
      <sharedItems containsSemiMixedTypes="0" containsString="0" containsNumber="1" minValue="0" maxValue="11209723.92"/>
    </cacheField>
    <cacheField name="Cred Libro 2" numFmtId="0">
      <sharedItems containsSemiMixedTypes="0" containsString="0" containsNumber="1" minValue="0" maxValue="5574045"/>
    </cacheField>
    <cacheField name="MOVTO_LIBRO2" numFmtId="0">
      <sharedItems containsSemiMixedTypes="0" containsString="0" containsNumber="1" minValue="-5574045" maxValue="11209723.92"/>
    </cacheField>
    <cacheField name="Deb alt Libro 2" numFmtId="0">
      <sharedItems containsSemiMixedTypes="0" containsString="0" containsNumber="1" containsInteger="1" minValue="0" maxValue="0" count="1">
        <n v="0"/>
      </sharedItems>
    </cacheField>
    <cacheField name="Cred alt libro 2" numFmtId="0">
      <sharedItems containsSemiMixedTypes="0" containsString="0" containsNumber="1" containsInteger="1" minValue="0" maxValue="0" count="1">
        <n v="0"/>
      </sharedItems>
    </cacheField>
    <cacheField name="MOVTO_ALT_LIBRO2" numFmtId="0">
      <sharedItems containsSemiMixedTypes="0" containsString="0" containsNumber="1" containsInteger="1" minValue="0" maxValue="0" count="1">
        <n v="0"/>
      </sharedItems>
    </cacheField>
    <cacheField name="Deb Libro 3" numFmtId="0">
      <sharedItems containsSemiMixedTypes="0" containsString="0" containsNumber="1" minValue="0" maxValue="11209723.92"/>
    </cacheField>
    <cacheField name="Cred Libro 3" numFmtId="0">
      <sharedItems containsSemiMixedTypes="0" containsString="0" containsNumber="1" minValue="0" maxValue="5574045"/>
    </cacheField>
    <cacheField name="MOVTO_LIBRO3" numFmtId="0">
      <sharedItems containsSemiMixedTypes="0" containsString="0" containsNumber="1" minValue="-5574045" maxValue="11209723.92"/>
    </cacheField>
    <cacheField name="Deb alt Libro 3" numFmtId="0">
      <sharedItems containsSemiMixedTypes="0" containsString="0" containsNumber="1" containsInteger="1" minValue="0" maxValue="0" count="1">
        <n v="0"/>
      </sharedItems>
    </cacheField>
    <cacheField name="Cred alt Libro 3" numFmtId="0">
      <sharedItems containsSemiMixedTypes="0" containsString="0" containsNumber="1" containsInteger="1" minValue="0" maxValue="0" count="1">
        <n v="0"/>
      </sharedItems>
    </cacheField>
    <cacheField name="MOVTO_ALT_LIBRO3" numFmtId="0">
      <sharedItems containsSemiMixedTypes="0" containsString="0" containsNumber="1" containsInteger="1" minValue="0" maxValue="0" count="1">
        <n v="0"/>
      </sharedItems>
    </cacheField>
    <cacheField name="VALOR_BASE" numFmtId="0">
      <sharedItems containsSemiMixedTypes="0" containsString="0" containsNumber="1" containsInteger="1" minValue="0" maxValue="0" count="1">
        <n v="0"/>
      </sharedItems>
    </cacheField>
    <cacheField name="VALOR_IMP_ASUM" numFmtId="0">
      <sharedItems containsSemiMixedTypes="0" containsString="0" containsNumber="1" containsInteger="1" minValue="0" maxValue="0" count="1"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ert G." refreshedDate="42537.493262847223" createdVersion="3" refreshedVersion="6" minRefreshableVersion="3" recordCount="12" xr:uid="{4D647C66-90F3-40AA-BB0C-120055CEA5CE}">
  <cacheSource type="external" connectionId="1"/>
  <cacheFields count="31">
    <cacheField name="PERIODO" numFmtId="0">
      <sharedItems containsSemiMixedTypes="0" containsString="0" containsNumber="1" containsInteger="1" minValue="201605" maxValue="201605" count="1">
        <n v="201605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EL SALVADOR, S.A. DE C V"/>
      </sharedItems>
    </cacheField>
    <cacheField name="PLAN_PRESUPUESTO" numFmtId="0">
      <sharedItems count="2">
        <s v="006"/>
        <s v="001"/>
      </sharedItems>
    </cacheField>
    <cacheField name="AUXILIAR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AUXILIAR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" numFmtId="0">
      <sharedItems count="6">
        <s v="523595"/>
        <s v="516010"/>
        <s v="520518"/>
        <s v="524515"/>
        <s v="520536"/>
        <s v="529910"/>
      </sharedItems>
    </cacheField>
    <cacheField name="Nombre Cuenta" numFmtId="0">
      <sharedItems containsString="0" containsBlank="1" count="1">
        <m/>
      </sharedItems>
    </cacheField>
    <cacheField name="PLAN_CUENTA" numFmtId="0">
      <sharedItems count="1">
        <s v="PUC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"/>
      </sharedItems>
    </cacheField>
    <cacheField name="CUENTA_N2" numFmtId="0">
      <sharedItems count="2">
        <s v="52"/>
        <s v="51"/>
      </sharedItems>
    </cacheField>
    <cacheField name="NOMBRE_CUENTA_N2" numFmtId="0">
      <sharedItems count="2">
        <s v="OPERACIONALES DE VENTAS"/>
        <s v="OPERACIONALES DE ADMINISTRACION"/>
      </sharedItems>
    </cacheField>
    <cacheField name="CUENTA_N3" numFmtId="0">
      <sharedItems count="5">
        <s v="5235"/>
        <s v="5160"/>
        <s v="5205"/>
        <s v="5245"/>
        <s v="5299"/>
      </sharedItems>
    </cacheField>
    <cacheField name="NOMBRE_CUENTA_N3" numFmtId="0">
      <sharedItems count="5">
        <s v="SERVICIOS"/>
        <s v="DEPRECIACIONES"/>
        <s v="GASTOS DE PERSONAL"/>
        <s v="MANTENIMIENTO Y REPARACIONES"/>
        <s v="PROVISIONES"/>
      </sharedItems>
    </cacheField>
    <cacheField name="CUENTA_N4" numFmtId="0">
      <sharedItems count="6">
        <s v="523595"/>
        <s v="516010"/>
        <s v="520518"/>
        <s v="524515"/>
        <s v="520536"/>
        <s v="529910"/>
      </sharedItems>
    </cacheField>
    <cacheField name="NOMBRE_CUENTA_N4" numFmtId="0">
      <sharedItems count="6">
        <s v="OTROS"/>
        <s v="MAQUINARIA Y EQUIPO"/>
        <s v="COMISIONES"/>
        <s v="MANT.Y REPARAC.MAQUINARIA"/>
        <s v="PRIMA DE SERVICIOS"/>
        <s v="DEUDORES"/>
      </sharedItems>
    </cacheField>
    <cacheField name="CUENTA_N5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5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6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6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7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7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8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8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entro de Operacion" numFmtId="0">
      <sharedItems count="1">
        <s v="001"/>
      </sharedItems>
    </cacheField>
    <cacheField name="Nombre Centro de Operacion" numFmtId="0">
      <sharedItems count="1">
        <s v="EL SALVADOR"/>
      </sharedItems>
    </cacheField>
    <cacheField name="Unidad de Negocio" numFmtId="0">
      <sharedItems count="1">
        <s v="01"/>
      </sharedItems>
    </cacheField>
    <cacheField name="nombre Unidad de Negocio" numFmtId="0">
      <sharedItems count="1">
        <s v="MUSICAR"/>
      </sharedItems>
    </cacheField>
    <cacheField name="AÑO" numFmtId="0">
      <sharedItems containsSemiMixedTypes="0" containsString="0" containsNumber="1" containsInteger="1" minValue="2016" maxValue="2016" count="1">
        <n v="2016"/>
      </sharedItems>
    </cacheField>
    <cacheField name="VALOR_PRESUPUESTO" numFmtId="0">
      <sharedItems containsSemiMixedTypes="0" containsString="0" containsNumber="1" minValue="13.58" maxValue="2319.4899999999998" count="6">
        <n v="448.4"/>
        <n v="2319.4899999999998"/>
        <n v="615.13"/>
        <n v="302.10000000000002"/>
        <n v="153.78"/>
        <n v="13.5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0"/>
    <x v="0"/>
    <x v="0"/>
    <x v="1"/>
  </r>
  <r>
    <x v="0"/>
    <x v="0"/>
    <x v="0"/>
    <x v="0"/>
    <x v="0"/>
    <x v="2"/>
    <x v="2"/>
    <x v="1"/>
    <x v="1"/>
    <x v="1"/>
    <x v="2"/>
    <x v="2"/>
    <x v="2"/>
    <x v="2"/>
    <x v="2"/>
    <x v="2"/>
    <x v="2"/>
    <x v="2"/>
    <x v="2"/>
    <x v="2"/>
    <x v="2"/>
    <x v="2"/>
    <x v="2"/>
    <x v="2"/>
    <x v="0"/>
    <x v="0"/>
    <x v="0"/>
    <x v="0"/>
    <x v="0"/>
    <x v="0"/>
    <x v="0"/>
    <x v="0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24">
  <r>
    <x v="0"/>
    <x v="0"/>
    <x v="0"/>
    <x v="0"/>
    <x v="0"/>
    <x v="0"/>
    <x v="0"/>
    <n v="4273"/>
    <s v="411881957"/>
    <s v="SAJAN, INC"/>
    <s v="20190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CONTABILIACION ERRADA EN EL RECIBO DE CAJA"/>
    <n v="1234905"/>
    <n v="0"/>
    <n v="1234905"/>
    <x v="0"/>
    <x v="0"/>
    <x v="0"/>
    <n v="1234905"/>
    <n v="0"/>
    <n v="1234905"/>
    <x v="0"/>
    <x v="0"/>
    <x v="0"/>
    <n v="1234905"/>
    <n v="0"/>
    <n v="1234905"/>
    <x v="0"/>
    <x v="0"/>
    <x v="0"/>
    <x v="0"/>
    <x v="0"/>
  </r>
  <r>
    <x v="1"/>
    <x v="0"/>
    <x v="0"/>
    <x v="0"/>
    <x v="0"/>
    <x v="1"/>
    <x v="1"/>
    <n v="2377"/>
    <s v="860037707"/>
    <s v="SBS SEGUROS COLOMBIA S.A."/>
    <s v="20190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s v="860037707"/>
    <s v="SBS SEGURO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POLIZA QUE SE CANCELO DE LA CAMIONETA PARA GERENCIA"/>
    <n v="0"/>
    <n v="2315865.0699999998"/>
    <n v="-2315865.0699999998"/>
    <x v="0"/>
    <x v="0"/>
    <x v="0"/>
    <n v="0"/>
    <n v="2315865.0699999998"/>
    <n v="-2315865.0699999998"/>
    <x v="0"/>
    <x v="0"/>
    <x v="0"/>
    <n v="0"/>
    <n v="2315865.0699999998"/>
    <n v="-2315865.0699999998"/>
    <x v="0"/>
    <x v="0"/>
    <x v="0"/>
    <x v="0"/>
    <x v="0"/>
  </r>
  <r>
    <x v="1"/>
    <x v="0"/>
    <x v="0"/>
    <x v="0"/>
    <x v="0"/>
    <x v="2"/>
    <x v="2"/>
    <n v="19702"/>
    <s v="890399003"/>
    <s v="EMPRESAS MUNICIPALES DE CALI E.I.C.E.  E.S.P."/>
    <s v="201902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 PAGO SERVCIOS PUBLICOS DIR NAL / TEL 6689603/6683173/6672449/668388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22"/>
    <s v="830053800"/>
    <s v="TELMEX COLOMBIA SA"/>
    <s v="2019022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ELMEX - TRANSMISION AREA TECNICA -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36"/>
    <s v="830122566"/>
    <s v="COLOMBIA TELECOMUNICACIONES S.A.-ESP"/>
    <s v="201906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.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3"/>
    <x v="3"/>
    <n v="201"/>
    <s v="1045717933"/>
    <s v="PALMA GUTIERREZ KETTY JANETH"/>
    <s v="201907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473169"/>
    <s v="VEGA JIMENEZ ALBERTO TUL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RVICIO DE DESINSTALACION DE 3 AIRES ACONDICIONADOS E INSTALACION DE 2 POR TRASLADO CON CAMBIO DE GAS Y TUBERIA"/>
    <n v="0"/>
    <n v="80"/>
    <n v="-80"/>
    <x v="0"/>
    <x v="0"/>
    <x v="0"/>
    <n v="0"/>
    <n v="80"/>
    <n v="-80"/>
    <x v="0"/>
    <x v="0"/>
    <x v="0"/>
    <n v="0"/>
    <n v="80"/>
    <n v="-80"/>
    <x v="0"/>
    <x v="0"/>
    <x v="0"/>
    <x v="0"/>
    <x v="0"/>
  </r>
  <r>
    <x v="4"/>
    <x v="0"/>
    <x v="0"/>
    <x v="1"/>
    <x v="1"/>
    <x v="4"/>
    <x v="4"/>
    <n v="672"/>
    <s v="1143135964"/>
    <s v="CABALLERO GONZALEZ JORGE ELIECER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6"/>
    <n v="0"/>
    <n v="656"/>
    <x v="0"/>
    <x v="0"/>
    <x v="0"/>
    <n v="656"/>
    <n v="0"/>
    <n v="656"/>
    <x v="0"/>
    <x v="0"/>
    <x v="0"/>
    <n v="656"/>
    <n v="0"/>
    <n v="656"/>
    <x v="0"/>
    <x v="0"/>
    <x v="0"/>
    <x v="0"/>
    <x v="0"/>
  </r>
  <r>
    <x v="4"/>
    <x v="0"/>
    <x v="0"/>
    <x v="2"/>
    <x v="2"/>
    <x v="3"/>
    <x v="3"/>
    <n v="233"/>
    <s v="1020483062"/>
    <s v="QUINTERO ESPINAL JUAN DAVID"/>
    <s v="201908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3"/>
    <x v="3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PORQUE EL TRABAJADOR YA NO LABORA EN LA EMPRESA"/>
    <n v="3368"/>
    <n v="0"/>
    <n v="3368"/>
    <x v="0"/>
    <x v="0"/>
    <x v="0"/>
    <n v="3368"/>
    <n v="0"/>
    <n v="3368"/>
    <x v="0"/>
    <x v="0"/>
    <x v="0"/>
    <n v="3368"/>
    <n v="0"/>
    <n v="3368"/>
    <x v="0"/>
    <x v="0"/>
    <x v="0"/>
    <x v="0"/>
    <x v="0"/>
  </r>
  <r>
    <x v="4"/>
    <x v="0"/>
    <x v="0"/>
    <x v="1"/>
    <x v="1"/>
    <x v="4"/>
    <x v="4"/>
    <n v="677"/>
    <s v="8763635"/>
    <s v="MOLINA PACHECO LUIS EDUARDO"/>
    <s v="201908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98"/>
    <n v="0"/>
    <n v="698"/>
    <x v="0"/>
    <x v="0"/>
    <x v="0"/>
    <n v="698"/>
    <n v="0"/>
    <n v="698"/>
    <x v="0"/>
    <x v="0"/>
    <x v="0"/>
    <n v="698"/>
    <n v="0"/>
    <n v="698"/>
    <x v="0"/>
    <x v="0"/>
    <x v="0"/>
    <x v="0"/>
    <x v="0"/>
  </r>
  <r>
    <x v="4"/>
    <x v="0"/>
    <x v="0"/>
    <x v="0"/>
    <x v="0"/>
    <x v="2"/>
    <x v="2"/>
    <n v="20691"/>
    <s v="800153993"/>
    <s v="COMUNICACIONES CELULAR S A  COMCEL S A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CLARO - LOCUTOR VIRTUAL  -13/07/2019 - 12/08/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71"/>
    <s v="860047239"/>
    <s v="MUSICAR S.A.S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LA CTA.1588059900 COMPENSACION ACTIVOS FIJOS."/>
    <n v="843"/>
    <n v="0"/>
    <n v="843"/>
    <x v="0"/>
    <x v="0"/>
    <x v="0"/>
    <n v="843"/>
    <n v="0"/>
    <n v="843"/>
    <x v="0"/>
    <x v="0"/>
    <x v="0"/>
    <n v="843"/>
    <n v="0"/>
    <n v="843"/>
    <x v="0"/>
    <x v="0"/>
    <x v="0"/>
    <x v="0"/>
    <x v="0"/>
  </r>
  <r>
    <x v="2"/>
    <x v="0"/>
    <x v="0"/>
    <x v="0"/>
    <x v="0"/>
    <x v="5"/>
    <x v="5"/>
    <n v="431"/>
    <s v="1151939784"/>
    <s v="MOLINEROS MARTINEZ JOHANA ALEXANDRA"/>
    <s v="20190613"/>
    <x v="2"/>
    <x v="0"/>
    <x v="2"/>
    <x v="0"/>
    <x v="0"/>
    <x v="0"/>
    <x v="0"/>
    <x v="0"/>
    <x v="1"/>
    <x v="1"/>
    <x v="2"/>
    <x v="2"/>
    <x v="2"/>
    <x v="2"/>
    <x v="2"/>
    <x v="2"/>
    <x v="2"/>
    <x v="2"/>
    <x v="2"/>
    <x v="2"/>
    <x v="1"/>
    <x v="1"/>
    <x v="1"/>
    <x v="1"/>
    <x v="1"/>
    <x v="1"/>
    <s v="1151939784"/>
    <s v="MOLINEROS MARTINEZ JOHANA ALEXAND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CILIACION JOHANA MOLINEROS MARTINEZ"/>
    <n v="5786978"/>
    <n v="0"/>
    <n v="5786978"/>
    <x v="0"/>
    <x v="0"/>
    <x v="0"/>
    <n v="5786978"/>
    <n v="0"/>
    <n v="5786978"/>
    <x v="0"/>
    <x v="0"/>
    <x v="0"/>
    <n v="5786978"/>
    <n v="0"/>
    <n v="5786978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25023"/>
    <n v="0"/>
    <n v="25023"/>
    <x v="0"/>
    <x v="0"/>
    <x v="0"/>
    <n v="25023"/>
    <n v="0"/>
    <n v="25023"/>
    <x v="0"/>
    <x v="0"/>
    <x v="0"/>
    <n v="25023"/>
    <n v="0"/>
    <n v="25023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4846959.1100000003"/>
    <n v="0"/>
    <n v="4846959.1100000003"/>
    <x v="0"/>
    <x v="0"/>
    <x v="0"/>
    <n v="0"/>
    <n v="0"/>
    <n v="0"/>
    <x v="0"/>
    <x v="0"/>
    <x v="0"/>
    <x v="0"/>
    <x v="0"/>
  </r>
  <r>
    <x v="1"/>
    <x v="0"/>
    <x v="0"/>
    <x v="0"/>
    <x v="0"/>
    <x v="2"/>
    <x v="2"/>
    <n v="19681"/>
    <s v="890102018"/>
    <s v="MUNICIPIO DE BARRANQUILLA"/>
    <s v="20190222"/>
    <x v="4"/>
    <x v="0"/>
    <x v="4"/>
    <x v="0"/>
    <x v="0"/>
    <x v="0"/>
    <x v="0"/>
    <x v="0"/>
    <x v="0"/>
    <x v="0"/>
    <x v="4"/>
    <x v="4"/>
    <x v="4"/>
    <x v="4"/>
    <x v="4"/>
    <x v="4"/>
    <x v="4"/>
    <x v="4"/>
    <x v="4"/>
    <x v="4"/>
    <x v="2"/>
    <x v="2"/>
    <x v="0"/>
    <x v="0"/>
    <x v="0"/>
    <x v="0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ANUAL BARRANQUILLA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4"/>
    <x v="0"/>
    <x v="0"/>
    <x v="2"/>
    <x v="2"/>
    <x v="3"/>
    <x v="3"/>
    <n v="231"/>
    <s v="830046791"/>
    <s v="COFACE SERVICES COLOMBIA S.A."/>
    <s v="20190821"/>
    <x v="5"/>
    <x v="0"/>
    <x v="5"/>
    <x v="0"/>
    <x v="0"/>
    <x v="0"/>
    <x v="0"/>
    <x v="0"/>
    <x v="0"/>
    <x v="0"/>
    <x v="5"/>
    <x v="5"/>
    <x v="5"/>
    <x v="5"/>
    <x v="5"/>
    <x v="5"/>
    <x v="5"/>
    <x v="5"/>
    <x v="5"/>
    <x v="5"/>
    <x v="4"/>
    <x v="4"/>
    <x v="0"/>
    <x v="0"/>
    <x v="0"/>
    <x v="0"/>
    <s v="830046791"/>
    <s v="COFACE SERVICE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PARA CERTIFICACION COFACE CLIENTE TELEPERFORMANCE"/>
    <n v="1518"/>
    <n v="0"/>
    <n v="1518"/>
    <x v="0"/>
    <x v="0"/>
    <x v="0"/>
    <n v="1518"/>
    <n v="0"/>
    <n v="1518"/>
    <x v="0"/>
    <x v="0"/>
    <x v="0"/>
    <n v="1518"/>
    <n v="0"/>
    <n v="1518"/>
    <x v="0"/>
    <x v="0"/>
    <x v="0"/>
    <x v="0"/>
    <x v="0"/>
  </r>
  <r>
    <x v="3"/>
    <x v="0"/>
    <x v="0"/>
    <x v="0"/>
    <x v="0"/>
    <x v="7"/>
    <x v="7"/>
    <n v="25836"/>
    <s v="890903407"/>
    <s v="SEGUROS GENERALES SURAMERICANA S.A"/>
    <s v="20190703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1"/>
    <x v="1"/>
    <x v="1"/>
    <x v="1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"/>
    <n v="300"/>
    <n v="0"/>
    <n v="300"/>
    <x v="0"/>
    <x v="0"/>
    <x v="0"/>
    <n v="300"/>
    <n v="0"/>
    <n v="300"/>
    <x v="0"/>
    <x v="0"/>
    <x v="0"/>
    <n v="300"/>
    <n v="0"/>
    <n v="300"/>
    <x v="0"/>
    <x v="0"/>
    <x v="0"/>
    <x v="0"/>
    <x v="0"/>
  </r>
  <r>
    <x v="1"/>
    <x v="0"/>
    <x v="0"/>
    <x v="1"/>
    <x v="1"/>
    <x v="4"/>
    <x v="4"/>
    <n v="638"/>
    <s v="72187626"/>
    <s v="ULLOA ORTEGA LUIS FERNANDO"/>
    <s v="2019021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130"/>
    <n v="0"/>
    <n v="130"/>
    <x v="0"/>
    <x v="0"/>
    <x v="0"/>
    <n v="130"/>
    <n v="0"/>
    <n v="130"/>
    <x v="0"/>
    <x v="0"/>
    <x v="0"/>
    <n v="130"/>
    <n v="0"/>
    <n v="130"/>
    <x v="0"/>
    <x v="0"/>
    <x v="0"/>
    <x v="0"/>
    <x v="0"/>
  </r>
  <r>
    <x v="1"/>
    <x v="0"/>
    <x v="0"/>
    <x v="0"/>
    <x v="0"/>
    <x v="2"/>
    <x v="2"/>
    <n v="19761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BANCOLOMBIA - FEB 2019"/>
    <n v="6594.99"/>
    <n v="0"/>
    <n v="6594.99"/>
    <x v="0"/>
    <x v="0"/>
    <x v="0"/>
    <n v="6594.99"/>
    <n v="0"/>
    <n v="6594.99"/>
    <x v="0"/>
    <x v="0"/>
    <x v="0"/>
    <n v="6594.99"/>
    <n v="0"/>
    <n v="6594.99"/>
    <x v="0"/>
    <x v="0"/>
    <x v="0"/>
    <x v="0"/>
    <x v="0"/>
  </r>
  <r>
    <x v="5"/>
    <x v="0"/>
    <x v="0"/>
    <x v="0"/>
    <x v="0"/>
    <x v="2"/>
    <x v="2"/>
    <n v="19805"/>
    <s v="800197368"/>
    <s v="DIRECCION DE IMPUESTOS Y ADUANAS NACIONALES"/>
    <s v="201903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FEBRERO-2019."/>
    <n v="415.37"/>
    <n v="0"/>
    <n v="415.37"/>
    <x v="0"/>
    <x v="0"/>
    <x v="0"/>
    <n v="415.37"/>
    <n v="0"/>
    <n v="415.37"/>
    <x v="0"/>
    <x v="0"/>
    <x v="0"/>
    <n v="415.37"/>
    <n v="0"/>
    <n v="415.37"/>
    <x v="0"/>
    <x v="0"/>
    <x v="0"/>
    <x v="0"/>
    <x v="0"/>
  </r>
  <r>
    <x v="5"/>
    <x v="0"/>
    <x v="0"/>
    <x v="0"/>
    <x v="0"/>
    <x v="2"/>
    <x v="2"/>
    <n v="19884"/>
    <s v="900092385"/>
    <s v="EPM TELECOMUNICACIONES S.A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LINEA 01800 - (01/02/2019-28/02/2019)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8"/>
    <s v="830053800"/>
    <s v="TELMEX COLOMBIA SA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 - SERVICIO TRASMISIONES AREA TECNICA EN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9"/>
    <s v="890399003"/>
    <s v="EMPRESAS MUNICIPALES DE CALI E.I.C.E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SERVICIO TELEFONICO 6683884-6672449-6683173-6689603 Y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1"/>
    <x v="1"/>
    <x v="4"/>
    <x v="4"/>
    <n v="657"/>
    <s v="1143135964"/>
    <s v="CABALLERO GONZALEZ JORGE ELIECER"/>
    <s v="2019052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22"/>
    <n v="-322"/>
    <x v="0"/>
    <x v="0"/>
    <x v="0"/>
    <n v="0"/>
    <n v="322"/>
    <n v="-322"/>
    <x v="0"/>
    <x v="0"/>
    <x v="0"/>
    <n v="0"/>
    <n v="322"/>
    <n v="-322"/>
    <x v="0"/>
    <x v="0"/>
    <x v="0"/>
    <x v="0"/>
    <x v="0"/>
  </r>
  <r>
    <x v="6"/>
    <x v="0"/>
    <x v="0"/>
    <x v="1"/>
    <x v="1"/>
    <x v="4"/>
    <x v="4"/>
    <n v="659"/>
    <s v="72187626"/>
    <s v="ULLOA ORTEGA LUIS FERNANDO"/>
    <s v="201905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1120"/>
    <n v="-1120"/>
    <x v="0"/>
    <x v="0"/>
    <x v="0"/>
    <n v="0"/>
    <n v="1120"/>
    <n v="-1120"/>
    <x v="0"/>
    <x v="0"/>
    <x v="0"/>
    <n v="0"/>
    <n v="1120"/>
    <n v="-1120"/>
    <x v="0"/>
    <x v="0"/>
    <x v="0"/>
    <x v="0"/>
    <x v="0"/>
  </r>
  <r>
    <x v="6"/>
    <x v="0"/>
    <x v="0"/>
    <x v="0"/>
    <x v="0"/>
    <x v="2"/>
    <x v="2"/>
    <n v="20237"/>
    <s v="900092385"/>
    <s v="EPM TELECOMUNICACIONES S.A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LINEA 01800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241"/>
    <s v="890399003"/>
    <s v="EMPRESAS MUNICIPALES DE CALI E.I.C.E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MCALI -SERVICIOS PUBLICOS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1"/>
    <x v="1"/>
    <x v="4"/>
    <x v="4"/>
    <n v="661"/>
    <s v="1143441764"/>
    <s v="RODRIGUEZ PADILLA GIOVANNI ENRIQUE"/>
    <s v="201906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950"/>
    <n v="0"/>
    <n v="950"/>
    <x v="0"/>
    <x v="0"/>
    <x v="0"/>
    <n v="950"/>
    <n v="0"/>
    <n v="950"/>
    <x v="0"/>
    <x v="0"/>
    <x v="0"/>
    <n v="950"/>
    <n v="0"/>
    <n v="950"/>
    <x v="0"/>
    <x v="0"/>
    <x v="0"/>
    <x v="0"/>
    <x v="0"/>
  </r>
  <r>
    <x v="2"/>
    <x v="0"/>
    <x v="0"/>
    <x v="0"/>
    <x v="0"/>
    <x v="2"/>
    <x v="2"/>
    <n v="20396"/>
    <s v="860007660"/>
    <s v="HELM BANK S.A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ES DE JUNIO 2019"/>
    <n v="0.76"/>
    <n v="0"/>
    <n v="0.76"/>
    <x v="0"/>
    <x v="0"/>
    <x v="0"/>
    <n v="0.76"/>
    <n v="0"/>
    <n v="0.76"/>
    <x v="0"/>
    <x v="0"/>
    <x v="0"/>
    <n v="0.76"/>
    <n v="0"/>
    <n v="0.76"/>
    <x v="0"/>
    <x v="0"/>
    <x v="0"/>
    <x v="0"/>
    <x v="0"/>
  </r>
  <r>
    <x v="2"/>
    <x v="0"/>
    <x v="0"/>
    <x v="0"/>
    <x v="0"/>
    <x v="2"/>
    <x v="2"/>
    <n v="20443"/>
    <s v="995"/>
    <s v="GASTOS DE MENOR CUANTIA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RECLASIFICACION DE U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3"/>
    <x v="0"/>
    <x v="0"/>
    <x v="0"/>
    <x v="0"/>
    <x v="2"/>
    <x v="2"/>
    <n v="20475"/>
    <s v="890904996"/>
    <s v="EMPRESAS PUBLICAS DE MEDELLIN ESP"/>
    <s v="201907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PUBLICOS CP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467"/>
    <s v="512"/>
    <s v="PAGOS POR NOMINA"/>
    <s v="2019071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512"/>
    <s v="PAGOS POR NOM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ONCILIACION NOMINA MES DE JUNIO DE 2019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0"/>
    <x v="0"/>
    <x v="2"/>
    <x v="2"/>
    <n v="20516"/>
    <s v="900092385"/>
    <s v="EPM TELECOMUNICACIONES S.A.  E.S.P."/>
    <s v="201907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LINEA 0180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4"/>
    <x v="4"/>
    <n v="670"/>
    <s v="72187626"/>
    <s v="ULLOA ORTEGA LUIS FERNANDO"/>
    <s v="201907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8"/>
    <n v="-8"/>
    <x v="0"/>
    <x v="0"/>
    <x v="0"/>
    <n v="0"/>
    <n v="8"/>
    <n v="-8"/>
    <x v="0"/>
    <x v="0"/>
    <x v="0"/>
    <n v="0"/>
    <n v="8"/>
    <n v="-8"/>
    <x v="0"/>
    <x v="0"/>
    <x v="0"/>
    <x v="0"/>
    <x v="0"/>
  </r>
  <r>
    <x v="3"/>
    <x v="0"/>
    <x v="0"/>
    <x v="0"/>
    <x v="0"/>
    <x v="2"/>
    <x v="2"/>
    <n v="20530"/>
    <s v="900092385"/>
    <s v="EPM TELECOMUNICACIONES S.A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IGO UNE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4"/>
    <s v="860007660"/>
    <s v="HELM BANK S.A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46"/>
    <n v="0"/>
    <n v="0.46"/>
    <x v="0"/>
    <x v="0"/>
    <x v="0"/>
    <n v="0.46"/>
    <n v="0"/>
    <n v="0.46"/>
    <x v="0"/>
    <x v="0"/>
    <x v="0"/>
    <n v="0.46"/>
    <n v="0"/>
    <n v="0.46"/>
    <x v="0"/>
    <x v="0"/>
    <x v="0"/>
    <x v="0"/>
    <x v="0"/>
  </r>
  <r>
    <x v="4"/>
    <x v="0"/>
    <x v="0"/>
    <x v="0"/>
    <x v="0"/>
    <x v="2"/>
    <x v="2"/>
    <n v="20636"/>
    <s v="800153993"/>
    <s v="COMUNICACIONES CELULAR S A  COMCEL S A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ODEM CARTELERAS SUPER INTER (JUN-JUL 2019)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0"/>
    <x v="0"/>
    <x v="2"/>
    <x v="2"/>
    <n v="20678"/>
    <s v="860007660"/>
    <s v="HELM BANK S.A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4000000000000001"/>
    <n v="0"/>
    <n v="0.14000000000000001"/>
    <x v="0"/>
    <x v="0"/>
    <x v="0"/>
    <n v="0.14000000000000001"/>
    <n v="0"/>
    <n v="0.14000000000000001"/>
    <x v="0"/>
    <x v="0"/>
    <x v="0"/>
    <n v="0.14000000000000001"/>
    <n v="0"/>
    <n v="0.14000000000000001"/>
    <x v="0"/>
    <x v="0"/>
    <x v="0"/>
    <x v="0"/>
    <x v="0"/>
  </r>
  <r>
    <x v="4"/>
    <x v="0"/>
    <x v="0"/>
    <x v="0"/>
    <x v="0"/>
    <x v="2"/>
    <x v="2"/>
    <n v="20682"/>
    <s v="890905055"/>
    <s v="EMPRESAS VARIAS DE MEDELLIN E.S.P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5055"/>
    <s v="EMPRESAS VARIAS DE MEDELLIN E.S.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83"/>
    <s v="830037248"/>
    <s v="CODENSA S.A. ES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-ENERGIA -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4"/>
    <x v="0"/>
    <x v="0"/>
    <x v="0"/>
    <x v="0"/>
    <x v="2"/>
    <x v="2"/>
    <n v="20684"/>
    <s v="890399003"/>
    <s v="EMPRESAS MUNICIPALES DE CALI E.I.C.E.  E.S.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EMCALI - TEL 6683884-6672449-6683173-6689603 Y SERVICIOS PUBLICOS DIR NAL Y CO 4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0"/>
    <x v="0"/>
    <x v="2"/>
    <x v="2"/>
    <n v="19870"/>
    <s v="890200162"/>
    <s v="ACUEDUCTO METROPOLITANO DE BUCARAMANGA S.A. E.S.P."/>
    <s v="2019032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0162"/>
    <s v="ACUEDUCTO METROPOLITANO DE BUCARAMANGA S.A.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39"/>
    <s v="899999061"/>
    <s v="BOGOTA DISTRITO CAPITAL"/>
    <s v="201901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9999061"/>
    <s v="BOGOTA DISTRITO CAPI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D Y CCIO - NOV-DIC  2018- CO BOGOTA"/>
    <n v="439"/>
    <n v="0"/>
    <n v="439"/>
    <x v="0"/>
    <x v="0"/>
    <x v="0"/>
    <n v="439"/>
    <n v="0"/>
    <n v="439"/>
    <x v="0"/>
    <x v="0"/>
    <x v="0"/>
    <n v="439"/>
    <n v="0"/>
    <n v="439"/>
    <x v="0"/>
    <x v="0"/>
    <x v="0"/>
    <x v="0"/>
    <x v="0"/>
  </r>
  <r>
    <x v="0"/>
    <x v="0"/>
    <x v="0"/>
    <x v="0"/>
    <x v="0"/>
    <x v="2"/>
    <x v="2"/>
    <n v="19542"/>
    <s v="830122566"/>
    <s v="COLOMBIA TELECOMUNICACIONES S.A.-ESP"/>
    <s v="2019011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VARIOS C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0"/>
    <x v="0"/>
    <x v="0"/>
    <x v="1"/>
    <x v="1"/>
    <x v="4"/>
    <x v="4"/>
    <n v="634"/>
    <s v="1143135964"/>
    <s v="CABALLERO GONZALEZ JORGE ELIECER"/>
    <s v="201901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6"/>
    <n v="0"/>
    <n v="266"/>
    <x v="0"/>
    <x v="0"/>
    <x v="0"/>
    <n v="266"/>
    <n v="0"/>
    <n v="266"/>
    <x v="0"/>
    <x v="0"/>
    <x v="0"/>
    <n v="266"/>
    <n v="0"/>
    <n v="266"/>
    <x v="0"/>
    <x v="0"/>
    <x v="0"/>
    <x v="0"/>
    <x v="0"/>
  </r>
  <r>
    <x v="5"/>
    <x v="0"/>
    <x v="0"/>
    <x v="0"/>
    <x v="0"/>
    <x v="2"/>
    <x v="2"/>
    <n v="19825"/>
    <s v="890480184"/>
    <s v="DISTRITO TURISTICO Y CULTURAL DE CARTAGENA DE IND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480184"/>
    <s v="DISTRITO TURISTICO Y CULTURAL DE CARTAGENA DE IND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CARTAGENA ENE-FEB 2019"/>
    <n v="187"/>
    <n v="0"/>
    <n v="187"/>
    <x v="0"/>
    <x v="0"/>
    <x v="0"/>
    <n v="187"/>
    <n v="0"/>
    <n v="187"/>
    <x v="0"/>
    <x v="0"/>
    <x v="0"/>
    <n v="187"/>
    <n v="0"/>
    <n v="187"/>
    <x v="0"/>
    <x v="0"/>
    <x v="0"/>
    <x v="0"/>
    <x v="0"/>
  </r>
  <r>
    <x v="5"/>
    <x v="0"/>
    <x v="0"/>
    <x v="0"/>
    <x v="0"/>
    <x v="2"/>
    <x v="2"/>
    <n v="19821"/>
    <s v="890399011"/>
    <s v="MUNICIPIO DE SANTIAGO DE CAL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11"/>
    <s v="MUNICIPIO DE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ICA- CALI ( ENE-FEB 2019)"/>
    <n v="152"/>
    <n v="0"/>
    <n v="152"/>
    <x v="0"/>
    <x v="0"/>
    <x v="0"/>
    <n v="152"/>
    <n v="0"/>
    <n v="152"/>
    <x v="0"/>
    <x v="0"/>
    <x v="0"/>
    <n v="152"/>
    <n v="0"/>
    <n v="152"/>
    <x v="0"/>
    <x v="0"/>
    <x v="0"/>
    <x v="0"/>
    <x v="0"/>
  </r>
  <r>
    <x v="5"/>
    <x v="0"/>
    <x v="0"/>
    <x v="0"/>
    <x v="0"/>
    <x v="2"/>
    <x v="2"/>
    <n v="19822"/>
    <s v="890102018"/>
    <s v="MUNICIPIO DE BARRANQUILLA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BARRANQUILLA (ENE-FEB 2019)"/>
    <n v="408"/>
    <n v="0"/>
    <n v="408"/>
    <x v="0"/>
    <x v="0"/>
    <x v="0"/>
    <n v="408"/>
    <n v="0"/>
    <n v="408"/>
    <x v="0"/>
    <x v="0"/>
    <x v="0"/>
    <n v="408"/>
    <n v="0"/>
    <n v="408"/>
    <x v="0"/>
    <x v="0"/>
    <x v="0"/>
    <x v="0"/>
    <x v="0"/>
  </r>
  <r>
    <x v="5"/>
    <x v="0"/>
    <x v="0"/>
    <x v="1"/>
    <x v="1"/>
    <x v="4"/>
    <x v="4"/>
    <n v="645"/>
    <s v="22656341"/>
    <s v="ARIAS QUINTERO NELVIS ROCIO"/>
    <s v="201903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0"/>
    <n v="-20"/>
    <x v="0"/>
    <x v="0"/>
    <x v="0"/>
    <n v="0"/>
    <n v="20"/>
    <n v="-20"/>
    <x v="0"/>
    <x v="0"/>
    <x v="0"/>
    <n v="0"/>
    <n v="20"/>
    <n v="-20"/>
    <x v="0"/>
    <x v="0"/>
    <x v="0"/>
    <x v="0"/>
    <x v="0"/>
  </r>
  <r>
    <x v="7"/>
    <x v="0"/>
    <x v="0"/>
    <x v="0"/>
    <x v="0"/>
    <x v="2"/>
    <x v="2"/>
    <n v="19978"/>
    <s v="800153993"/>
    <s v="COMUNICACIONES CELULAR S A  COMCEL S A"/>
    <s v="2019040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VARIOS CO- COOMEVA CARTELER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70"/>
    <s v="830053800"/>
    <s v="TELMEX COLOMBIA SA"/>
    <s v="2019050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- ABRI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93"/>
    <s v="900397145"/>
    <s v="TILETRADE S.A."/>
    <s v="201905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 01 - (Saldo de Utilidad del año 2015-Utilidad del año 2017)- USD 3585.16 (TRM 3313.80)"/>
    <n v="0.21"/>
    <n v="0"/>
    <n v="0.21"/>
    <x v="0"/>
    <x v="0"/>
    <x v="0"/>
    <n v="0.21"/>
    <n v="0"/>
    <n v="0.21"/>
    <x v="0"/>
    <x v="0"/>
    <x v="0"/>
    <n v="0.21"/>
    <n v="0"/>
    <n v="0.21"/>
    <x v="0"/>
    <x v="0"/>
    <x v="0"/>
    <x v="0"/>
    <x v="0"/>
  </r>
  <r>
    <x v="2"/>
    <x v="0"/>
    <x v="0"/>
    <x v="0"/>
    <x v="0"/>
    <x v="2"/>
    <x v="2"/>
    <n v="20362"/>
    <s v="830037248"/>
    <s v="CODENSA S.A. ESP.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NERGIA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2"/>
    <x v="0"/>
    <x v="0"/>
    <x v="1"/>
    <x v="1"/>
    <x v="4"/>
    <x v="4"/>
    <n v="662"/>
    <s v="1143135964"/>
    <s v="CABALLERO GONZALEZ JORGE ELIECER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80"/>
    <n v="-280"/>
    <x v="0"/>
    <x v="0"/>
    <x v="0"/>
    <n v="0"/>
    <n v="280"/>
    <n v="-280"/>
    <x v="0"/>
    <x v="0"/>
    <x v="0"/>
    <n v="0"/>
    <n v="280"/>
    <n v="-280"/>
    <x v="0"/>
    <x v="0"/>
    <x v="0"/>
    <x v="0"/>
    <x v="0"/>
  </r>
  <r>
    <x v="3"/>
    <x v="0"/>
    <x v="0"/>
    <x v="1"/>
    <x v="1"/>
    <x v="4"/>
    <x v="4"/>
    <n v="667"/>
    <s v="72187626"/>
    <s v="ULLOA ORTEGA LUIS FERNANDO"/>
    <s v="201907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0"/>
    <n v="0"/>
    <n v="650"/>
    <x v="0"/>
    <x v="0"/>
    <x v="0"/>
    <n v="650"/>
    <n v="0"/>
    <n v="650"/>
    <x v="0"/>
    <x v="0"/>
    <x v="0"/>
    <n v="650"/>
    <n v="0"/>
    <n v="650"/>
    <x v="0"/>
    <x v="0"/>
    <x v="0"/>
    <x v="0"/>
    <x v="0"/>
  </r>
  <r>
    <x v="3"/>
    <x v="0"/>
    <x v="0"/>
    <x v="0"/>
    <x v="0"/>
    <x v="2"/>
    <x v="2"/>
    <n v="20537"/>
    <s v="890399003"/>
    <s v="EMPRESAS MUNICIPALES DE CALI E.I.C.E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TEL 6683884/6683173/6689603/6672449 Y SERVICIOS PUBLICOS DIR NAL"/>
    <n v="3"/>
    <n v="0"/>
    <n v="3"/>
    <x v="0"/>
    <x v="0"/>
    <x v="0"/>
    <n v="3"/>
    <n v="0"/>
    <n v="3"/>
    <x v="0"/>
    <x v="0"/>
    <x v="0"/>
    <n v="3"/>
    <n v="0"/>
    <n v="3"/>
    <x v="0"/>
    <x v="0"/>
    <x v="0"/>
    <x v="0"/>
    <x v="0"/>
  </r>
  <r>
    <x v="4"/>
    <x v="0"/>
    <x v="0"/>
    <x v="0"/>
    <x v="0"/>
    <x v="3"/>
    <x v="3"/>
    <n v="348"/>
    <s v="10131503"/>
    <s v="CANO RIOS JUAN CARLOS"/>
    <s v="201908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10131503"/>
    <s v="CANO RIOS JUAN CARL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ANTICIPO AP - 450 - 200 REGISTRO CAMARA DE COMERCI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5"/>
    <x v="0"/>
    <x v="0"/>
    <x v="0"/>
    <x v="0"/>
    <x v="2"/>
    <x v="2"/>
    <n v="19923"/>
    <s v="860047239"/>
    <s v="MUSICAR S.A.S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UENTA DE DIVIDENDOS AÑO 2018"/>
    <n v="109"/>
    <n v="0"/>
    <n v="109"/>
    <x v="0"/>
    <x v="0"/>
    <x v="0"/>
    <n v="109"/>
    <n v="0"/>
    <n v="109"/>
    <x v="0"/>
    <x v="0"/>
    <x v="0"/>
    <n v="109"/>
    <n v="0"/>
    <n v="109"/>
    <x v="0"/>
    <x v="0"/>
    <x v="0"/>
    <x v="0"/>
    <x v="0"/>
  </r>
  <r>
    <x v="7"/>
    <x v="0"/>
    <x v="0"/>
    <x v="0"/>
    <x v="0"/>
    <x v="2"/>
    <x v="2"/>
    <n v="19936"/>
    <s v="860047239"/>
    <s v="MUSICAR S.A.S"/>
    <s v="201904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MARZO-2019"/>
    <n v="161.6"/>
    <n v="0"/>
    <n v="161.6"/>
    <x v="0"/>
    <x v="0"/>
    <x v="0"/>
    <n v="161.6"/>
    <n v="0"/>
    <n v="161.6"/>
    <x v="0"/>
    <x v="0"/>
    <x v="0"/>
    <n v="161.6"/>
    <n v="0"/>
    <n v="161.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7191.9"/>
    <n v="0"/>
    <n v="7191.9000000000005"/>
    <x v="0"/>
    <x v="0"/>
    <x v="0"/>
    <n v="7191.9"/>
    <n v="0"/>
    <n v="7191.9000000000005"/>
    <x v="0"/>
    <x v="0"/>
    <x v="0"/>
    <n v="7191.9"/>
    <n v="0"/>
    <n v="7191.900000000000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06142312021030"/>
    <s v="MUSICAR EL SALVADOR S.A DE CV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796235"/>
    <n v="0"/>
    <n v="796235"/>
    <x v="0"/>
    <x v="0"/>
    <x v="0"/>
    <n v="796235"/>
    <n v="0"/>
    <n v="796235"/>
    <x v="0"/>
    <x v="0"/>
    <x v="0"/>
    <n v="796235"/>
    <n v="0"/>
    <n v="79623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3130"/>
    <n v="0"/>
    <n v="3130"/>
    <x v="0"/>
    <x v="0"/>
    <x v="0"/>
    <n v="3130"/>
    <n v="0"/>
    <n v="3130"/>
    <x v="0"/>
    <x v="0"/>
    <x v="0"/>
    <n v="3130"/>
    <n v="0"/>
    <n v="313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349.99"/>
    <n v="0"/>
    <n v="3349.9900000000002"/>
    <x v="0"/>
    <x v="0"/>
    <x v="0"/>
    <n v="3349.99"/>
    <n v="0"/>
    <n v="3349.9900000000002"/>
    <x v="0"/>
    <x v="0"/>
    <x v="0"/>
    <n v="3349.99"/>
    <n v="0"/>
    <n v="3349.9900000000002"/>
    <x v="0"/>
    <x v="0"/>
    <x v="0"/>
    <x v="0"/>
    <x v="0"/>
  </r>
  <r>
    <x v="3"/>
    <x v="0"/>
    <x v="0"/>
    <x v="3"/>
    <x v="3"/>
    <x v="4"/>
    <x v="4"/>
    <n v="145"/>
    <s v="1128280824"/>
    <s v="OSORIO SANCHEZ WILSON DARIO"/>
    <s v="201907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71595034"/>
    <s v="RIOS NARANJO MAR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ÓN DE 1%"/>
    <n v="3200"/>
    <n v="0"/>
    <n v="3200"/>
    <x v="0"/>
    <x v="0"/>
    <x v="0"/>
    <n v="3200"/>
    <n v="0"/>
    <n v="3200"/>
    <x v="0"/>
    <x v="0"/>
    <x v="0"/>
    <n v="3200"/>
    <n v="0"/>
    <n v="3200"/>
    <x v="0"/>
    <x v="0"/>
    <x v="0"/>
    <x v="0"/>
    <x v="0"/>
  </r>
  <r>
    <x v="4"/>
    <x v="0"/>
    <x v="0"/>
    <x v="0"/>
    <x v="0"/>
    <x v="3"/>
    <x v="3"/>
    <n v="349"/>
    <s v="1118283794"/>
    <s v="ROMERO SERNA LEIDY CATALINA"/>
    <s v="20190808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1118283794"/>
    <s v="ROMERO SERNA LEIDY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ON RENTA"/>
    <n v="93600"/>
    <n v="0"/>
    <n v="93600"/>
    <x v="0"/>
    <x v="0"/>
    <x v="0"/>
    <n v="93600"/>
    <n v="0"/>
    <n v="93600"/>
    <x v="0"/>
    <x v="0"/>
    <x v="0"/>
    <n v="93600"/>
    <n v="0"/>
    <n v="93600"/>
    <x v="0"/>
    <x v="0"/>
    <x v="0"/>
    <x v="0"/>
    <x v="0"/>
  </r>
  <r>
    <x v="4"/>
    <x v="0"/>
    <x v="0"/>
    <x v="3"/>
    <x v="3"/>
    <x v="3"/>
    <x v="3"/>
    <n v="167"/>
    <s v="71590620"/>
    <s v="RINCON CARO ODILIO DE JESUS"/>
    <s v="20190822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1037265346"/>
    <s v="RUIZ MORALES JUAN GUILLERM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LEVANTAMIENTO DE Y DIBUJO DE REDES C.C. AVENTURA"/>
    <n v="18000"/>
    <n v="0"/>
    <n v="18000"/>
    <x v="0"/>
    <x v="0"/>
    <x v="0"/>
    <n v="18000"/>
    <n v="0"/>
    <n v="18000"/>
    <x v="0"/>
    <x v="0"/>
    <x v="0"/>
    <n v="18000"/>
    <n v="0"/>
    <n v="180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032471"/>
    <s v="ARDILA CORTES NATHA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42140339"/>
    <s v="LILI JOHANA RUIZ GRAJ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900576027"/>
    <s v="LOMA LIND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144142603"/>
    <s v="MINA PEREZ Y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30400"/>
    <n v="0"/>
    <n v="30400"/>
    <x v="0"/>
    <x v="0"/>
    <x v="0"/>
    <n v="30400"/>
    <n v="0"/>
    <n v="30400"/>
    <x v="0"/>
    <x v="0"/>
    <x v="0"/>
    <n v="30400"/>
    <n v="0"/>
    <n v="304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142334"/>
    <s v="PACHAMAMA HOTEL SP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25650"/>
    <n v="0"/>
    <n v="25650"/>
    <x v="0"/>
    <x v="0"/>
    <x v="0"/>
    <n v="25650"/>
    <n v="0"/>
    <n v="25650"/>
    <x v="0"/>
    <x v="0"/>
    <x v="0"/>
    <n v="25650"/>
    <n v="0"/>
    <n v="2565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238756"/>
    <s v="ROMAN PERDOMO MONICA JULI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1"/>
    <x v="0"/>
    <x v="0"/>
    <x v="0"/>
    <x v="0"/>
    <x v="2"/>
    <x v="2"/>
    <n v="19682"/>
    <s v="890102018"/>
    <s v="MUNICIPIO DE BARRANQUILLA"/>
    <s v="201902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RRECION DEC 2016 BARRAQUILLA"/>
    <n v="392000"/>
    <n v="0"/>
    <n v="392000"/>
    <x v="0"/>
    <x v="0"/>
    <x v="0"/>
    <n v="392000"/>
    <n v="0"/>
    <n v="392000"/>
    <x v="0"/>
    <x v="0"/>
    <x v="0"/>
    <n v="392000"/>
    <n v="0"/>
    <n v="392000"/>
    <x v="0"/>
    <x v="0"/>
    <x v="0"/>
    <x v="0"/>
    <x v="0"/>
  </r>
  <r>
    <x v="6"/>
    <x v="0"/>
    <x v="0"/>
    <x v="0"/>
    <x v="0"/>
    <x v="2"/>
    <x v="2"/>
    <n v="20251"/>
    <s v="890905211"/>
    <s v="MUNICIPIO DE MEDELLIN - SECRETARIA DE MOVILIDAD"/>
    <s v="20190531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 PAGO IND Y CIO MEDELLIN - ABRIL Y MAYO 2019"/>
    <n v="26828"/>
    <n v="0"/>
    <n v="26828"/>
    <x v="0"/>
    <x v="0"/>
    <x v="0"/>
    <n v="26828"/>
    <n v="0"/>
    <n v="26828"/>
    <x v="0"/>
    <x v="0"/>
    <x v="0"/>
    <n v="26828"/>
    <n v="0"/>
    <n v="26828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ON AE-229 PAGO SANCION EXTEMPORANEIDAD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NDUSTRIA Y COMERCIO MES DE MARZO REGIONAL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4"/>
    <x v="0"/>
    <x v="0"/>
    <x v="4"/>
    <x v="4"/>
    <x v="3"/>
    <x v="3"/>
    <n v="232"/>
    <s v="1098657994"/>
    <s v="HERNANDEZ ROJAS JOHN EDISON"/>
    <s v="20190816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MPUESTO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0"/>
    <x v="0"/>
    <x v="0"/>
    <x v="2"/>
    <x v="2"/>
    <x v="9"/>
    <x v="9"/>
    <n v="1446"/>
    <s v="860049609"/>
    <s v="MILSEN S.A.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ANUAL $679.874"/>
    <n v="679874"/>
    <n v="0"/>
    <n v="679874"/>
    <x v="0"/>
    <x v="0"/>
    <x v="0"/>
    <n v="679874"/>
    <n v="0"/>
    <n v="679874"/>
    <x v="0"/>
    <x v="0"/>
    <x v="0"/>
    <n v="679874"/>
    <n v="0"/>
    <n v="679874"/>
    <x v="0"/>
    <x v="0"/>
    <x v="0"/>
    <x v="0"/>
    <x v="0"/>
  </r>
  <r>
    <x v="0"/>
    <x v="0"/>
    <x v="0"/>
    <x v="5"/>
    <x v="5"/>
    <x v="1"/>
    <x v="1"/>
    <n v="45487"/>
    <s v="800047266"/>
    <s v="QUIMICA COLOMBIANA LTDA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7266"/>
    <s v="QUIMICA COLOMBIA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766"/>
    <n v="0"/>
    <n v="1766"/>
    <x v="0"/>
    <x v="0"/>
    <x v="0"/>
    <n v="1766"/>
    <n v="0"/>
    <n v="1766"/>
    <x v="0"/>
    <x v="0"/>
    <x v="0"/>
    <n v="1766"/>
    <n v="0"/>
    <n v="1766"/>
    <x v="0"/>
    <x v="0"/>
    <x v="0"/>
    <x v="0"/>
    <x v="0"/>
  </r>
  <r>
    <x v="0"/>
    <x v="0"/>
    <x v="0"/>
    <x v="5"/>
    <x v="5"/>
    <x v="9"/>
    <x v="9"/>
    <n v="1198"/>
    <s v="805012610"/>
    <s v="FINES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62.778 En factura."/>
    <n v="62778"/>
    <n v="0"/>
    <n v="62778"/>
    <x v="0"/>
    <x v="0"/>
    <x v="0"/>
    <n v="62778"/>
    <n v="0"/>
    <n v="62778"/>
    <x v="0"/>
    <x v="0"/>
    <x v="0"/>
    <n v="62778"/>
    <n v="0"/>
    <n v="62778"/>
    <x v="0"/>
    <x v="0"/>
    <x v="0"/>
    <x v="0"/>
    <x v="0"/>
  </r>
  <r>
    <x v="0"/>
    <x v="0"/>
    <x v="0"/>
    <x v="5"/>
    <x v="5"/>
    <x v="1"/>
    <x v="1"/>
    <n v="45499"/>
    <s v="805009741"/>
    <s v="COOMEVA MEDICINA PREPAGAD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2"/>
    <x v="2"/>
    <x v="9"/>
    <x v="9"/>
    <n v="1449"/>
    <s v="860032450"/>
    <s v="POLLO FIESTA LTD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32450"/>
    <s v="POLLO FIESTA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4.5% POR SEMESTRE ANTICIPADO."/>
    <n v="30632"/>
    <n v="0"/>
    <n v="30632"/>
    <x v="0"/>
    <x v="0"/>
    <x v="0"/>
    <n v="30632"/>
    <n v="0"/>
    <n v="30632"/>
    <x v="0"/>
    <x v="0"/>
    <x v="0"/>
    <n v="30632"/>
    <n v="0"/>
    <n v="30632"/>
    <x v="0"/>
    <x v="0"/>
    <x v="0"/>
    <x v="0"/>
    <x v="0"/>
  </r>
  <r>
    <x v="0"/>
    <x v="0"/>
    <x v="0"/>
    <x v="6"/>
    <x v="6"/>
    <x v="9"/>
    <x v="9"/>
    <n v="1106"/>
    <s v="830073145"/>
    <s v="ADMINISTRADORA DE HOTELES NUEVA GRANADA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73145"/>
    <s v="ADMINISTRADORA DE HOTELES NUEVA GRAN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4 DESCUENTO  DE $ 23.579 POR PAGO ANTICIPADO"/>
    <n v="23579"/>
    <n v="0"/>
    <n v="23579"/>
    <x v="0"/>
    <x v="0"/>
    <x v="0"/>
    <n v="23579"/>
    <n v="0"/>
    <n v="23579"/>
    <x v="0"/>
    <x v="0"/>
    <x v="0"/>
    <n v="23579"/>
    <n v="0"/>
    <n v="23579"/>
    <x v="0"/>
    <x v="0"/>
    <x v="0"/>
    <x v="0"/>
    <x v="0"/>
  </r>
  <r>
    <x v="0"/>
    <x v="0"/>
    <x v="0"/>
    <x v="3"/>
    <x v="3"/>
    <x v="9"/>
    <x v="9"/>
    <n v="1079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8 - DCTO 9% AÑO ANTICIPADO $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3"/>
    <x v="3"/>
    <x v="9"/>
    <x v="9"/>
    <n v="1080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450 DCTO 9% PAGO ANTICIPADO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1"/>
    <x v="1"/>
    <x v="1"/>
    <x v="1"/>
    <n v="23996"/>
    <s v="890102508"/>
    <s v="SALES INMOBILIARIA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642"/>
    <s v="800196652"/>
    <s v="INSTITUTO CARDIOVASCULAR Y DE ESTUDIOS ESPECIALE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96652"/>
    <s v="INSTITUTO CARDIOVASCULAR Y DE ESTUDIOS ESPECI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"/>
    <n v="228"/>
    <n v="0"/>
    <n v="228"/>
    <x v="0"/>
    <x v="0"/>
    <x v="0"/>
    <n v="228"/>
    <n v="0"/>
    <n v="228"/>
    <x v="0"/>
    <x v="0"/>
    <x v="0"/>
    <n v="228"/>
    <n v="0"/>
    <n v="228"/>
    <x v="0"/>
    <x v="0"/>
    <x v="0"/>
    <x v="0"/>
    <x v="0"/>
  </r>
  <r>
    <x v="0"/>
    <x v="0"/>
    <x v="0"/>
    <x v="5"/>
    <x v="5"/>
    <x v="1"/>
    <x v="1"/>
    <n v="45647"/>
    <s v="890901218"/>
    <s v="TIENDAS DE ROPA INTIMA S.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1218"/>
    <s v="TIENDAS DE ROPA INTIM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3"/>
    <x v="3"/>
    <x v="1"/>
    <x v="1"/>
    <n v="37092"/>
    <s v="890900943"/>
    <s v="COLOMBIANA DE COMERCIO S.A. Y/O ALKOSTO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943"/>
    <s v="COLOMBIANA DE COMERCIO S.A. Y/O ALKOSTO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200"/>
    <n v="1239"/>
    <n v="0"/>
    <n v="1239"/>
    <x v="0"/>
    <x v="0"/>
    <x v="0"/>
    <n v="1239"/>
    <n v="0"/>
    <n v="1239"/>
    <x v="0"/>
    <x v="0"/>
    <x v="0"/>
    <n v="1239"/>
    <n v="0"/>
    <n v="1239"/>
    <x v="0"/>
    <x v="0"/>
    <x v="0"/>
    <x v="0"/>
    <x v="0"/>
  </r>
  <r>
    <x v="1"/>
    <x v="0"/>
    <x v="0"/>
    <x v="5"/>
    <x v="5"/>
    <x v="1"/>
    <x v="1"/>
    <n v="45693"/>
    <s v="860046201"/>
    <s v="FORTOX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5"/>
    <x v="5"/>
    <x v="1"/>
    <x v="1"/>
    <n v="45694"/>
    <s v="860037900"/>
    <s v="CONSTRUCTORA  BOLIVAR  CALI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5"/>
    <x v="5"/>
    <x v="9"/>
    <x v="9"/>
    <n v="1226"/>
    <s v="890300513"/>
    <s v="CLINICA DE OCCIDENTE S.A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513"/>
    <s v="CLINICA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del 2.25 %trimestre anticipado.$13.570."/>
    <n v="13570"/>
    <n v="0"/>
    <n v="13570"/>
    <x v="0"/>
    <x v="0"/>
    <x v="0"/>
    <n v="13570"/>
    <n v="0"/>
    <n v="13570"/>
    <x v="0"/>
    <x v="0"/>
    <x v="0"/>
    <n v="13570"/>
    <n v="0"/>
    <n v="13570"/>
    <x v="0"/>
    <x v="0"/>
    <x v="0"/>
    <x v="0"/>
    <x v="0"/>
  </r>
  <r>
    <x v="1"/>
    <x v="0"/>
    <x v="0"/>
    <x v="2"/>
    <x v="2"/>
    <x v="9"/>
    <x v="9"/>
    <n v="1463"/>
    <s v="800076770"/>
    <s v="CORRIENTE ALTERNA LTDA"/>
    <s v="201902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76770"/>
    <s v="CORRIENTE ALTER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4.5 % POR PAGO DE SEMESTRE ANTICIPADO."/>
    <n v="49881"/>
    <n v="0"/>
    <n v="49881"/>
    <x v="0"/>
    <x v="0"/>
    <x v="0"/>
    <n v="49881"/>
    <n v="0"/>
    <n v="49881"/>
    <x v="0"/>
    <x v="0"/>
    <x v="0"/>
    <n v="49881"/>
    <n v="0"/>
    <n v="49881"/>
    <x v="0"/>
    <x v="0"/>
    <x v="0"/>
    <x v="0"/>
    <x v="0"/>
  </r>
  <r>
    <x v="1"/>
    <x v="0"/>
    <x v="0"/>
    <x v="5"/>
    <x v="5"/>
    <x v="1"/>
    <x v="1"/>
    <n v="45940"/>
    <s v="805009741"/>
    <s v="COOMEVA MEDICINA PREPAGADA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OMEV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5"/>
    <x v="5"/>
    <x v="1"/>
    <x v="1"/>
    <n v="45926"/>
    <s v="890304375"/>
    <s v="INDUGRAFICAS S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1"/>
    <x v="0"/>
    <x v="0"/>
    <x v="5"/>
    <x v="5"/>
    <x v="9"/>
    <x v="9"/>
    <n v="1235"/>
    <s v="890315430"/>
    <s v="AGRICOLA COLOMBIANA S.A.-AGRICOL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5430"/>
    <s v="AGRICOLA COLOMBIANA S.A.-AGRI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DESCUENTO $32.944, RETEIVA $20.865"/>
    <n v="32944"/>
    <n v="0"/>
    <n v="32944"/>
    <x v="0"/>
    <x v="0"/>
    <x v="0"/>
    <n v="32944"/>
    <n v="0"/>
    <n v="32944"/>
    <x v="0"/>
    <x v="0"/>
    <x v="0"/>
    <n v="32944"/>
    <n v="0"/>
    <n v="32944"/>
    <x v="0"/>
    <x v="0"/>
    <x v="0"/>
    <x v="0"/>
    <x v="0"/>
  </r>
  <r>
    <x v="0"/>
    <x v="0"/>
    <x v="0"/>
    <x v="3"/>
    <x v="3"/>
    <x v="1"/>
    <x v="1"/>
    <n v="37029"/>
    <s v="800032634"/>
    <s v="CENTRO COMERCIAL METRO CENTRO 1"/>
    <s v="201901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00032634"/>
    <s v="CENTRO COMERCIAL METRO CENTRO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1"/>
    <n v="13120"/>
    <n v="0"/>
    <n v="13120"/>
    <x v="0"/>
    <x v="0"/>
    <x v="0"/>
    <n v="13120"/>
    <n v="0"/>
    <n v="13120"/>
    <x v="0"/>
    <x v="0"/>
    <x v="0"/>
    <n v="13120"/>
    <n v="0"/>
    <n v="13120"/>
    <x v="0"/>
    <x v="0"/>
    <x v="0"/>
    <x v="0"/>
    <x v="0"/>
  </r>
  <r>
    <x v="5"/>
    <x v="0"/>
    <x v="0"/>
    <x v="3"/>
    <x v="3"/>
    <x v="1"/>
    <x v="1"/>
    <n v="37258"/>
    <s v="811007125"/>
    <s v="RIO ASEO TOTAL"/>
    <s v="20190305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540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2"/>
    <x v="0"/>
    <x v="0"/>
    <x v="0"/>
    <x v="0"/>
    <x v="0"/>
    <x v="0"/>
    <n v="4316"/>
    <s v="900138858"/>
    <s v="BRECCIA SALUD S.A.S."/>
    <s v="20190619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900138858"/>
    <s v="BRECCIA SALUD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FUENTE"/>
    <n v="57233"/>
    <n v="0"/>
    <n v="57233"/>
    <x v="0"/>
    <x v="0"/>
    <x v="0"/>
    <n v="57233"/>
    <n v="0"/>
    <n v="57233"/>
    <x v="0"/>
    <x v="0"/>
    <x v="0"/>
    <n v="57233"/>
    <n v="0"/>
    <n v="57233"/>
    <x v="0"/>
    <x v="0"/>
    <x v="0"/>
    <x v="0"/>
    <x v="0"/>
  </r>
  <r>
    <x v="3"/>
    <x v="0"/>
    <x v="0"/>
    <x v="0"/>
    <x v="0"/>
    <x v="0"/>
    <x v="0"/>
    <n v="4342"/>
    <s v="900699086"/>
    <s v="CLINICA PALMA REAL S.A.S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3"/>
    <x v="0"/>
    <x v="0"/>
    <x v="0"/>
    <x v="0"/>
    <x v="2"/>
    <x v="2"/>
    <n v="20538"/>
    <s v="890905211"/>
    <s v="MUNICIPIO DE MEDELLIN - SECRETARIA DE MOVILIDAD"/>
    <s v="20190730"/>
    <x v="13"/>
    <x v="0"/>
    <x v="13"/>
    <x v="0"/>
    <x v="0"/>
    <x v="0"/>
    <x v="0"/>
    <x v="0"/>
    <x v="2"/>
    <x v="2"/>
    <x v="7"/>
    <x v="7"/>
    <x v="13"/>
    <x v="13"/>
    <x v="13"/>
    <x v="13"/>
    <x v="13"/>
    <x v="13"/>
    <x v="13"/>
    <x v="13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MPUESTOS CO 464 ( JUNIO/JULIO) 2019"/>
    <n v="26801"/>
    <n v="0"/>
    <n v="26801"/>
    <x v="0"/>
    <x v="0"/>
    <x v="0"/>
    <n v="26801"/>
    <n v="0"/>
    <n v="26801"/>
    <x v="0"/>
    <x v="0"/>
    <x v="0"/>
    <n v="26801"/>
    <n v="0"/>
    <n v="268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5"/>
    <x v="0"/>
    <x v="0"/>
    <x v="3"/>
    <x v="3"/>
    <x v="7"/>
    <x v="7"/>
    <n v="3485"/>
    <s v="890903407"/>
    <s v="SEGUROS GENERALES SURAMERICANA S.A"/>
    <s v="20190318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3"/>
    <x v="3"/>
    <x v="0"/>
    <x v="0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 - ESE HOSPITAL MENTAL DE ANTIOQUI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4"/>
    <s v="1143441764"/>
    <s v="RODRIGUEZ PADILLA GIOVANNI ENRIQUE"/>
    <s v="201903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520"/>
    <n v="-520"/>
    <x v="0"/>
    <x v="0"/>
    <x v="0"/>
    <n v="0"/>
    <n v="520"/>
    <n v="-520"/>
    <x v="0"/>
    <x v="0"/>
    <x v="0"/>
    <n v="0"/>
    <n v="520"/>
    <n v="-520"/>
    <x v="0"/>
    <x v="0"/>
    <x v="0"/>
    <x v="0"/>
    <x v="0"/>
  </r>
  <r>
    <x v="0"/>
    <x v="0"/>
    <x v="0"/>
    <x v="0"/>
    <x v="0"/>
    <x v="2"/>
    <x v="2"/>
    <n v="19555"/>
    <s v="830053800"/>
    <s v="TELMEX COLOMBIA SA"/>
    <s v="2019012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60"/>
    <s v="830122566"/>
    <s v="COLOMBIA TELECOMUNICACIONES S.A.-ESP"/>
    <s v="201901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S SERVICIOS PUBLICOS Y TEL VARIOS C.O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32"/>
    <s v="890399003"/>
    <s v="EMPRESAS MUNICIPALES DE CALI E.I.C.E.  E.S.P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SERVICIOS PUBLICOS DIR NAL Y CO CALI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28"/>
    <s v="890904996"/>
    <s v="EMPRESAS PUBLICAS DE MEDELLIN ESP"/>
    <s v="201903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SERVICIOS  CO 464-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2"/>
    <s v="72187626"/>
    <s v="ULLOA ORTEGA LUIS FERNANDO"/>
    <s v="2019031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68"/>
    <n v="-368"/>
    <x v="0"/>
    <x v="0"/>
    <x v="0"/>
    <n v="0"/>
    <n v="368"/>
    <n v="-368"/>
    <x v="0"/>
    <x v="0"/>
    <x v="0"/>
    <n v="0"/>
    <n v="368"/>
    <n v="-368"/>
    <x v="0"/>
    <x v="0"/>
    <x v="0"/>
    <x v="0"/>
    <x v="0"/>
  </r>
  <r>
    <x v="5"/>
    <x v="0"/>
    <x v="0"/>
    <x v="1"/>
    <x v="1"/>
    <x v="4"/>
    <x v="4"/>
    <n v="647"/>
    <s v="8763635"/>
    <s v="MOLINA PACHECO LUIS EDUARDO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"/>
    <n v="0"/>
    <n v="26"/>
    <x v="0"/>
    <x v="0"/>
    <x v="0"/>
    <n v="26"/>
    <n v="0"/>
    <n v="26"/>
    <x v="0"/>
    <x v="0"/>
    <x v="0"/>
    <n v="26"/>
    <n v="0"/>
    <n v="26"/>
    <x v="0"/>
    <x v="0"/>
    <x v="0"/>
    <x v="0"/>
    <x v="0"/>
  </r>
  <r>
    <x v="7"/>
    <x v="0"/>
    <x v="0"/>
    <x v="1"/>
    <x v="1"/>
    <x v="4"/>
    <x v="4"/>
    <n v="649"/>
    <s v="1143441764"/>
    <s v="RODRIGUEZ PADILLA GIOVANNI ENRIQUE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70"/>
    <n v="0"/>
    <n v="670"/>
    <x v="0"/>
    <x v="0"/>
    <x v="0"/>
    <n v="670"/>
    <n v="0"/>
    <n v="670"/>
    <x v="0"/>
    <x v="0"/>
    <x v="0"/>
    <n v="670"/>
    <n v="0"/>
    <n v="670"/>
    <x v="0"/>
    <x v="0"/>
    <x v="0"/>
    <x v="0"/>
    <x v="0"/>
  </r>
  <r>
    <x v="7"/>
    <x v="0"/>
    <x v="0"/>
    <x v="1"/>
    <x v="1"/>
    <x v="4"/>
    <x v="4"/>
    <n v="648"/>
    <s v="72187626"/>
    <s v="ULLOA ORTEGA LUIS FERNANDO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2187626"/>
    <s v="ULLOA ORTEGA LUIS FERNAN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914"/>
    <n v="-914"/>
    <x v="0"/>
    <x v="0"/>
    <x v="0"/>
    <n v="0"/>
    <n v="914"/>
    <n v="-914"/>
    <x v="0"/>
    <x v="0"/>
    <x v="0"/>
    <n v="0"/>
    <n v="914"/>
    <n v="-914"/>
    <x v="0"/>
    <x v="0"/>
    <x v="0"/>
    <x v="0"/>
    <x v="0"/>
  </r>
  <r>
    <x v="7"/>
    <x v="0"/>
    <x v="0"/>
    <x v="0"/>
    <x v="0"/>
    <x v="2"/>
    <x v="2"/>
    <n v="20056"/>
    <s v="890399003"/>
    <s v="EMPRESAS MUNICIPALES DE CALI E.I.C.E.  E.S.P."/>
    <s v="201904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146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ABRIL-2019."/>
    <n v="467.95"/>
    <n v="0"/>
    <n v="467.95"/>
    <x v="0"/>
    <x v="0"/>
    <x v="0"/>
    <n v="467.95"/>
    <n v="0"/>
    <n v="467.95"/>
    <x v="0"/>
    <x v="0"/>
    <x v="0"/>
    <n v="467.95"/>
    <n v="0"/>
    <n v="467.95"/>
    <x v="0"/>
    <x v="0"/>
    <x v="0"/>
    <x v="0"/>
    <x v="0"/>
  </r>
  <r>
    <x v="6"/>
    <x v="0"/>
    <x v="0"/>
    <x v="0"/>
    <x v="0"/>
    <x v="2"/>
    <x v="2"/>
    <n v="20153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VA IIBIMESTRE ABRIL-2019"/>
    <n v="152.61000000000001"/>
    <n v="0"/>
    <n v="152.61000000000001"/>
    <x v="0"/>
    <x v="0"/>
    <x v="0"/>
    <n v="152.61000000000001"/>
    <n v="0"/>
    <n v="152.61000000000001"/>
    <x v="0"/>
    <x v="0"/>
    <x v="0"/>
    <n v="152.61000000000001"/>
    <n v="0"/>
    <n v="152.61000000000001"/>
    <x v="0"/>
    <x v="0"/>
    <x v="0"/>
    <x v="0"/>
    <x v="0"/>
  </r>
  <r>
    <x v="6"/>
    <x v="0"/>
    <x v="0"/>
    <x v="1"/>
    <x v="1"/>
    <x v="4"/>
    <x v="4"/>
    <n v="653"/>
    <s v="72187626"/>
    <s v="ULLOA ORTEGA LUIS FERNANDO"/>
    <s v="2019050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774"/>
    <n v="-774"/>
    <x v="0"/>
    <x v="0"/>
    <x v="0"/>
    <n v="0"/>
    <n v="774"/>
    <n v="-774"/>
    <x v="0"/>
    <x v="0"/>
    <x v="0"/>
    <n v="0"/>
    <n v="774"/>
    <n v="-774"/>
    <x v="0"/>
    <x v="0"/>
    <x v="0"/>
    <x v="0"/>
    <x v="0"/>
  </r>
  <r>
    <x v="6"/>
    <x v="0"/>
    <x v="0"/>
    <x v="0"/>
    <x v="0"/>
    <x v="2"/>
    <x v="2"/>
    <n v="20223"/>
    <s v="830053800"/>
    <s v="TELMEX COLOMBIA SA"/>
    <s v="201905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- SERVICIO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42"/>
    <s v="860007660"/>
    <s v="HELM BANK S.A.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2"/>
    <n v="0"/>
    <n v="0.12"/>
    <x v="0"/>
    <x v="0"/>
    <x v="0"/>
    <n v="0.12"/>
    <n v="0"/>
    <n v="0.12"/>
    <x v="0"/>
    <x v="0"/>
    <x v="0"/>
    <n v="0.12"/>
    <n v="0"/>
    <n v="0.12"/>
    <x v="0"/>
    <x v="0"/>
    <x v="0"/>
    <x v="0"/>
    <x v="0"/>
  </r>
  <r>
    <x v="2"/>
    <x v="0"/>
    <x v="0"/>
    <x v="0"/>
    <x v="0"/>
    <x v="2"/>
    <x v="2"/>
    <n v="20346"/>
    <s v="800153993"/>
    <s v="COMUNICACIONES CELULAR S A  COMCEL S A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462 / INGENIERIA-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66"/>
    <s v="72136462"/>
    <s v="GARIZABALO MONTES RAFAEL ANGEL"/>
    <s v="201906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72136462"/>
    <s v="GARIZABALO MONTES RAFAEL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NOMINA MES ABRIL-2019"/>
    <n v="25038"/>
    <n v="0"/>
    <n v="25038"/>
    <x v="0"/>
    <x v="0"/>
    <x v="0"/>
    <n v="25038"/>
    <n v="0"/>
    <n v="25038"/>
    <x v="0"/>
    <x v="0"/>
    <x v="0"/>
    <n v="25038"/>
    <n v="0"/>
    <n v="25038"/>
    <x v="0"/>
    <x v="0"/>
    <x v="0"/>
    <x v="0"/>
    <x v="0"/>
  </r>
  <r>
    <x v="2"/>
    <x v="0"/>
    <x v="0"/>
    <x v="0"/>
    <x v="0"/>
    <x v="2"/>
    <x v="2"/>
    <n v="20379"/>
    <s v="890399003"/>
    <s v="EMPRESAS MUNICIPALES DE CALI E.I.C.E.  E.S.P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CO 460 Y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9"/>
    <s v="800153993"/>
    <s v="COMUNICACIONES CELULAR S A  COMCEL S A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SERVICIO CO 462 Y SERVICIO DIR NAL INGENIERIA Y 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47"/>
    <s v="830122566"/>
    <s v="COLOMBIA TELECOMUNICACIONES S.A.-ESP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CO 465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57"/>
    <s v="890399003"/>
    <s v="EMPRESAS MUNICIPALES DE CALI E.I.C.E.  E.S.P.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 Y CO 46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83"/>
    <s v="830114921"/>
    <s v="COLOMBIA MOVIL S.A. E S P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14921"/>
    <s v="COLOMBIA MOVIL S.A. E S 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LOCUTOR VIRTUAL CO 465"/>
    <n v="0"/>
    <n v="1"/>
    <n v="-1"/>
    <x v="0"/>
    <x v="0"/>
    <x v="0"/>
    <n v="0"/>
    <n v="1"/>
    <n v="-1"/>
    <x v="0"/>
    <x v="0"/>
    <x v="0"/>
    <n v="0"/>
    <n v="1"/>
    <n v="-1"/>
    <x v="0"/>
    <x v="0"/>
    <x v="0"/>
    <x v="0"/>
    <x v="0"/>
  </r>
  <r>
    <x v="1"/>
    <x v="0"/>
    <x v="0"/>
    <x v="0"/>
    <x v="0"/>
    <x v="2"/>
    <x v="2"/>
    <n v="19765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LEASING"/>
    <n v="299"/>
    <n v="0"/>
    <n v="299"/>
    <x v="0"/>
    <x v="0"/>
    <x v="0"/>
    <n v="299"/>
    <n v="0"/>
    <n v="299"/>
    <x v="0"/>
    <x v="0"/>
    <x v="0"/>
    <n v="299"/>
    <n v="0"/>
    <n v="299"/>
    <x v="0"/>
    <x v="0"/>
    <x v="0"/>
    <x v="0"/>
    <x v="0"/>
  </r>
  <r>
    <x v="5"/>
    <x v="0"/>
    <x v="0"/>
    <x v="0"/>
    <x v="0"/>
    <x v="2"/>
    <x v="2"/>
    <n v="19906"/>
    <s v="890201210"/>
    <s v="EMPRESA DE TELECOMUNICACIONES DE BUCARAMANGA S.A.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1210"/>
    <s v="EMPRESA DE TELECOMUNICACIONES DE BUCARAMANG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EFONICO CO 46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917"/>
    <s v="890399003"/>
    <s v="EMPRESAS MUNICIPALES DE CALI E.I.C.E.  E.S.P.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DE FACTURAS DE SERVICIOS DIR NAL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0"/>
    <x v="0"/>
    <x v="2"/>
    <x v="2"/>
    <n v="20266"/>
    <s v="830122566"/>
    <s v="COLOMBIA TELECOMUNICACIONES S.A.-ESP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MOVISTAR - LARGA DISTANCIA DIR NAL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26521"/>
    <n v="0"/>
    <n v="26521"/>
    <x v="0"/>
    <x v="0"/>
    <x v="0"/>
    <n v="26521"/>
    <n v="0"/>
    <n v="26521"/>
    <x v="0"/>
    <x v="0"/>
    <x v="0"/>
    <n v="26521"/>
    <n v="0"/>
    <n v="2652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64"/>
    <n v="0"/>
    <n v="1164"/>
    <x v="0"/>
    <x v="0"/>
    <x v="0"/>
    <n v="1164"/>
    <n v="0"/>
    <n v="1164"/>
    <x v="0"/>
    <x v="0"/>
    <x v="0"/>
    <n v="1164"/>
    <n v="0"/>
    <n v="11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3650"/>
    <n v="0"/>
    <n v="3650"/>
    <x v="0"/>
    <x v="0"/>
    <x v="0"/>
    <n v="3650"/>
    <n v="0"/>
    <n v="3650"/>
    <x v="0"/>
    <x v="0"/>
    <x v="0"/>
    <n v="3650"/>
    <n v="0"/>
    <n v="365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18220"/>
    <n v="0"/>
    <n v="118220"/>
    <x v="0"/>
    <x v="0"/>
    <x v="0"/>
    <n v="118220"/>
    <n v="0"/>
    <n v="118220"/>
    <x v="0"/>
    <x v="0"/>
    <x v="0"/>
    <n v="118220"/>
    <n v="0"/>
    <n v="118220"/>
    <x v="0"/>
    <x v="0"/>
    <x v="0"/>
    <x v="0"/>
    <x v="0"/>
  </r>
  <r>
    <x v="0"/>
    <x v="0"/>
    <x v="0"/>
    <x v="5"/>
    <x v="5"/>
    <x v="1"/>
    <x v="1"/>
    <n v="45417"/>
    <s v="860037900"/>
    <s v="CONSTRUCTORA  BOLIVAR  CALI S.A"/>
    <s v="201901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5549"/>
    <n v="0"/>
    <n v="5549"/>
    <x v="0"/>
    <x v="0"/>
    <x v="0"/>
    <n v="5549"/>
    <n v="0"/>
    <n v="5549"/>
    <x v="0"/>
    <x v="0"/>
    <x v="0"/>
    <n v="5549"/>
    <n v="0"/>
    <n v="5549"/>
    <x v="0"/>
    <x v="0"/>
    <x v="0"/>
    <x v="0"/>
    <x v="0"/>
  </r>
  <r>
    <x v="0"/>
    <x v="0"/>
    <x v="0"/>
    <x v="6"/>
    <x v="6"/>
    <x v="9"/>
    <x v="9"/>
    <n v="1100"/>
    <s v="800021913"/>
    <s v="G.GRAJALES AUTOSERVICIO S.A.S"/>
    <s v="201901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9 DESCUIENTO POR PAGO ANUAL ANTICIPADO DEL 9 % POR VALOR DE $ 108.180"/>
    <n v="108180"/>
    <n v="0"/>
    <n v="108180"/>
    <x v="0"/>
    <x v="0"/>
    <x v="0"/>
    <n v="108180"/>
    <n v="0"/>
    <n v="108180"/>
    <x v="0"/>
    <x v="0"/>
    <x v="0"/>
    <n v="108180"/>
    <n v="0"/>
    <n v="108180"/>
    <x v="0"/>
    <x v="0"/>
    <x v="0"/>
    <x v="0"/>
    <x v="0"/>
  </r>
  <r>
    <x v="0"/>
    <x v="0"/>
    <x v="0"/>
    <x v="5"/>
    <x v="5"/>
    <x v="1"/>
    <x v="1"/>
    <n v="45476"/>
    <s v="800054863"/>
    <s v="HEMISFERIO TOURS Y CIA LTD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588"/>
    <n v="0"/>
    <n v="9588"/>
    <x v="0"/>
    <x v="0"/>
    <x v="0"/>
    <n v="9588"/>
    <n v="0"/>
    <n v="9588"/>
    <x v="0"/>
    <x v="0"/>
    <x v="0"/>
    <n v="9588"/>
    <n v="0"/>
    <n v="9588"/>
    <x v="0"/>
    <x v="0"/>
    <x v="0"/>
    <x v="0"/>
    <x v="0"/>
  </r>
  <r>
    <x v="0"/>
    <x v="0"/>
    <x v="0"/>
    <x v="4"/>
    <x v="4"/>
    <x v="1"/>
    <x v="1"/>
    <n v="20063"/>
    <s v="800086042"/>
    <s v="INACAR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3879"/>
    <n v="6712"/>
    <n v="0"/>
    <n v="6712"/>
    <x v="0"/>
    <x v="0"/>
    <x v="0"/>
    <n v="6712"/>
    <n v="0"/>
    <n v="6712"/>
    <x v="0"/>
    <x v="0"/>
    <x v="0"/>
    <n v="6712"/>
    <n v="0"/>
    <n v="6712"/>
    <x v="0"/>
    <x v="0"/>
    <x v="0"/>
    <x v="0"/>
    <x v="0"/>
  </r>
  <r>
    <x v="0"/>
    <x v="0"/>
    <x v="0"/>
    <x v="1"/>
    <x v="1"/>
    <x v="1"/>
    <x v="1"/>
    <n v="23889"/>
    <s v="900205377"/>
    <s v="COMERCIALIZADORA AGROHIERROS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205377"/>
    <s v="COMERCIALIZADORA AGROHIERRO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5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431"/>
    <s v="890300012"/>
    <s v="COLPOZOS 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0"/>
    <x v="0"/>
    <x v="0"/>
    <x v="5"/>
    <x v="5"/>
    <x v="1"/>
    <x v="1"/>
    <n v="45434"/>
    <s v="817001528"/>
    <s v="PAVCO DE OCCIDENTE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0"/>
    <x v="0"/>
    <x v="0"/>
    <x v="5"/>
    <x v="5"/>
    <x v="1"/>
    <x v="1"/>
    <n v="45439"/>
    <s v="860046201"/>
    <s v="FORTOX S.A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5"/>
    <x v="5"/>
    <x v="9"/>
    <x v="9"/>
    <n v="1197"/>
    <s v="830510909"/>
    <s v="RIVERCOL S.A.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SEMESTRE ANTICIPADO DESCUENTO 4.5 % $68.589"/>
    <n v="68589"/>
    <n v="0"/>
    <n v="68589"/>
    <x v="0"/>
    <x v="0"/>
    <x v="0"/>
    <n v="68589"/>
    <n v="0"/>
    <n v="68589"/>
    <x v="0"/>
    <x v="0"/>
    <x v="0"/>
    <n v="68589"/>
    <n v="0"/>
    <n v="68589"/>
    <x v="0"/>
    <x v="0"/>
    <x v="0"/>
    <x v="0"/>
    <x v="0"/>
  </r>
  <r>
    <x v="0"/>
    <x v="0"/>
    <x v="0"/>
    <x v="1"/>
    <x v="1"/>
    <x v="1"/>
    <x v="1"/>
    <n v="23919"/>
    <s v="802016130"/>
    <s v="CENTRO COMERCIAL BUENAVIST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5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0"/>
    <x v="0"/>
    <x v="0"/>
    <x v="1"/>
    <x v="1"/>
    <x v="1"/>
    <x v="1"/>
    <n v="23921"/>
    <s v="806012958"/>
    <s v="IPS SALUD DEL CARIBE S.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79 - FVA-354892 - FVA-354897 - FVA-35490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0"/>
    <x v="0"/>
    <x v="0"/>
    <x v="4"/>
    <x v="4"/>
    <x v="1"/>
    <x v="1"/>
    <n v="20111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2"/>
    <n v="1301"/>
    <n v="0"/>
    <n v="1301"/>
    <x v="0"/>
    <x v="0"/>
    <x v="0"/>
    <n v="1301"/>
    <n v="0"/>
    <n v="1301"/>
    <x v="0"/>
    <x v="0"/>
    <x v="0"/>
    <n v="1301"/>
    <n v="0"/>
    <n v="1301"/>
    <x v="0"/>
    <x v="0"/>
    <x v="0"/>
    <x v="0"/>
    <x v="0"/>
  </r>
  <r>
    <x v="0"/>
    <x v="0"/>
    <x v="0"/>
    <x v="4"/>
    <x v="4"/>
    <x v="1"/>
    <x v="1"/>
    <n v="20112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5"/>
    <n v="2082"/>
    <n v="0"/>
    <n v="2082"/>
    <x v="0"/>
    <x v="0"/>
    <x v="0"/>
    <n v="2082"/>
    <n v="0"/>
    <n v="2082"/>
    <x v="0"/>
    <x v="0"/>
    <x v="0"/>
    <n v="2082"/>
    <n v="0"/>
    <n v="2082"/>
    <x v="0"/>
    <x v="0"/>
    <x v="0"/>
    <x v="0"/>
    <x v="0"/>
  </r>
  <r>
    <x v="0"/>
    <x v="0"/>
    <x v="0"/>
    <x v="4"/>
    <x v="4"/>
    <x v="1"/>
    <x v="1"/>
    <n v="20113"/>
    <s v="899999068"/>
    <s v="ECOPETROL S.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9999068"/>
    <s v="ECOPETR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470"/>
    <n v="26716"/>
    <n v="0"/>
    <n v="26716"/>
    <x v="0"/>
    <x v="0"/>
    <x v="0"/>
    <n v="26716"/>
    <n v="0"/>
    <n v="26716"/>
    <x v="0"/>
    <x v="0"/>
    <x v="0"/>
    <n v="26716"/>
    <n v="0"/>
    <n v="26716"/>
    <x v="0"/>
    <x v="0"/>
    <x v="0"/>
    <x v="0"/>
    <x v="0"/>
  </r>
  <r>
    <x v="0"/>
    <x v="0"/>
    <x v="0"/>
    <x v="5"/>
    <x v="5"/>
    <x v="1"/>
    <x v="1"/>
    <n v="45522"/>
    <s v="900203566"/>
    <s v="ABASTECEMOS  DE OCCIDENTE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0"/>
    <x v="0"/>
    <x v="0"/>
    <x v="6"/>
    <x v="6"/>
    <x v="9"/>
    <x v="9"/>
    <n v="1107"/>
    <s v="900729995"/>
    <s v="HOTELES DEL OTUN SAS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729995"/>
    <s v="HOTELES DEL OTUN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36-565-570 DESCUENTO DEL 9% POR PAGO ANTICIPADO"/>
    <n v="337883"/>
    <n v="0"/>
    <n v="337883"/>
    <x v="0"/>
    <x v="0"/>
    <x v="0"/>
    <n v="337883"/>
    <n v="0"/>
    <n v="337883"/>
    <x v="0"/>
    <x v="0"/>
    <x v="0"/>
    <n v="337883"/>
    <n v="0"/>
    <n v="337883"/>
    <x v="0"/>
    <x v="0"/>
    <x v="0"/>
    <x v="0"/>
    <x v="0"/>
  </r>
  <r>
    <x v="0"/>
    <x v="0"/>
    <x v="0"/>
    <x v="1"/>
    <x v="1"/>
    <x v="1"/>
    <x v="1"/>
    <n v="23992"/>
    <s v="32757237"/>
    <s v="MEDINA OLIVEROS FARATH DIVA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472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0"/>
    <x v="0"/>
    <x v="0"/>
    <x v="4"/>
    <x v="4"/>
    <x v="1"/>
    <x v="1"/>
    <n v="20144"/>
    <s v="890201881"/>
    <s v="AVIDESA MAC POLLO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881"/>
    <s v="AVIDESA MAC POLL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0"/>
    <n v="1790"/>
    <n v="0"/>
    <n v="1790"/>
    <x v="0"/>
    <x v="0"/>
    <x v="0"/>
    <n v="1790"/>
    <n v="0"/>
    <n v="1790"/>
    <x v="0"/>
    <x v="0"/>
    <x v="0"/>
    <n v="1790"/>
    <n v="0"/>
    <n v="1790"/>
    <x v="0"/>
    <x v="0"/>
    <x v="0"/>
    <x v="0"/>
    <x v="0"/>
  </r>
  <r>
    <x v="0"/>
    <x v="0"/>
    <x v="0"/>
    <x v="4"/>
    <x v="4"/>
    <x v="1"/>
    <x v="1"/>
    <n v="20148"/>
    <s v="890208890"/>
    <s v="ALDIA S.A.S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8890"/>
    <s v="ALD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2"/>
    <n v="6525"/>
    <n v="0"/>
    <n v="6525"/>
    <x v="0"/>
    <x v="0"/>
    <x v="0"/>
    <n v="6525"/>
    <n v="0"/>
    <n v="6525"/>
    <x v="0"/>
    <x v="0"/>
    <x v="0"/>
    <n v="6525"/>
    <n v="0"/>
    <n v="6525"/>
    <x v="0"/>
    <x v="0"/>
    <x v="0"/>
    <x v="0"/>
    <x v="0"/>
  </r>
  <r>
    <x v="0"/>
    <x v="0"/>
    <x v="0"/>
    <x v="1"/>
    <x v="1"/>
    <x v="1"/>
    <x v="1"/>
    <n v="24005"/>
    <s v="802016306"/>
    <s v="EXPOCONSTRUCCION 43 Y CIA LTD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66 - FVA-356530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0"/>
    <x v="0"/>
    <x v="0"/>
    <x v="1"/>
    <x v="1"/>
    <x v="1"/>
    <x v="1"/>
    <n v="24006"/>
    <s v="901062361"/>
    <s v="INVERSIONES MARCRI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A FVA-356565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0"/>
    <x v="0"/>
    <x v="0"/>
    <x v="5"/>
    <x v="5"/>
    <x v="1"/>
    <x v="1"/>
    <n v="45634"/>
    <s v="890942766"/>
    <s v="CONSTRUCTORA MONSERRATE DE COLOMB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42766"/>
    <s v="CONSTRUCTORA MONSERRATE DE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3830"/>
    <n v="0"/>
    <n v="3830"/>
    <x v="0"/>
    <x v="0"/>
    <x v="0"/>
    <n v="3830"/>
    <n v="0"/>
    <n v="3830"/>
    <x v="0"/>
    <x v="0"/>
    <x v="0"/>
    <n v="3830"/>
    <n v="0"/>
    <n v="3830"/>
    <x v="0"/>
    <x v="0"/>
    <x v="0"/>
    <x v="0"/>
    <x v="0"/>
  </r>
  <r>
    <x v="0"/>
    <x v="0"/>
    <x v="0"/>
    <x v="5"/>
    <x v="5"/>
    <x v="1"/>
    <x v="1"/>
    <n v="45638"/>
    <s v="890900842"/>
    <s v="C.C. F. COMFENALCO ANTIOQUI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842"/>
    <s v="C.C. F. COMFENALCO ANTIOQU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 SE APLICAA FACTUAR ESTE VALOR EN LA CUENTA."/>
    <n v="350"/>
    <n v="0"/>
    <n v="350"/>
    <x v="0"/>
    <x v="0"/>
    <x v="0"/>
    <n v="350"/>
    <n v="0"/>
    <n v="350"/>
    <x v="0"/>
    <x v="0"/>
    <x v="0"/>
    <n v="350"/>
    <n v="0"/>
    <n v="350"/>
    <x v="0"/>
    <x v="0"/>
    <x v="0"/>
    <x v="0"/>
    <x v="0"/>
  </r>
  <r>
    <x v="0"/>
    <x v="0"/>
    <x v="0"/>
    <x v="4"/>
    <x v="4"/>
    <x v="9"/>
    <x v="9"/>
    <n v="221"/>
    <s v="5670719"/>
    <s v="BAYONA SERRANO ANTONIO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5670719"/>
    <s v="BAYONA SERRANO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0, DESCUENTO DEL 9% POR PAGO ANUAL ANTICIPADO, VALOR DSTO DE $200.582"/>
    <n v="200582"/>
    <n v="0"/>
    <n v="200582"/>
    <x v="0"/>
    <x v="0"/>
    <x v="0"/>
    <n v="200582"/>
    <n v="0"/>
    <n v="200582"/>
    <x v="0"/>
    <x v="0"/>
    <x v="0"/>
    <n v="200582"/>
    <n v="0"/>
    <n v="200582"/>
    <x v="0"/>
    <x v="0"/>
    <x v="0"/>
    <x v="0"/>
    <x v="0"/>
  </r>
  <r>
    <x v="0"/>
    <x v="0"/>
    <x v="0"/>
    <x v="5"/>
    <x v="5"/>
    <x v="1"/>
    <x v="1"/>
    <n v="45618"/>
    <s v="900825179"/>
    <s v="ELIZABETH TRULLAS  C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0"/>
    <x v="0"/>
    <x v="0"/>
    <x v="5"/>
    <x v="5"/>
    <x v="1"/>
    <x v="1"/>
    <n v="45619"/>
    <s v="890318490"/>
    <s v="FERRETERIA TUBERIAS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0"/>
    <x v="0"/>
    <x v="0"/>
    <x v="5"/>
    <x v="5"/>
    <x v="1"/>
    <x v="1"/>
    <n v="45620"/>
    <s v="900569801"/>
    <s v="MARGARITA PEÑA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0"/>
    <x v="0"/>
    <x v="0"/>
    <x v="5"/>
    <x v="5"/>
    <x v="1"/>
    <x v="1"/>
    <n v="45621"/>
    <s v="890311006"/>
    <s v="FONDO DE EMPLEADOS DE LAS EMP.MPALES DE CALI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VOLUCION RETENCION MAL REALIZADA."/>
    <n v="250"/>
    <n v="0"/>
    <n v="250"/>
    <x v="0"/>
    <x v="0"/>
    <x v="0"/>
    <n v="250"/>
    <n v="0"/>
    <n v="250"/>
    <x v="0"/>
    <x v="0"/>
    <x v="0"/>
    <n v="250"/>
    <n v="0"/>
    <n v="250"/>
    <x v="0"/>
    <x v="0"/>
    <x v="0"/>
    <x v="0"/>
    <x v="0"/>
  </r>
  <r>
    <x v="0"/>
    <x v="0"/>
    <x v="0"/>
    <x v="5"/>
    <x v="5"/>
    <x v="1"/>
    <x v="1"/>
    <n v="45623"/>
    <s v="900192072"/>
    <s v="SEOUL MEDICINA ESTETICA INTEGRAL Y SPA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92072"/>
    <s v="SEOUL MEDICINA ESTETICA INTEGRAL Y SP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"/>
    <n v="0"/>
    <n v="10591"/>
    <x v="0"/>
    <x v="0"/>
    <x v="0"/>
    <n v="10591"/>
    <n v="0"/>
    <n v="10591"/>
    <x v="0"/>
    <x v="0"/>
    <x v="0"/>
    <n v="10591"/>
    <n v="0"/>
    <n v="10591"/>
    <x v="0"/>
    <x v="0"/>
    <x v="0"/>
    <x v="0"/>
    <x v="0"/>
  </r>
  <r>
    <x v="1"/>
    <x v="0"/>
    <x v="0"/>
    <x v="5"/>
    <x v="5"/>
    <x v="1"/>
    <x v="1"/>
    <n v="45705"/>
    <s v="805002583"/>
    <s v="FARMACIA DROGUERIA SAN JORGE LTDA"/>
    <s v="201902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2583"/>
    <s v="FARMACIA DROGUERIA SAN JORGE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3"/>
    <x v="3"/>
    <x v="1"/>
    <x v="1"/>
    <n v="37129"/>
    <s v="900041914"/>
    <s v="AVON COLOMBIA S.A.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41914"/>
    <s v="AVON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2323"/>
    <n v="399"/>
    <n v="0"/>
    <n v="399"/>
    <x v="0"/>
    <x v="0"/>
    <x v="0"/>
    <n v="399"/>
    <n v="0"/>
    <n v="399"/>
    <x v="0"/>
    <x v="0"/>
    <x v="0"/>
    <n v="399"/>
    <n v="0"/>
    <n v="399"/>
    <x v="0"/>
    <x v="0"/>
    <x v="0"/>
    <x v="0"/>
    <x v="0"/>
  </r>
  <r>
    <x v="1"/>
    <x v="0"/>
    <x v="0"/>
    <x v="6"/>
    <x v="6"/>
    <x v="9"/>
    <x v="9"/>
    <n v="1112"/>
    <s v="900434532"/>
    <s v="SPECIALIZED COLOMBIA S.A.S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434532"/>
    <s v="SPECIALIZED COLOMB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574 DESCUENTO DEL 9 % POR PAGO ANUAL ANTICIPADO POR VALOR DE 1.851.528 Y RETE IVA DEL 15% POR VALOR DE $ 586.317, Y FAC: 355708 DESCUENTO  9 % POR PAGO ANUAL ANTICIPADO DE $ 105.863 Y RETE IVA $80.573"/>
    <n v="1957391"/>
    <n v="0"/>
    <n v="1957391"/>
    <x v="0"/>
    <x v="0"/>
    <x v="0"/>
    <n v="1957391"/>
    <n v="0"/>
    <n v="1957391"/>
    <x v="0"/>
    <x v="0"/>
    <x v="0"/>
    <n v="1957391"/>
    <n v="0"/>
    <n v="1957391"/>
    <x v="0"/>
    <x v="0"/>
    <x v="0"/>
    <x v="0"/>
    <x v="0"/>
  </r>
  <r>
    <x v="1"/>
    <x v="0"/>
    <x v="0"/>
    <x v="5"/>
    <x v="5"/>
    <x v="1"/>
    <x v="1"/>
    <n v="45895"/>
    <s v="805006389"/>
    <s v="HOSPITAL EN CASA S.A.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6389"/>
    <s v="HOSPITAL EN CA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46479,348191,349921. BANCOOMEVA"/>
    <n v="3142"/>
    <n v="0"/>
    <n v="3142"/>
    <x v="0"/>
    <x v="0"/>
    <x v="0"/>
    <n v="3142"/>
    <n v="0"/>
    <n v="3142"/>
    <x v="0"/>
    <x v="0"/>
    <x v="0"/>
    <n v="3142"/>
    <n v="0"/>
    <n v="3142"/>
    <x v="0"/>
    <x v="0"/>
    <x v="0"/>
    <x v="0"/>
    <x v="0"/>
  </r>
  <r>
    <x v="1"/>
    <x v="0"/>
    <x v="0"/>
    <x v="2"/>
    <x v="2"/>
    <x v="9"/>
    <x v="9"/>
    <n v="1467"/>
    <s v="830111257"/>
    <s v="GRUPO EMPRESARIAL EN LINEA S.A."/>
    <s v="201902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111257"/>
    <s v="GRUPO EMPRESARIAL EN LIN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521241"/>
    <n v="0"/>
    <n v="521241"/>
    <x v="0"/>
    <x v="0"/>
    <x v="0"/>
    <n v="521241"/>
    <n v="0"/>
    <n v="521241"/>
    <x v="0"/>
    <x v="0"/>
    <x v="0"/>
    <n v="521241"/>
    <n v="0"/>
    <n v="521241"/>
    <x v="0"/>
    <x v="0"/>
    <x v="0"/>
    <x v="0"/>
    <x v="0"/>
  </r>
  <r>
    <x v="1"/>
    <x v="0"/>
    <x v="0"/>
    <x v="2"/>
    <x v="2"/>
    <x v="9"/>
    <x v="9"/>
    <n v="1470"/>
    <s v="800130907"/>
    <s v="SALUD TOTAL E.P.S-S S.A.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30907"/>
    <s v="SALUD TOTAL E.P.S-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CONCEPTO DE PRONTO PAGO 9% $1.799.872 Y USO PLATAFORMA COMPRANET $50.000"/>
    <n v="1799872"/>
    <n v="0"/>
    <n v="1799872"/>
    <x v="0"/>
    <x v="0"/>
    <x v="0"/>
    <n v="1799872"/>
    <n v="0"/>
    <n v="1799872"/>
    <x v="0"/>
    <x v="0"/>
    <x v="0"/>
    <n v="1799872"/>
    <n v="0"/>
    <n v="1799872"/>
    <x v="0"/>
    <x v="0"/>
    <x v="0"/>
    <x v="0"/>
    <x v="0"/>
  </r>
  <r>
    <x v="1"/>
    <x v="0"/>
    <x v="0"/>
    <x v="2"/>
    <x v="2"/>
    <x v="9"/>
    <x v="9"/>
    <n v="1472"/>
    <s v="860510431"/>
    <s v="ALVARO VELEZ Y CIA S.A.S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087 Y RTE ICA $4.960"/>
    <n v="8087"/>
    <n v="0"/>
    <n v="8087"/>
    <x v="0"/>
    <x v="0"/>
    <x v="0"/>
    <n v="8087"/>
    <n v="0"/>
    <n v="8087"/>
    <x v="0"/>
    <x v="0"/>
    <x v="0"/>
    <n v="8087"/>
    <n v="0"/>
    <n v="8087"/>
    <x v="0"/>
    <x v="0"/>
    <x v="0"/>
    <x v="0"/>
    <x v="0"/>
  </r>
  <r>
    <x v="1"/>
    <x v="0"/>
    <x v="0"/>
    <x v="1"/>
    <x v="1"/>
    <x v="1"/>
    <x v="1"/>
    <n v="24079"/>
    <s v="806012958"/>
    <s v="IPS SALUD DEL CARIBE S.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639 - FVA-356652 - FVA-356658 - FVA-35666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1"/>
    <x v="0"/>
    <x v="0"/>
    <x v="0"/>
    <x v="0"/>
    <x v="0"/>
    <x v="0"/>
    <n v="4278"/>
    <s v="900863024"/>
    <s v="SUPERMERCADO PUNTO &amp; FAM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863024"/>
    <s v="SUPERMERCADO PUNTO &amp; FAM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79"/>
    <s v="900112301"/>
    <s v="SIGMART INGENIERI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12765"/>
    <s v="COLOMBIAN PARADISE FLOWER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836"/>
    <n v="0"/>
    <n v="1836"/>
    <x v="0"/>
    <x v="0"/>
    <x v="0"/>
    <n v="1836"/>
    <n v="0"/>
    <n v="1836"/>
    <x v="0"/>
    <x v="0"/>
    <x v="0"/>
    <n v="1836"/>
    <n v="0"/>
    <n v="1836"/>
    <x v="0"/>
    <x v="0"/>
    <x v="0"/>
    <x v="0"/>
    <x v="0"/>
  </r>
  <r>
    <x v="1"/>
    <x v="0"/>
    <x v="0"/>
    <x v="5"/>
    <x v="5"/>
    <x v="1"/>
    <x v="1"/>
    <n v="45911"/>
    <s v="14606678"/>
    <s v="COLLAZOS ARROYO HAROLD ANDRE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4606678"/>
    <s v="COLLAZOS ARROYO HAROLD AND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0"/>
    <n v="0"/>
    <n v="100"/>
    <x v="0"/>
    <x v="0"/>
    <x v="0"/>
    <n v="100"/>
    <n v="0"/>
    <n v="100"/>
    <x v="0"/>
    <x v="0"/>
    <x v="0"/>
    <n v="100"/>
    <n v="0"/>
    <n v="100"/>
    <x v="0"/>
    <x v="0"/>
    <x v="0"/>
    <x v="0"/>
    <x v="0"/>
  </r>
  <r>
    <x v="1"/>
    <x v="0"/>
    <x v="0"/>
    <x v="5"/>
    <x v="5"/>
    <x v="1"/>
    <x v="1"/>
    <n v="45914"/>
    <s v="800069469"/>
    <s v="ARTEMISA S.A.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69469"/>
    <s v="ARTEMIS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81"/>
    <s v="900338137"/>
    <s v="INSTITUTO DE BELLEZA STELLA DURAN RESTREPO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5"/>
    <s v="INSTITUTO DE BELLEZA STELLA DURAN VENE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7697"/>
    <n v="0"/>
    <n v="7697"/>
    <x v="0"/>
    <x v="0"/>
    <x v="0"/>
    <n v="7697"/>
    <n v="0"/>
    <n v="7697"/>
    <x v="0"/>
    <x v="0"/>
    <x v="0"/>
    <n v="7697"/>
    <n v="0"/>
    <n v="7697"/>
    <x v="0"/>
    <x v="0"/>
    <x v="0"/>
    <x v="0"/>
    <x v="0"/>
  </r>
  <r>
    <x v="5"/>
    <x v="0"/>
    <x v="0"/>
    <x v="0"/>
    <x v="0"/>
    <x v="0"/>
    <x v="0"/>
    <n v="4283"/>
    <s v="805029384"/>
    <s v="BUENAVISTA CONSTRUCTORA Y PROMOTORA S.A.S"/>
    <s v="20190307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NCION APLICADA DE MAS EN PAGO AL CLIENTE COMO PROVEEDOR"/>
    <n v="38402"/>
    <n v="0"/>
    <n v="38402"/>
    <x v="0"/>
    <x v="0"/>
    <x v="0"/>
    <n v="38402"/>
    <n v="0"/>
    <n v="38402"/>
    <x v="0"/>
    <x v="0"/>
    <x v="0"/>
    <n v="38402"/>
    <n v="0"/>
    <n v="38402"/>
    <x v="0"/>
    <x v="0"/>
    <x v="0"/>
    <x v="0"/>
    <x v="0"/>
  </r>
  <r>
    <x v="3"/>
    <x v="0"/>
    <x v="0"/>
    <x v="0"/>
    <x v="0"/>
    <x v="0"/>
    <x v="0"/>
    <n v="4338"/>
    <s v="830017656"/>
    <s v="LAGOS DE MALIBU LTDA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1130654183"/>
    <s v="CUENCA ALVAEREZ ALVA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SALDOS GASTOS FINANCIEROS"/>
    <n v="72414"/>
    <n v="0"/>
    <n v="72414"/>
    <x v="0"/>
    <x v="0"/>
    <x v="0"/>
    <n v="72414"/>
    <n v="0"/>
    <n v="72414"/>
    <x v="0"/>
    <x v="0"/>
    <x v="0"/>
    <n v="72414"/>
    <n v="0"/>
    <n v="72414"/>
    <x v="0"/>
    <x v="0"/>
    <x v="0"/>
    <x v="0"/>
    <x v="0"/>
  </r>
  <r>
    <x v="7"/>
    <x v="0"/>
    <x v="0"/>
    <x v="0"/>
    <x v="0"/>
    <x v="2"/>
    <x v="2"/>
    <n v="19997"/>
    <s v="890106291"/>
    <s v="ALCALDIA DE SOLEDAD"/>
    <s v="201904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2"/>
    <x v="2"/>
    <x v="0"/>
    <x v="0"/>
    <x v="0"/>
    <x v="0"/>
    <s v="890106291"/>
    <s v="ALCALDIA DE SOLE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SOLEDAD ATLANTICO"/>
    <n v="524000"/>
    <n v="0"/>
    <n v="524000"/>
    <x v="0"/>
    <x v="0"/>
    <x v="0"/>
    <n v="524000"/>
    <n v="0"/>
    <n v="524000"/>
    <x v="0"/>
    <x v="0"/>
    <x v="0"/>
    <n v="524000"/>
    <n v="0"/>
    <n v="524000"/>
    <x v="0"/>
    <x v="0"/>
    <x v="0"/>
    <x v="0"/>
    <x v="0"/>
  </r>
  <r>
    <x v="0"/>
    <x v="0"/>
    <x v="0"/>
    <x v="3"/>
    <x v="3"/>
    <x v="1"/>
    <x v="1"/>
    <n v="36985"/>
    <s v="811040443"/>
    <s v="B Y B CONSTRUCTORES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49472"/>
    <n v="1209"/>
    <n v="0"/>
    <n v="1209"/>
    <x v="0"/>
    <x v="0"/>
    <x v="0"/>
    <n v="1209"/>
    <n v="0"/>
    <n v="1209"/>
    <x v="0"/>
    <x v="0"/>
    <x v="0"/>
    <n v="1209"/>
    <n v="0"/>
    <n v="1209"/>
    <x v="0"/>
    <x v="0"/>
    <x v="0"/>
    <x v="0"/>
    <x v="0"/>
  </r>
  <r>
    <x v="0"/>
    <x v="0"/>
    <x v="0"/>
    <x v="3"/>
    <x v="3"/>
    <x v="1"/>
    <x v="1"/>
    <n v="36988"/>
    <s v="811027681"/>
    <s v="URBANIZA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7681"/>
    <s v="URBANIZ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0658"/>
    <n v="7624"/>
    <n v="0"/>
    <n v="7624"/>
    <x v="0"/>
    <x v="0"/>
    <x v="0"/>
    <n v="7624"/>
    <n v="0"/>
    <n v="7624"/>
    <x v="0"/>
    <x v="0"/>
    <x v="0"/>
    <n v="7624"/>
    <n v="0"/>
    <n v="7624"/>
    <x v="0"/>
    <x v="0"/>
    <x v="0"/>
    <x v="0"/>
    <x v="0"/>
  </r>
  <r>
    <x v="0"/>
    <x v="0"/>
    <x v="0"/>
    <x v="0"/>
    <x v="0"/>
    <x v="0"/>
    <x v="0"/>
    <n v="4267"/>
    <s v="900017447"/>
    <s v="FALABELLA DE COLOMBIA S A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93117"/>
    <s v="ARQUITECTURA Y CONCRET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1098"/>
    <n v="0"/>
    <n v="11098"/>
    <x v="0"/>
    <x v="0"/>
    <x v="0"/>
    <n v="11098"/>
    <n v="0"/>
    <n v="11098"/>
    <x v="0"/>
    <x v="0"/>
    <x v="0"/>
    <n v="11098"/>
    <n v="0"/>
    <n v="11098"/>
    <x v="0"/>
    <x v="0"/>
    <x v="0"/>
    <x v="0"/>
    <x v="0"/>
  </r>
  <r>
    <x v="0"/>
    <x v="0"/>
    <x v="0"/>
    <x v="5"/>
    <x v="5"/>
    <x v="1"/>
    <x v="1"/>
    <n v="45652"/>
    <s v="830037843"/>
    <s v="WINNER GROUP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30037843"/>
    <s v="WINNER GROUP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1"/>
    <x v="0"/>
    <x v="0"/>
    <x v="5"/>
    <x v="5"/>
    <x v="9"/>
    <x v="9"/>
    <n v="1230"/>
    <s v="800074047"/>
    <s v="REPUESTOS CALI S.A.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9% AÑO ANTICIPADO, DESC EN FACTURA $174.280,OK"/>
    <n v="174280"/>
    <n v="0"/>
    <n v="174280"/>
    <x v="0"/>
    <x v="0"/>
    <x v="0"/>
    <n v="174280"/>
    <n v="0"/>
    <n v="174280"/>
    <x v="0"/>
    <x v="0"/>
    <x v="0"/>
    <n v="174280"/>
    <n v="0"/>
    <n v="174280"/>
    <x v="0"/>
    <x v="0"/>
    <x v="0"/>
    <x v="0"/>
    <x v="0"/>
  </r>
  <r>
    <x v="1"/>
    <x v="0"/>
    <x v="0"/>
    <x v="5"/>
    <x v="5"/>
    <x v="9"/>
    <x v="9"/>
    <n v="1232"/>
    <s v="890308111"/>
    <s v="EL MOLINO-EDUARDO MOLINARI PALACIN &amp; CIA S.EN.C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 9% EN FACTURA OK, $130.634"/>
    <n v="130634"/>
    <n v="0"/>
    <n v="130634"/>
    <x v="0"/>
    <x v="0"/>
    <x v="0"/>
    <n v="130634"/>
    <n v="0"/>
    <n v="130634"/>
    <x v="0"/>
    <x v="0"/>
    <x v="0"/>
    <n v="130634"/>
    <n v="0"/>
    <n v="130634"/>
    <x v="0"/>
    <x v="0"/>
    <x v="0"/>
    <x v="0"/>
    <x v="0"/>
  </r>
  <r>
    <x v="3"/>
    <x v="0"/>
    <x v="0"/>
    <x v="6"/>
    <x v="6"/>
    <x v="9"/>
    <x v="9"/>
    <n v="1157"/>
    <s v="900947448"/>
    <s v="CFCA INGENIERIA S.A.S"/>
    <s v="201907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6"/>
    <x v="6"/>
    <x v="0"/>
    <x v="0"/>
    <x v="0"/>
    <x v="0"/>
    <s v="900947448"/>
    <s v="CFCA INGENIER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42 CLIENTE PAGO $116.109 DEMAS POR IVA QUE NO SE DESCONTO"/>
    <n v="0"/>
    <n v="116109"/>
    <n v="-116109"/>
    <x v="0"/>
    <x v="0"/>
    <x v="0"/>
    <n v="0"/>
    <n v="116109"/>
    <n v="-116109"/>
    <x v="0"/>
    <x v="0"/>
    <x v="0"/>
    <n v="0"/>
    <n v="116109"/>
    <n v="-1161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8038.07"/>
    <n v="0"/>
    <n v="8038.0700000000006"/>
    <x v="0"/>
    <x v="0"/>
    <x v="0"/>
    <n v="8038.07"/>
    <n v="0"/>
    <n v="8038.0700000000006"/>
    <x v="0"/>
    <x v="0"/>
    <x v="0"/>
    <n v="8038.07"/>
    <n v="0"/>
    <n v="8038.07000000000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21323.19"/>
    <n v="0"/>
    <n v="21323.19"/>
    <x v="0"/>
    <x v="0"/>
    <x v="0"/>
    <n v="21323.19"/>
    <n v="0"/>
    <n v="21323.19"/>
    <x v="0"/>
    <x v="0"/>
    <x v="0"/>
    <n v="21323.19"/>
    <n v="0"/>
    <n v="21323.1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254.46"/>
    <n v="0"/>
    <n v="19254.46"/>
    <x v="0"/>
    <x v="0"/>
    <x v="0"/>
    <n v="19254.46"/>
    <n v="0"/>
    <n v="19254.46"/>
    <x v="0"/>
    <x v="0"/>
    <x v="0"/>
    <n v="19254.46"/>
    <n v="0"/>
    <n v="19254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128.12"/>
    <n v="0"/>
    <n v="19128.12"/>
    <x v="0"/>
    <x v="0"/>
    <x v="0"/>
    <n v="19128.12"/>
    <n v="0"/>
    <n v="19128.12"/>
    <x v="0"/>
    <x v="0"/>
    <x v="0"/>
    <n v="19128.12"/>
    <n v="0"/>
    <n v="19128.1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5633.97"/>
    <n v="0"/>
    <n v="15633.970000000001"/>
    <x v="0"/>
    <x v="0"/>
    <x v="0"/>
    <n v="15633.97"/>
    <n v="0"/>
    <n v="15633.970000000001"/>
    <x v="0"/>
    <x v="0"/>
    <x v="0"/>
    <n v="15633.97"/>
    <n v="0"/>
    <n v="15633.97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0064.459999999999"/>
    <n v="0"/>
    <n v="10064.460000000001"/>
    <x v="0"/>
    <x v="0"/>
    <x v="0"/>
    <n v="10064.459999999999"/>
    <n v="0"/>
    <n v="10064.460000000001"/>
    <x v="0"/>
    <x v="0"/>
    <x v="0"/>
    <n v="10064.459999999999"/>
    <n v="0"/>
    <n v="10064.460000000001"/>
    <x v="0"/>
    <x v="0"/>
    <x v="0"/>
    <x v="0"/>
    <x v="0"/>
  </r>
  <r>
    <x v="6"/>
    <x v="0"/>
    <x v="0"/>
    <x v="3"/>
    <x v="3"/>
    <x v="3"/>
    <x v="3"/>
    <n v="162"/>
    <s v="1128280824"/>
    <s v="OSORIO SANCHEZ WILSON DARIO"/>
    <s v="201905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8578076"/>
    <s v="VELEZ VARGAS ELBER EL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RANSPORTE DESINSTALACIÓN CLIENTE MAXIMO"/>
    <n v="3500"/>
    <n v="0"/>
    <n v="3500"/>
    <x v="0"/>
    <x v="0"/>
    <x v="0"/>
    <n v="3500"/>
    <n v="0"/>
    <n v="3500"/>
    <x v="0"/>
    <x v="0"/>
    <x v="0"/>
    <n v="3500"/>
    <n v="0"/>
    <n v="3500"/>
    <x v="0"/>
    <x v="0"/>
    <x v="0"/>
    <x v="0"/>
    <x v="0"/>
  </r>
  <r>
    <x v="2"/>
    <x v="0"/>
    <x v="0"/>
    <x v="0"/>
    <x v="0"/>
    <x v="3"/>
    <x v="3"/>
    <n v="347"/>
    <s v="16632990"/>
    <s v="MUNERA ANGUS JUAN GUILLERMO"/>
    <s v="20190605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00376423"/>
    <s v="RESTAURANTE TORTEL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LMUERZO DE TRABAJO ABOGADO LABORAL -MARCO CARRASQUILLA, ANA MARIA VALLEJO Y JUAN GUILLERMO MUNERA"/>
    <n v="6524"/>
    <n v="0"/>
    <n v="6524"/>
    <x v="0"/>
    <x v="0"/>
    <x v="0"/>
    <n v="6524"/>
    <n v="0"/>
    <n v="6524"/>
    <x v="0"/>
    <x v="0"/>
    <x v="0"/>
    <n v="6524"/>
    <n v="0"/>
    <n v="6524"/>
    <x v="0"/>
    <x v="0"/>
    <x v="0"/>
    <x v="0"/>
    <x v="0"/>
  </r>
  <r>
    <x v="0"/>
    <x v="0"/>
    <x v="0"/>
    <x v="4"/>
    <x v="4"/>
    <x v="1"/>
    <x v="1"/>
    <n v="20154"/>
    <s v="890211796"/>
    <s v="CENTRO COMERCIAL CANAVERAL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11796"/>
    <s v="CENTRO COMERCIAL CANAVER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8"/>
    <n v="1736"/>
    <n v="0"/>
    <n v="1736"/>
    <x v="0"/>
    <x v="0"/>
    <x v="0"/>
    <n v="1736"/>
    <n v="0"/>
    <n v="1736"/>
    <x v="0"/>
    <x v="0"/>
    <x v="0"/>
    <n v="1736"/>
    <n v="0"/>
    <n v="1736"/>
    <x v="0"/>
    <x v="0"/>
    <x v="0"/>
    <x v="0"/>
    <x v="0"/>
  </r>
  <r>
    <x v="1"/>
    <x v="0"/>
    <x v="0"/>
    <x v="5"/>
    <x v="5"/>
    <x v="1"/>
    <x v="1"/>
    <n v="45733"/>
    <s v="890300012"/>
    <s v="COLPOZOS 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1"/>
    <x v="0"/>
    <x v="0"/>
    <x v="5"/>
    <x v="5"/>
    <x v="1"/>
    <x v="1"/>
    <n v="45735"/>
    <s v="817001528"/>
    <s v="PAVCO DE OCCIDENTE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1"/>
    <x v="0"/>
    <x v="0"/>
    <x v="1"/>
    <x v="1"/>
    <x v="1"/>
    <x v="1"/>
    <n v="24091"/>
    <s v="892115006"/>
    <s v="CAJA DE COMP. FAMILIAR DE LA GUAJIR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30"/>
    <n v="3644"/>
    <n v="0"/>
    <n v="3644"/>
    <x v="0"/>
    <x v="0"/>
    <x v="0"/>
    <n v="3644"/>
    <n v="0"/>
    <n v="3644"/>
    <x v="0"/>
    <x v="0"/>
    <x v="0"/>
    <n v="3644"/>
    <n v="0"/>
    <n v="3644"/>
    <x v="0"/>
    <x v="0"/>
    <x v="0"/>
    <x v="0"/>
    <x v="0"/>
  </r>
  <r>
    <x v="0"/>
    <x v="0"/>
    <x v="0"/>
    <x v="3"/>
    <x v="3"/>
    <x v="1"/>
    <x v="1"/>
    <n v="36993"/>
    <s v="811007125"/>
    <s v="RIO ASEO TOTAL"/>
    <s v="20190110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0580_x000d__x000a_RETIENE ESTAMPILLAS $8.862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7"/>
    <x v="0"/>
    <x v="0"/>
    <x v="0"/>
    <x v="0"/>
    <x v="2"/>
    <x v="2"/>
    <n v="20039"/>
    <s v="900092385"/>
    <s v="EPM TELECOMUNICACIONES S.A.  E.S.P."/>
    <s v="201904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OS PUBLICOS VARIOS C.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213"/>
    <s v="890201222"/>
    <s v="MUNICIPIO DE BUCARAMANGA"/>
    <s v="20190529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7"/>
    <x v="7"/>
    <x v="0"/>
    <x v="0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EXTEMPORANEIDAD IMPUESTO INDUSTRIA Y COMERCIO BUCARAMANGA"/>
    <n v="342000"/>
    <n v="0"/>
    <n v="342000"/>
    <x v="0"/>
    <x v="0"/>
    <x v="0"/>
    <n v="342000"/>
    <n v="0"/>
    <n v="342000"/>
    <x v="0"/>
    <x v="0"/>
    <x v="0"/>
    <n v="342000"/>
    <n v="0"/>
    <n v="342000"/>
    <x v="0"/>
    <x v="0"/>
    <x v="0"/>
    <x v="0"/>
    <x v="0"/>
  </r>
  <r>
    <x v="0"/>
    <x v="0"/>
    <x v="0"/>
    <x v="5"/>
    <x v="5"/>
    <x v="1"/>
    <x v="1"/>
    <n v="45393"/>
    <s v="800048954"/>
    <s v="CLINICA VERSALLES S.A."/>
    <s v="201901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748"/>
    <n v="0"/>
    <n v="12748"/>
    <x v="0"/>
    <x v="0"/>
    <x v="0"/>
    <n v="12748"/>
    <n v="0"/>
    <n v="12748"/>
    <x v="0"/>
    <x v="0"/>
    <x v="0"/>
    <n v="12748"/>
    <n v="0"/>
    <n v="12748"/>
    <x v="0"/>
    <x v="0"/>
    <x v="0"/>
    <x v="0"/>
    <x v="0"/>
  </r>
  <r>
    <x v="0"/>
    <x v="0"/>
    <x v="0"/>
    <x v="1"/>
    <x v="1"/>
    <x v="1"/>
    <x v="1"/>
    <n v="23888"/>
    <s v="890107487"/>
    <s v="SUPERTIENDAS Y DROGUERIAS OLIMPICA S.A."/>
    <s v="201901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0"/>
    <x v="0"/>
    <x v="0"/>
    <x v="2"/>
    <x v="2"/>
    <x v="9"/>
    <x v="9"/>
    <n v="1454"/>
    <s v="800212060"/>
    <s v="PARQUE COMERCIAL LA COLINA 138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9% PAGO ANUAL $135.751"/>
    <n v="135751"/>
    <n v="0"/>
    <n v="135751"/>
    <x v="0"/>
    <x v="0"/>
    <x v="0"/>
    <n v="135751"/>
    <n v="0"/>
    <n v="135751"/>
    <x v="0"/>
    <x v="0"/>
    <x v="0"/>
    <n v="135751"/>
    <n v="0"/>
    <n v="135751"/>
    <x v="0"/>
    <x v="0"/>
    <x v="0"/>
    <x v="0"/>
    <x v="0"/>
  </r>
  <r>
    <x v="1"/>
    <x v="0"/>
    <x v="0"/>
    <x v="5"/>
    <x v="5"/>
    <x v="1"/>
    <x v="1"/>
    <n v="45792"/>
    <s v="800048954"/>
    <s v="CLINICA VERSALLES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500"/>
    <n v="0"/>
    <n v="6500"/>
    <x v="0"/>
    <x v="0"/>
    <x v="0"/>
    <n v="6500"/>
    <n v="0"/>
    <n v="6500"/>
    <x v="0"/>
    <x v="0"/>
    <x v="0"/>
    <n v="6500"/>
    <n v="0"/>
    <n v="6500"/>
    <x v="0"/>
    <x v="0"/>
    <x v="0"/>
    <x v="0"/>
    <x v="0"/>
  </r>
  <r>
    <x v="1"/>
    <x v="0"/>
    <x v="0"/>
    <x v="1"/>
    <x v="1"/>
    <x v="1"/>
    <x v="1"/>
    <n v="24058"/>
    <s v="890102508"/>
    <s v="SALES INMOBILIARIA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8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1"/>
    <x v="1"/>
    <x v="9"/>
    <x v="9"/>
    <n v="363"/>
    <s v="860007627"/>
    <s v="COMPAÑIA DE JESU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60007627"/>
    <s v="COMPAÑIA DE JESU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6, SE APLICA EL DESCUENTO FINANCIERO DEL 9% POR PAGO DE AÑO ANTICIPADO. APLICA RETENCION DE ICA POR VALOR DE $13.816"/>
    <n v="155432"/>
    <n v="0"/>
    <n v="155432"/>
    <x v="0"/>
    <x v="0"/>
    <x v="0"/>
    <n v="155432"/>
    <n v="0"/>
    <n v="155432"/>
    <x v="0"/>
    <x v="0"/>
    <x v="0"/>
    <n v="155432"/>
    <n v="0"/>
    <n v="155432"/>
    <x v="0"/>
    <x v="0"/>
    <x v="0"/>
    <x v="0"/>
    <x v="0"/>
  </r>
  <r>
    <x v="1"/>
    <x v="0"/>
    <x v="0"/>
    <x v="3"/>
    <x v="3"/>
    <x v="9"/>
    <x v="9"/>
    <n v="1088"/>
    <s v="890929647"/>
    <s v="QUIMICOS Y PLASTICOS INDUSTRIALES S.A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9647"/>
    <s v="QUIMICOS Y PLASTICOS INDUSTRIA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79 CANCELA CON DCTO DEL 9% POR PRONTO PAGO $112.938"/>
    <n v="112938"/>
    <n v="0"/>
    <n v="112938"/>
    <x v="0"/>
    <x v="0"/>
    <x v="0"/>
    <n v="112938"/>
    <n v="0"/>
    <n v="112938"/>
    <x v="0"/>
    <x v="0"/>
    <x v="0"/>
    <n v="112938"/>
    <n v="0"/>
    <n v="112938"/>
    <x v="0"/>
    <x v="0"/>
    <x v="0"/>
    <x v="0"/>
    <x v="0"/>
  </r>
  <r>
    <x v="1"/>
    <x v="0"/>
    <x v="0"/>
    <x v="3"/>
    <x v="3"/>
    <x v="1"/>
    <x v="1"/>
    <n v="37154"/>
    <s v="811046900"/>
    <s v="CENTRO CARDIOVASCULAR COLOMBIANO - CLINICA SANTA M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6900"/>
    <s v="CENTRO CARDIOVASCULAR COLOMBIANO - CLINICA SANTA 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"/>
    <n v="2629"/>
    <n v="0"/>
    <n v="2629"/>
    <x v="0"/>
    <x v="0"/>
    <x v="0"/>
    <n v="2629"/>
    <n v="0"/>
    <n v="2629"/>
    <x v="0"/>
    <x v="0"/>
    <x v="0"/>
    <n v="2629"/>
    <n v="0"/>
    <n v="262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75574.59"/>
    <n v="0"/>
    <n v="175574.59"/>
    <x v="0"/>
    <x v="0"/>
    <x v="0"/>
    <n v="175574.59"/>
    <n v="0"/>
    <n v="175574.59"/>
    <x v="0"/>
    <x v="0"/>
    <x v="0"/>
    <n v="175574.59"/>
    <n v="0"/>
    <n v="175574.5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81.98"/>
    <n v="0"/>
    <n v="381.98"/>
    <x v="0"/>
    <x v="0"/>
    <x v="0"/>
    <n v="381.98"/>
    <n v="0"/>
    <n v="381.98"/>
    <x v="0"/>
    <x v="0"/>
    <x v="0"/>
    <n v="381.98"/>
    <n v="0"/>
    <n v="381.98"/>
    <x v="0"/>
    <x v="0"/>
    <x v="0"/>
    <x v="0"/>
    <x v="0"/>
  </r>
  <r>
    <x v="0"/>
    <x v="0"/>
    <x v="0"/>
    <x v="6"/>
    <x v="6"/>
    <x v="9"/>
    <x v="9"/>
    <n v="1102"/>
    <s v="810003155"/>
    <s v="CENTRO DE NEGOCIOS SIGLO XXI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10003155"/>
    <s v="CENTRO DE NEGOCIOS SIGLO XX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55688 DESCUENTO DEL 9% POR PAGO ANUAL ANTICIPADO DE $82.808"/>
    <n v="82808"/>
    <n v="0"/>
    <n v="82808"/>
    <x v="0"/>
    <x v="0"/>
    <x v="0"/>
    <n v="82808"/>
    <n v="0"/>
    <n v="82808"/>
    <x v="0"/>
    <x v="0"/>
    <x v="0"/>
    <n v="82808"/>
    <n v="0"/>
    <n v="82808"/>
    <x v="0"/>
    <x v="0"/>
    <x v="0"/>
    <x v="0"/>
    <x v="0"/>
  </r>
  <r>
    <x v="0"/>
    <x v="0"/>
    <x v="0"/>
    <x v="5"/>
    <x v="5"/>
    <x v="1"/>
    <x v="1"/>
    <n v="45504"/>
    <s v="1509246"/>
    <s v="MORALES SANTACRUZ JESUS ANTONIO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0"/>
    <x v="0"/>
    <x v="0"/>
    <x v="5"/>
    <x v="5"/>
    <x v="1"/>
    <x v="1"/>
    <n v="45505"/>
    <s v="650187917"/>
    <s v="FREI  HEINRICH ERNEST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0"/>
    <x v="0"/>
    <x v="0"/>
    <x v="1"/>
    <x v="1"/>
    <x v="1"/>
    <x v="1"/>
    <n v="23937"/>
    <s v="892115006"/>
    <s v="CAJA DE COMP. FAMILIAR DE LA GUAJIR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0880  - FV5-651"/>
    <n v="3653"/>
    <n v="0"/>
    <n v="3653"/>
    <x v="0"/>
    <x v="0"/>
    <x v="0"/>
    <n v="3653"/>
    <n v="0"/>
    <n v="3653"/>
    <x v="0"/>
    <x v="0"/>
    <x v="0"/>
    <n v="3653"/>
    <n v="0"/>
    <n v="3653"/>
    <x v="0"/>
    <x v="0"/>
    <x v="0"/>
    <x v="0"/>
    <x v="0"/>
  </r>
  <r>
    <x v="0"/>
    <x v="0"/>
    <x v="0"/>
    <x v="1"/>
    <x v="1"/>
    <x v="1"/>
    <x v="1"/>
    <n v="23941"/>
    <s v="900061516"/>
    <s v="MUEBLES JAMAR S.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697 - FV5-716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0"/>
    <x v="0"/>
    <x v="0"/>
    <x v="3"/>
    <x v="3"/>
    <x v="9"/>
    <x v="9"/>
    <n v="1078"/>
    <s v="811015694"/>
    <s v="INVERSIONES QUINTERO GARCIA LIMITADA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5002 DESCUENTO COMERCIAL AÑO ANTICIPADO"/>
    <n v="139329"/>
    <n v="0"/>
    <n v="139329"/>
    <x v="0"/>
    <x v="0"/>
    <x v="0"/>
    <n v="139329"/>
    <n v="0"/>
    <n v="139329"/>
    <x v="0"/>
    <x v="0"/>
    <x v="0"/>
    <n v="139329"/>
    <n v="0"/>
    <n v="139329"/>
    <x v="0"/>
    <x v="0"/>
    <x v="0"/>
    <x v="0"/>
    <x v="0"/>
  </r>
  <r>
    <x v="0"/>
    <x v="0"/>
    <x v="0"/>
    <x v="3"/>
    <x v="3"/>
    <x v="1"/>
    <x v="1"/>
    <n v="37060"/>
    <s v="900059238"/>
    <s v="MAKRO SUPERMAYORISTA S.A.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9238"/>
    <s v="MAKRO SUPERMAYORIST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FV4- 980 - SOPORTE ENVIADO POR DAYRO ECHEVERRIA"/>
    <n v="59"/>
    <n v="0"/>
    <n v="59"/>
    <x v="0"/>
    <x v="0"/>
    <x v="0"/>
    <n v="59"/>
    <n v="0"/>
    <n v="59"/>
    <x v="0"/>
    <x v="0"/>
    <x v="0"/>
    <n v="59"/>
    <n v="0"/>
    <n v="59"/>
    <x v="0"/>
    <x v="0"/>
    <x v="0"/>
    <x v="0"/>
    <x v="0"/>
  </r>
  <r>
    <x v="0"/>
    <x v="0"/>
    <x v="0"/>
    <x v="5"/>
    <x v="5"/>
    <x v="1"/>
    <x v="1"/>
    <n v="45555"/>
    <s v="900081559"/>
    <s v="REDITOS EMPRESARIALES S.A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81559"/>
    <s v="REDITOS EMPRESA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87"/>
    <n v="0"/>
    <n v="2187"/>
    <x v="0"/>
    <x v="0"/>
    <x v="0"/>
    <n v="2187"/>
    <n v="0"/>
    <n v="2187"/>
    <x v="0"/>
    <x v="0"/>
    <x v="0"/>
    <n v="2187"/>
    <n v="0"/>
    <n v="2187"/>
    <x v="0"/>
    <x v="0"/>
    <x v="0"/>
    <x v="0"/>
    <x v="0"/>
  </r>
  <r>
    <x v="0"/>
    <x v="0"/>
    <x v="0"/>
    <x v="5"/>
    <x v="5"/>
    <x v="1"/>
    <x v="1"/>
    <n v="45558"/>
    <s v="811003486"/>
    <s v="QUIPUX SAS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 355031, CO MEDELLIN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0"/>
    <x v="0"/>
    <x v="0"/>
    <x v="5"/>
    <x v="5"/>
    <x v="9"/>
    <x v="9"/>
    <n v="1202"/>
    <s v="805024070"/>
    <s v="MGI VIA CONSULTORIA S.A.S.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4070"/>
    <s v="MGI VIA CONSULTOR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AÑO ANTICIPADO, 9% EN FACTURA $104.993"/>
    <n v="104993"/>
    <n v="0"/>
    <n v="104993"/>
    <x v="0"/>
    <x v="0"/>
    <x v="0"/>
    <n v="104993"/>
    <n v="0"/>
    <n v="104993"/>
    <x v="0"/>
    <x v="0"/>
    <x v="0"/>
    <n v="104993"/>
    <n v="0"/>
    <n v="104993"/>
    <x v="0"/>
    <x v="0"/>
    <x v="0"/>
    <x v="0"/>
    <x v="0"/>
  </r>
  <r>
    <x v="0"/>
    <x v="0"/>
    <x v="0"/>
    <x v="5"/>
    <x v="5"/>
    <x v="1"/>
    <x v="1"/>
    <n v="45591"/>
    <s v="811021363"/>
    <s v="UNIPLES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1363"/>
    <s v="UNIP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9"/>
    <x v="9"/>
    <n v="1205"/>
    <s v="811028725"/>
    <s v="DISTRIMEDICAL S.A.S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DESCUENTO DEL 4.5% EN FACTURA SEMESTRE ANTICIPADO$58.514"/>
    <n v="58514"/>
    <n v="0"/>
    <n v="58514"/>
    <x v="0"/>
    <x v="0"/>
    <x v="0"/>
    <n v="58514"/>
    <n v="0"/>
    <n v="58514"/>
    <x v="0"/>
    <x v="0"/>
    <x v="0"/>
    <n v="58514"/>
    <n v="0"/>
    <n v="58514"/>
    <x v="0"/>
    <x v="0"/>
    <x v="0"/>
    <x v="0"/>
    <x v="0"/>
  </r>
  <r>
    <x v="0"/>
    <x v="0"/>
    <x v="0"/>
    <x v="5"/>
    <x v="5"/>
    <x v="1"/>
    <x v="1"/>
    <n v="45599"/>
    <s v="900535544"/>
    <s v="PREMIER INVESMENT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35544"/>
    <s v="PREMIER INVESMENT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ULTIMA CUOTA ACUERDO ANTERIOR."/>
    <n v="2824"/>
    <n v="0"/>
    <n v="2824"/>
    <x v="0"/>
    <x v="0"/>
    <x v="0"/>
    <n v="2824"/>
    <n v="0"/>
    <n v="2824"/>
    <x v="0"/>
    <x v="0"/>
    <x v="0"/>
    <n v="2824"/>
    <n v="0"/>
    <n v="2824"/>
    <x v="0"/>
    <x v="0"/>
    <x v="0"/>
    <x v="0"/>
    <x v="0"/>
  </r>
  <r>
    <x v="1"/>
    <x v="0"/>
    <x v="0"/>
    <x v="3"/>
    <x v="3"/>
    <x v="9"/>
    <x v="9"/>
    <n v="1082"/>
    <s v="890923354"/>
    <s v="CENTRO CCIAL CAMINO REAL"/>
    <s v="201902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3354"/>
    <s v="CENTRO CCIAL CAMINO RE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938, SE APLICA PRONTO PAGO DE $ 1.575.005 EL CLIENTE PAGA ANUAL CON UN DCTO DEL 9%"/>
    <n v="1575005"/>
    <n v="0"/>
    <n v="1575005"/>
    <x v="0"/>
    <x v="0"/>
    <x v="0"/>
    <n v="1575005"/>
    <n v="0"/>
    <n v="1575005"/>
    <x v="0"/>
    <x v="0"/>
    <x v="0"/>
    <n v="1575005"/>
    <n v="0"/>
    <n v="1575005"/>
    <x v="0"/>
    <x v="0"/>
    <x v="0"/>
    <x v="0"/>
    <x v="0"/>
  </r>
  <r>
    <x v="1"/>
    <x v="0"/>
    <x v="0"/>
    <x v="3"/>
    <x v="3"/>
    <x v="1"/>
    <x v="1"/>
    <n v="37116"/>
    <s v="811013715"/>
    <s v="LINEA ADHESIVA S.A"/>
    <s v="201902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005 SE REALIZA DCTO POR PRONTO PAGO DE $ 51.008"/>
    <n v="51008"/>
    <n v="0"/>
    <n v="51008"/>
    <x v="0"/>
    <x v="0"/>
    <x v="0"/>
    <n v="51008"/>
    <n v="0"/>
    <n v="51008"/>
    <x v="0"/>
    <x v="0"/>
    <x v="0"/>
    <n v="51008"/>
    <n v="0"/>
    <n v="51008"/>
    <x v="0"/>
    <x v="0"/>
    <x v="0"/>
    <x v="0"/>
    <x v="0"/>
  </r>
  <r>
    <x v="7"/>
    <x v="0"/>
    <x v="0"/>
    <x v="3"/>
    <x v="3"/>
    <x v="9"/>
    <x v="9"/>
    <n v="1117"/>
    <s v="890906347"/>
    <s v="E.S.E HOSP MANUEL URIBE ANGEL"/>
    <s v="20190412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90906347"/>
    <s v="E.S.E HOSP MANUEL URIBE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970-354587-354586_x000d__x000a_RETEIVA $ 49.561_x000d__x000a_"/>
    <n v="4999"/>
    <n v="0"/>
    <n v="4999"/>
    <x v="0"/>
    <x v="0"/>
    <x v="0"/>
    <n v="4999"/>
    <n v="0"/>
    <n v="4999"/>
    <x v="0"/>
    <x v="0"/>
    <x v="0"/>
    <n v="4999"/>
    <n v="0"/>
    <n v="4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1"/>
    <x v="0"/>
    <x v="0"/>
    <x v="2"/>
    <x v="2"/>
    <x v="9"/>
    <x v="9"/>
    <n v="1482"/>
    <s v="860002964"/>
    <s v="BANCO DE BOGOTA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RET/ICA $ 8.218 Y $ 92.872 POR PAGO ANTICIPADO"/>
    <n v="92872"/>
    <n v="0"/>
    <n v="92872"/>
    <x v="0"/>
    <x v="0"/>
    <x v="0"/>
    <n v="92872"/>
    <n v="0"/>
    <n v="92872"/>
    <x v="0"/>
    <x v="0"/>
    <x v="0"/>
    <n v="92872"/>
    <n v="0"/>
    <n v="92872"/>
    <x v="0"/>
    <x v="0"/>
    <x v="0"/>
    <x v="0"/>
    <x v="0"/>
  </r>
  <r>
    <x v="1"/>
    <x v="0"/>
    <x v="0"/>
    <x v="5"/>
    <x v="5"/>
    <x v="1"/>
    <x v="1"/>
    <n v="45999"/>
    <s v="650187917"/>
    <s v="FREI  HEINRICH ERNEST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5"/>
    <x v="0"/>
    <x v="0"/>
    <x v="3"/>
    <x v="3"/>
    <x v="1"/>
    <x v="1"/>
    <n v="37269"/>
    <s v="860048371"/>
    <s v="PROTEICOL S.A.S"/>
    <s v="201903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8371"/>
    <s v="PROTEICO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S # 355946-355947"/>
    <n v="13417"/>
    <n v="0"/>
    <n v="13417"/>
    <x v="0"/>
    <x v="0"/>
    <x v="0"/>
    <n v="13417"/>
    <n v="0"/>
    <n v="13417"/>
    <x v="0"/>
    <x v="0"/>
    <x v="0"/>
    <n v="13417"/>
    <n v="0"/>
    <n v="13417"/>
    <x v="0"/>
    <x v="0"/>
    <x v="0"/>
    <x v="0"/>
    <x v="0"/>
  </r>
  <r>
    <x v="5"/>
    <x v="0"/>
    <x v="0"/>
    <x v="0"/>
    <x v="0"/>
    <x v="0"/>
    <x v="0"/>
    <n v="4285"/>
    <s v="891410922"/>
    <s v="CENTRO COMERCIAL ALCIDES AREVALO (PEREIR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0922"/>
    <s v="CENTRO COMERCIAL ALCIDES AREVALO (PEREI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5"/>
    <x v="5"/>
    <x v="1"/>
    <x v="1"/>
    <n v="46117"/>
    <s v="805009741"/>
    <s v="COOMEVA MEDICINA PREPAGAD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357167,357131,356898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1"/>
    <x v="1"/>
    <n v="24230"/>
    <s v="802016130"/>
    <s v="CENTRO COMERCIAL BUENAVIST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78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5"/>
    <x v="0"/>
    <x v="0"/>
    <x v="1"/>
    <x v="1"/>
    <x v="1"/>
    <x v="1"/>
    <n v="24231"/>
    <s v="806012958"/>
    <s v="IPS SALUD DEL CARIBE S.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527 - FVA-357540 - FVA-357545 - FVA-357550 - FV6-1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5"/>
    <x v="0"/>
    <x v="0"/>
    <x v="5"/>
    <x v="5"/>
    <x v="1"/>
    <x v="1"/>
    <n v="46236"/>
    <s v="900569801"/>
    <s v="MARGARITA PEÑA S.A.S.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5"/>
    <x v="0"/>
    <x v="0"/>
    <x v="5"/>
    <x v="5"/>
    <x v="1"/>
    <x v="1"/>
    <n v="46237"/>
    <s v="1509246"/>
    <s v="MORALES SANTACRUZ JESUS ANTONIO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5"/>
    <x v="0"/>
    <x v="0"/>
    <x v="5"/>
    <x v="5"/>
    <x v="1"/>
    <x v="1"/>
    <n v="46260"/>
    <s v="34318168"/>
    <s v="ERAZO TORRES ZULMA VIVIAN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4318168"/>
    <s v="ERAZO TORRES ZULMA VIVIA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00"/>
    <n v="0"/>
    <n v="500"/>
    <x v="0"/>
    <x v="0"/>
    <x v="0"/>
    <n v="500"/>
    <n v="0"/>
    <n v="500"/>
    <x v="0"/>
    <x v="0"/>
    <x v="0"/>
    <n v="500"/>
    <n v="0"/>
    <n v="500"/>
    <x v="0"/>
    <x v="0"/>
    <x v="0"/>
    <x v="0"/>
    <x v="0"/>
  </r>
  <r>
    <x v="5"/>
    <x v="0"/>
    <x v="0"/>
    <x v="5"/>
    <x v="5"/>
    <x v="9"/>
    <x v="9"/>
    <n v="1258"/>
    <s v="830011670"/>
    <s v="COPSERVIR LTD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011670"/>
    <s v="COPSERVIR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463.970"/>
    <n v="463970"/>
    <n v="0"/>
    <n v="463970"/>
    <x v="0"/>
    <x v="0"/>
    <x v="0"/>
    <n v="463970"/>
    <n v="0"/>
    <n v="463970"/>
    <x v="0"/>
    <x v="0"/>
    <x v="0"/>
    <n v="463970"/>
    <n v="0"/>
    <n v="463970"/>
    <x v="0"/>
    <x v="0"/>
    <x v="0"/>
    <x v="0"/>
    <x v="0"/>
  </r>
  <r>
    <x v="5"/>
    <x v="0"/>
    <x v="0"/>
    <x v="1"/>
    <x v="1"/>
    <x v="1"/>
    <x v="1"/>
    <n v="24278"/>
    <s v="901062361"/>
    <s v="INVERSIONES MARCRI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283"/>
    <s v="900699086"/>
    <s v="CLINICA PALMA REAL S.A.S"/>
    <s v="2019040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7"/>
    <x v="0"/>
    <x v="0"/>
    <x v="5"/>
    <x v="5"/>
    <x v="1"/>
    <x v="1"/>
    <n v="46311"/>
    <s v="860037900"/>
    <s v="CONSTRUCTORA  BOLIVAR  CALI S.A"/>
    <s v="201904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71,472,473,475,476,865."/>
    <n v="2717"/>
    <n v="0"/>
    <n v="2717"/>
    <x v="0"/>
    <x v="0"/>
    <x v="0"/>
    <n v="2717"/>
    <n v="0"/>
    <n v="2717"/>
    <x v="0"/>
    <x v="0"/>
    <x v="0"/>
    <n v="2717"/>
    <n v="0"/>
    <n v="2717"/>
    <x v="0"/>
    <x v="0"/>
    <x v="0"/>
    <x v="0"/>
    <x v="0"/>
  </r>
  <r>
    <x v="7"/>
    <x v="0"/>
    <x v="0"/>
    <x v="2"/>
    <x v="2"/>
    <x v="9"/>
    <x v="9"/>
    <n v="1525"/>
    <s v="860025639"/>
    <s v="MITSUBISHI ELECTRIC DE COLOMBIA LIMITA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5639"/>
    <s v="MITSUBISHI ELECTRIC DE COLOMB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DE AÑO ANTICIPADO APLICA EL %9."/>
    <n v="300705"/>
    <n v="0"/>
    <n v="300705"/>
    <x v="0"/>
    <x v="0"/>
    <x v="0"/>
    <n v="300705"/>
    <n v="0"/>
    <n v="300705"/>
    <x v="0"/>
    <x v="0"/>
    <x v="0"/>
    <n v="300705"/>
    <n v="0"/>
    <n v="300705"/>
    <x v="0"/>
    <x v="0"/>
    <x v="0"/>
    <x v="0"/>
    <x v="0"/>
  </r>
  <r>
    <x v="7"/>
    <x v="0"/>
    <x v="0"/>
    <x v="1"/>
    <x v="1"/>
    <x v="1"/>
    <x v="1"/>
    <n v="24404"/>
    <s v="901062361"/>
    <s v="INVERSIONES MARCRI S.A.S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8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528"/>
    <s v="900569801"/>
    <s v="MARGARITA PEÑA S.A.S.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6"/>
    <x v="0"/>
    <x v="0"/>
    <x v="1"/>
    <x v="1"/>
    <x v="1"/>
    <x v="1"/>
    <n v="24466"/>
    <s v="890102508"/>
    <s v="SALES INMOBILIARI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2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667"/>
    <s v="800048954"/>
    <s v="CLINICA VERSALLES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6"/>
    <x v="0"/>
    <x v="0"/>
    <x v="5"/>
    <x v="5"/>
    <x v="9"/>
    <x v="9"/>
    <n v="1293"/>
    <s v="805011901"/>
    <s v="LASKIN S.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PAGO AÑO ANTICIPADO %9, $244.218"/>
    <n v="244218"/>
    <n v="0"/>
    <n v="244218"/>
    <x v="0"/>
    <x v="0"/>
    <x v="0"/>
    <n v="244218"/>
    <n v="0"/>
    <n v="244218"/>
    <x v="0"/>
    <x v="0"/>
    <x v="0"/>
    <n v="244218"/>
    <n v="0"/>
    <n v="244218"/>
    <x v="0"/>
    <x v="0"/>
    <x v="0"/>
    <x v="0"/>
    <x v="0"/>
  </r>
  <r>
    <x v="6"/>
    <x v="0"/>
    <x v="0"/>
    <x v="5"/>
    <x v="5"/>
    <x v="1"/>
    <x v="1"/>
    <n v="46712"/>
    <s v="890304375"/>
    <s v="INDUGRAFICAS S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6"/>
    <x v="0"/>
    <x v="0"/>
    <x v="1"/>
    <x v="1"/>
    <x v="1"/>
    <x v="1"/>
    <n v="24488"/>
    <s v="1140900157"/>
    <s v="BOZON ALBA VALENTINA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9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6"/>
    <x v="0"/>
    <x v="0"/>
    <x v="3"/>
    <x v="3"/>
    <x v="1"/>
    <x v="1"/>
    <n v="37749"/>
    <s v="900163527"/>
    <s v="CENTRO COMERCIAL SAN NICOLAS PROPIEDAD HORIZONTAL"/>
    <s v="201905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572_x000d__x000a_SE LE OTORGA DCTO COMERCIAL POR PRONTO PAGO  DE $ 71.111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6"/>
    <x v="0"/>
    <x v="0"/>
    <x v="5"/>
    <x v="5"/>
    <x v="1"/>
    <x v="1"/>
    <n v="46741"/>
    <s v="900424306"/>
    <s v="SEGO ENTERPRISE SOLUTIONS SAS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424306"/>
    <s v="SEGO ENTERPRISE SOLUTION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6"/>
    <x v="0"/>
    <x v="0"/>
    <x v="5"/>
    <x v="5"/>
    <x v="1"/>
    <x v="1"/>
    <n v="46742"/>
    <s v="890311006"/>
    <s v="FONDO DE EMPLEADOS DE LAS EMP.MPALES DE CALI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6"/>
    <x v="0"/>
    <x v="0"/>
    <x v="5"/>
    <x v="5"/>
    <x v="9"/>
    <x v="9"/>
    <n v="1296"/>
    <s v="31945039"/>
    <s v="VILLAREAL MORALES ONEIDA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45039"/>
    <s v="VILLAREAL MORALES ONEI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6"/>
    <x v="0"/>
    <x v="0"/>
    <x v="1"/>
    <x v="1"/>
    <x v="1"/>
    <x v="1"/>
    <n v="24502"/>
    <s v="802016306"/>
    <s v="EXPOCONSTRUCCION 43 Y CIA LTDA"/>
    <s v="201905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2"/>
    <n v="35"/>
    <n v="0"/>
    <n v="35"/>
    <x v="0"/>
    <x v="0"/>
    <x v="0"/>
    <n v="35"/>
    <n v="0"/>
    <n v="35"/>
    <x v="0"/>
    <x v="0"/>
    <x v="0"/>
    <n v="35"/>
    <n v="0"/>
    <n v="35"/>
    <x v="0"/>
    <x v="0"/>
    <x v="0"/>
    <x v="0"/>
    <x v="0"/>
  </r>
  <r>
    <x v="6"/>
    <x v="0"/>
    <x v="0"/>
    <x v="5"/>
    <x v="5"/>
    <x v="1"/>
    <x v="1"/>
    <n v="46800"/>
    <s v="860046201"/>
    <s v="FORTOX S.A"/>
    <s v="201905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5"/>
    <x v="5"/>
    <x v="1"/>
    <x v="1"/>
    <n v="46803"/>
    <s v="900825179"/>
    <s v="ELIZABETH TRULLAS  CIA S.A.S"/>
    <s v="201905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6"/>
    <x v="0"/>
    <x v="0"/>
    <x v="5"/>
    <x v="5"/>
    <x v="1"/>
    <x v="1"/>
    <n v="46826"/>
    <s v="900569801"/>
    <s v="MARGARITA PEÑA S.A.S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6849"/>
    <s v="900077291"/>
    <s v="INVERSIONES BENAVIDES SOLARTE SCS"/>
    <s v="201906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6876"/>
    <s v="890304375"/>
    <s v="INDUGRAFICAS SA.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2"/>
    <x v="0"/>
    <x v="0"/>
    <x v="5"/>
    <x v="5"/>
    <x v="1"/>
    <x v="1"/>
    <n v="46904"/>
    <s v="890318490"/>
    <s v="FERRETERIA TUBERIAS S.A.S.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2"/>
    <x v="0"/>
    <x v="0"/>
    <x v="5"/>
    <x v="5"/>
    <x v="1"/>
    <x v="1"/>
    <n v="46905"/>
    <s v="42087065"/>
    <s v="RUEDA OCAMPO CLAUDIA PATRICIA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2"/>
    <x v="0"/>
    <x v="0"/>
    <x v="2"/>
    <x v="2"/>
    <x v="9"/>
    <x v="9"/>
    <n v="1574"/>
    <s v="860020058"/>
    <s v="DISTRIBUIDORA TOYOTA S.A.S.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0058"/>
    <s v="DISTRIBUIDORA TOYOT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MESTRE 4.5% $61.668"/>
    <n v="61668"/>
    <n v="0"/>
    <n v="61668"/>
    <x v="0"/>
    <x v="0"/>
    <x v="0"/>
    <n v="61668"/>
    <n v="0"/>
    <n v="61668"/>
    <x v="0"/>
    <x v="0"/>
    <x v="0"/>
    <n v="61668"/>
    <n v="0"/>
    <n v="61668"/>
    <x v="0"/>
    <x v="0"/>
    <x v="0"/>
    <x v="0"/>
    <x v="0"/>
  </r>
  <r>
    <x v="2"/>
    <x v="0"/>
    <x v="0"/>
    <x v="5"/>
    <x v="5"/>
    <x v="9"/>
    <x v="9"/>
    <n v="1306"/>
    <s v="800096895"/>
    <s v="GRUPO CARDIOLOGICO DE OCCIDENTE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96895"/>
    <s v="GRUPO CARDIOLOGICO DE OCCIDENT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en factura ok., $146.243"/>
    <n v="146243"/>
    <n v="0"/>
    <n v="146243"/>
    <x v="0"/>
    <x v="0"/>
    <x v="0"/>
    <n v="146243"/>
    <n v="0"/>
    <n v="146243"/>
    <x v="0"/>
    <x v="0"/>
    <x v="0"/>
    <n v="146243"/>
    <n v="0"/>
    <n v="146243"/>
    <x v="0"/>
    <x v="0"/>
    <x v="0"/>
    <x v="0"/>
    <x v="0"/>
  </r>
  <r>
    <x v="2"/>
    <x v="0"/>
    <x v="0"/>
    <x v="5"/>
    <x v="5"/>
    <x v="9"/>
    <x v="9"/>
    <n v="1310"/>
    <s v="830510909"/>
    <s v="RIVERCOL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 ANTICIPADO 4.5 % $61.244"/>
    <n v="61244"/>
    <n v="0"/>
    <n v="61244"/>
    <x v="0"/>
    <x v="0"/>
    <x v="0"/>
    <n v="61244"/>
    <n v="0"/>
    <n v="61244"/>
    <x v="0"/>
    <x v="0"/>
    <x v="0"/>
    <n v="61244"/>
    <n v="0"/>
    <n v="61244"/>
    <x v="0"/>
    <x v="0"/>
    <x v="0"/>
    <x v="0"/>
    <x v="0"/>
  </r>
  <r>
    <x v="2"/>
    <x v="0"/>
    <x v="0"/>
    <x v="5"/>
    <x v="5"/>
    <x v="9"/>
    <x v="9"/>
    <n v="1311"/>
    <s v="890303797"/>
    <s v="UNIVERSIDAD SANTIAGO DE CALI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3797"/>
    <s v="UNIVERSIDAD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, 9% OK, $291.585"/>
    <n v="291585"/>
    <n v="0"/>
    <n v="291585"/>
    <x v="0"/>
    <x v="0"/>
    <x v="0"/>
    <n v="291585"/>
    <n v="0"/>
    <n v="291585"/>
    <x v="0"/>
    <x v="0"/>
    <x v="0"/>
    <n v="291585"/>
    <n v="0"/>
    <n v="291585"/>
    <x v="0"/>
    <x v="0"/>
    <x v="0"/>
    <x v="0"/>
    <x v="0"/>
  </r>
  <r>
    <x v="2"/>
    <x v="0"/>
    <x v="0"/>
    <x v="5"/>
    <x v="5"/>
    <x v="9"/>
    <x v="9"/>
    <n v="1312"/>
    <s v="805007342"/>
    <s v="FONDO DE GARANTIAS S.A. CONFE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7342"/>
    <s v="FONDO DE GARANTIAS S.A. CONF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$395.216"/>
    <n v="395216"/>
    <n v="0"/>
    <n v="395216"/>
    <x v="0"/>
    <x v="0"/>
    <x v="0"/>
    <n v="395216"/>
    <n v="0"/>
    <n v="395216"/>
    <x v="0"/>
    <x v="0"/>
    <x v="0"/>
    <n v="395216"/>
    <n v="0"/>
    <n v="395216"/>
    <x v="0"/>
    <x v="0"/>
    <x v="0"/>
    <x v="0"/>
    <x v="0"/>
  </r>
  <r>
    <x v="2"/>
    <x v="0"/>
    <x v="0"/>
    <x v="5"/>
    <x v="5"/>
    <x v="1"/>
    <x v="1"/>
    <n v="46930"/>
    <s v="817001528"/>
    <s v="PAVCO DE OCCIDENTE SA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2"/>
    <x v="0"/>
    <x v="0"/>
    <x v="5"/>
    <x v="5"/>
    <x v="9"/>
    <x v="9"/>
    <n v="1309"/>
    <s v="805012610"/>
    <s v="FINESA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ESCUENTO %9  OK,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0"/>
    <x v="0"/>
    <x v="0"/>
    <x v="0"/>
    <x v="0"/>
    <x v="2"/>
    <x v="2"/>
    <n v="19431"/>
    <s v="860007660"/>
    <s v="HELM BANK S.A."/>
    <s v="201901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K 4225 -"/>
    <n v="274281.71999999997"/>
    <n v="0"/>
    <n v="274281.72000000003"/>
    <x v="0"/>
    <x v="0"/>
    <x v="0"/>
    <n v="274281.71999999997"/>
    <n v="0"/>
    <n v="274281.72000000003"/>
    <x v="0"/>
    <x v="0"/>
    <x v="0"/>
    <n v="274281.71999999997"/>
    <n v="0"/>
    <n v="274281.72000000003"/>
    <x v="0"/>
    <x v="0"/>
    <x v="0"/>
    <x v="0"/>
    <x v="0"/>
  </r>
  <r>
    <x v="0"/>
    <x v="0"/>
    <x v="0"/>
    <x v="0"/>
    <x v="0"/>
    <x v="2"/>
    <x v="2"/>
    <n v="19611"/>
    <s v="860002964"/>
    <s v="BANCO DE BOGOT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246057"/>
    <n v="0"/>
    <n v="246057"/>
    <x v="0"/>
    <x v="0"/>
    <x v="0"/>
    <n v="246057"/>
    <n v="0"/>
    <n v="246057"/>
    <x v="0"/>
    <x v="0"/>
    <x v="0"/>
    <n v="246057"/>
    <n v="0"/>
    <n v="246057"/>
    <x v="0"/>
    <x v="0"/>
    <x v="0"/>
    <x v="0"/>
    <x v="0"/>
  </r>
  <r>
    <x v="0"/>
    <x v="0"/>
    <x v="0"/>
    <x v="0"/>
    <x v="0"/>
    <x v="2"/>
    <x v="2"/>
    <n v="19612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- ENERO 2019"/>
    <n v="26796.03"/>
    <n v="0"/>
    <n v="26796.03"/>
    <x v="0"/>
    <x v="0"/>
    <x v="0"/>
    <n v="26796.03"/>
    <n v="0"/>
    <n v="26796.03"/>
    <x v="0"/>
    <x v="0"/>
    <x v="0"/>
    <n v="26796.03"/>
    <n v="0"/>
    <n v="26796.03"/>
    <x v="0"/>
    <x v="0"/>
    <x v="0"/>
    <x v="0"/>
    <x v="0"/>
  </r>
  <r>
    <x v="0"/>
    <x v="0"/>
    <x v="0"/>
    <x v="0"/>
    <x v="0"/>
    <x v="2"/>
    <x v="2"/>
    <n v="19633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18426"/>
    <n v="0"/>
    <n v="18426"/>
    <x v="0"/>
    <x v="0"/>
    <x v="0"/>
    <n v="18426"/>
    <n v="0"/>
    <n v="18426"/>
    <x v="0"/>
    <x v="0"/>
    <x v="0"/>
    <n v="18426"/>
    <n v="0"/>
    <n v="18426"/>
    <x v="0"/>
    <x v="0"/>
    <x v="0"/>
    <x v="0"/>
    <x v="0"/>
  </r>
  <r>
    <x v="0"/>
    <x v="0"/>
    <x v="0"/>
    <x v="0"/>
    <x v="0"/>
    <x v="2"/>
    <x v="2"/>
    <n v="19635"/>
    <s v="900406150"/>
    <s v="BANCO COOMEV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9"/>
    <n v="116232.29"/>
    <n v="0"/>
    <n v="116232.29000000001"/>
    <x v="0"/>
    <x v="0"/>
    <x v="0"/>
    <n v="116232.29"/>
    <n v="0"/>
    <n v="116232.29000000001"/>
    <x v="0"/>
    <x v="0"/>
    <x v="0"/>
    <n v="116232.29"/>
    <n v="0"/>
    <n v="116232.29000000001"/>
    <x v="0"/>
    <x v="0"/>
    <x v="0"/>
    <x v="0"/>
    <x v="0"/>
  </r>
  <r>
    <x v="0"/>
    <x v="0"/>
    <x v="0"/>
    <x v="0"/>
    <x v="0"/>
    <x v="2"/>
    <x v="2"/>
    <n v="19620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OCCIDENTE"/>
    <n v="261000"/>
    <n v="0"/>
    <n v="261000"/>
    <x v="0"/>
    <x v="0"/>
    <x v="0"/>
    <n v="261000"/>
    <n v="0"/>
    <n v="261000"/>
    <x v="0"/>
    <x v="0"/>
    <x v="0"/>
    <n v="261000"/>
    <n v="0"/>
    <n v="261000"/>
    <x v="0"/>
    <x v="0"/>
    <x v="0"/>
    <x v="0"/>
    <x v="0"/>
  </r>
  <r>
    <x v="0"/>
    <x v="0"/>
    <x v="0"/>
    <x v="0"/>
    <x v="0"/>
    <x v="2"/>
    <x v="2"/>
    <n v="19572"/>
    <s v="890311940"/>
    <s v="TURISMO MARVAN SA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NCOLOMBIA"/>
    <n v="3993.14"/>
    <n v="0"/>
    <n v="3993.14"/>
    <x v="0"/>
    <x v="0"/>
    <x v="0"/>
    <n v="3993.14"/>
    <n v="0"/>
    <n v="3993.14"/>
    <x v="0"/>
    <x v="0"/>
    <x v="0"/>
    <n v="3993.14"/>
    <n v="0"/>
    <n v="3993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5"/>
    <x v="5"/>
    <x v="1"/>
    <x v="1"/>
    <n v="45947"/>
    <s v="800004599"/>
    <s v="COMERCIALIZADORA MARDEN LTD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04599"/>
    <s v="COMERCIALIZADORA MARDEN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1"/>
    <x v="0"/>
    <x v="0"/>
    <x v="5"/>
    <x v="5"/>
    <x v="9"/>
    <x v="9"/>
    <n v="1236"/>
    <s v="800024390"/>
    <s v="DIME CLINICA NEUROCARDIOVASCULAR S.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24390"/>
    <s v="DIME CLINICA NEUROCARDIOVASCUL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243.540"/>
    <n v="243540"/>
    <n v="0"/>
    <n v="243540"/>
    <x v="0"/>
    <x v="0"/>
    <x v="0"/>
    <n v="243540"/>
    <n v="0"/>
    <n v="243540"/>
    <x v="0"/>
    <x v="0"/>
    <x v="0"/>
    <n v="243540"/>
    <n v="0"/>
    <n v="243540"/>
    <x v="0"/>
    <x v="0"/>
    <x v="0"/>
    <x v="0"/>
    <x v="0"/>
  </r>
  <r>
    <x v="1"/>
    <x v="0"/>
    <x v="0"/>
    <x v="1"/>
    <x v="1"/>
    <x v="1"/>
    <x v="1"/>
    <n v="24128"/>
    <s v="32757237"/>
    <s v="MEDINA OLIVEROS FARATH DIV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25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1"/>
    <x v="0"/>
    <x v="0"/>
    <x v="1"/>
    <x v="1"/>
    <x v="1"/>
    <x v="1"/>
    <n v="24134"/>
    <s v="802010909"/>
    <s v="INVERSIONES WONGFOEN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2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1"/>
    <x v="1"/>
    <x v="1"/>
    <x v="1"/>
    <n v="24137"/>
    <s v="802016130"/>
    <s v="CENTRO COMERCIAL BUENAVISTA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1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1"/>
    <x v="0"/>
    <x v="0"/>
    <x v="5"/>
    <x v="5"/>
    <x v="1"/>
    <x v="1"/>
    <n v="45963"/>
    <s v="900569801"/>
    <s v="MARGARITA PEÑA S.A.S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341"/>
    <n v="0"/>
    <n v="4341"/>
    <x v="0"/>
    <x v="0"/>
    <x v="0"/>
    <n v="4341"/>
    <n v="0"/>
    <n v="4341"/>
    <x v="0"/>
    <x v="0"/>
    <x v="0"/>
    <n v="4341"/>
    <n v="0"/>
    <n v="4341"/>
    <x v="0"/>
    <x v="0"/>
    <x v="0"/>
    <x v="0"/>
    <x v="0"/>
  </r>
  <r>
    <x v="1"/>
    <x v="0"/>
    <x v="0"/>
    <x v="5"/>
    <x v="5"/>
    <x v="1"/>
    <x v="1"/>
    <n v="45964"/>
    <s v="900825179"/>
    <s v="ELIZABETH TRULLAS  CIA S.A.S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1"/>
    <x v="0"/>
    <x v="0"/>
    <x v="5"/>
    <x v="5"/>
    <x v="1"/>
    <x v="1"/>
    <n v="45974"/>
    <s v="1509246"/>
    <s v="MORALES SANTACRUZ JESUS ANTONIO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1"/>
    <x v="0"/>
    <x v="0"/>
    <x v="5"/>
    <x v="5"/>
    <x v="1"/>
    <x v="1"/>
    <n v="45975"/>
    <s v="890318490"/>
    <s v="FERRETERIA TUBERIAS S.A.S.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1"/>
    <x v="1"/>
    <n v="46046"/>
    <s v="890304375"/>
    <s v="INDUGRAFICAS SA.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5"/>
    <x v="0"/>
    <x v="0"/>
    <x v="0"/>
    <x v="0"/>
    <x v="0"/>
    <x v="0"/>
    <n v="4286"/>
    <s v="890915992"/>
    <s v="INUBERCO"/>
    <s v="201903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5992"/>
    <s v="INUBERC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DEJADO DE APLICAR SOBRE FACTURA DEL AÑO 2018"/>
    <n v="21398"/>
    <n v="0"/>
    <n v="21398"/>
    <x v="0"/>
    <x v="0"/>
    <x v="0"/>
    <n v="21398"/>
    <n v="0"/>
    <n v="21398"/>
    <x v="0"/>
    <x v="0"/>
    <x v="0"/>
    <n v="21398"/>
    <n v="0"/>
    <n v="21398"/>
    <x v="0"/>
    <x v="0"/>
    <x v="0"/>
    <x v="0"/>
    <x v="0"/>
  </r>
  <r>
    <x v="5"/>
    <x v="0"/>
    <x v="0"/>
    <x v="1"/>
    <x v="1"/>
    <x v="1"/>
    <x v="1"/>
    <n v="24173"/>
    <s v="901062361"/>
    <s v="INVERSIONES MARCRI S.A.S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9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1167"/>
    <s v="CENTRO DE DISEÑO PORTOB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10956"/>
    <n v="0"/>
    <n v="10956"/>
    <x v="0"/>
    <x v="0"/>
    <x v="0"/>
    <n v="10956"/>
    <n v="0"/>
    <n v="10956"/>
    <x v="0"/>
    <x v="0"/>
    <x v="0"/>
    <n v="10956"/>
    <n v="0"/>
    <n v="10956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10268"/>
    <s v="AJOVE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360"/>
    <n v="0"/>
    <n v="360"/>
    <x v="0"/>
    <x v="0"/>
    <x v="0"/>
    <n v="360"/>
    <n v="0"/>
    <n v="360"/>
    <x v="0"/>
    <x v="0"/>
    <x v="0"/>
    <n v="360"/>
    <n v="0"/>
    <n v="360"/>
    <x v="0"/>
    <x v="0"/>
    <x v="0"/>
    <x v="0"/>
    <x v="0"/>
  </r>
  <r>
    <x v="5"/>
    <x v="0"/>
    <x v="0"/>
    <x v="5"/>
    <x v="5"/>
    <x v="1"/>
    <x v="1"/>
    <n v="46077"/>
    <s v="800054863"/>
    <s v="HEMISFERIO TOURS Y CIA LTD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450"/>
    <n v="0"/>
    <n v="4450"/>
    <x v="0"/>
    <x v="0"/>
    <x v="0"/>
    <n v="4450"/>
    <n v="0"/>
    <n v="4450"/>
    <x v="0"/>
    <x v="0"/>
    <x v="0"/>
    <n v="4450"/>
    <n v="0"/>
    <n v="4450"/>
    <x v="0"/>
    <x v="0"/>
    <x v="0"/>
    <x v="0"/>
    <x v="0"/>
  </r>
  <r>
    <x v="5"/>
    <x v="0"/>
    <x v="0"/>
    <x v="1"/>
    <x v="1"/>
    <x v="1"/>
    <x v="1"/>
    <n v="24181"/>
    <s v="900061516"/>
    <s v="MUEBLES JAMAR S.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3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5"/>
    <x v="5"/>
    <x v="9"/>
    <x v="9"/>
    <n v="1246"/>
    <s v="900393834"/>
    <s v="INVERSIONES OB S.A.S"/>
    <s v="201903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93834"/>
    <s v="INVERSIONES OB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$ 29.700"/>
    <n v="29700"/>
    <n v="0"/>
    <n v="29700"/>
    <x v="0"/>
    <x v="0"/>
    <x v="0"/>
    <n v="29700"/>
    <n v="0"/>
    <n v="29700"/>
    <x v="0"/>
    <x v="0"/>
    <x v="0"/>
    <n v="29700"/>
    <n v="0"/>
    <n v="29700"/>
    <x v="0"/>
    <x v="0"/>
    <x v="0"/>
    <x v="0"/>
    <x v="0"/>
  </r>
  <r>
    <x v="5"/>
    <x v="0"/>
    <x v="0"/>
    <x v="1"/>
    <x v="1"/>
    <x v="1"/>
    <x v="1"/>
    <n v="24193"/>
    <s v="890102508"/>
    <s v="SALES INMOBILIARI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1"/>
    <x v="1"/>
    <n v="2381"/>
    <s v="98533053"/>
    <s v="PUETAMAN GUERRERO JAN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8533053"/>
    <s v="PUETAMAN GUERRERO J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918"/>
    <n v="0"/>
    <n v="5918"/>
    <x v="0"/>
    <x v="0"/>
    <x v="0"/>
    <n v="5918"/>
    <n v="0"/>
    <n v="5918"/>
    <x v="0"/>
    <x v="0"/>
    <x v="0"/>
    <n v="5918"/>
    <n v="0"/>
    <n v="5918"/>
    <x v="0"/>
    <x v="0"/>
    <x v="0"/>
    <x v="0"/>
    <x v="0"/>
  </r>
  <r>
    <x v="5"/>
    <x v="0"/>
    <x v="0"/>
    <x v="6"/>
    <x v="6"/>
    <x v="9"/>
    <x v="9"/>
    <n v="1123"/>
    <s v="830053812"/>
    <s v="ALIANZA FIDUCIARIA S.A. FIDEICOMISO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53812"/>
    <s v="ALIANZA FIDUCIARIA S.A. FIDEICOMIS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353624-353625 DESCUENTO DEL 4.5 POR PAGO SEMESTRE ANTICIPADO"/>
    <n v="56858"/>
    <n v="0"/>
    <n v="56858"/>
    <x v="0"/>
    <x v="0"/>
    <x v="0"/>
    <n v="56858"/>
    <n v="0"/>
    <n v="56858"/>
    <x v="0"/>
    <x v="0"/>
    <x v="0"/>
    <n v="56858"/>
    <n v="0"/>
    <n v="56858"/>
    <x v="0"/>
    <x v="0"/>
    <x v="0"/>
    <x v="0"/>
    <x v="0"/>
  </r>
  <r>
    <x v="5"/>
    <x v="0"/>
    <x v="0"/>
    <x v="5"/>
    <x v="5"/>
    <x v="1"/>
    <x v="1"/>
    <n v="46175"/>
    <s v="900825179"/>
    <s v="ELIZABETH TRULLAS  CIA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5"/>
    <x v="0"/>
    <x v="0"/>
    <x v="5"/>
    <x v="5"/>
    <x v="1"/>
    <x v="1"/>
    <n v="46176"/>
    <s v="890318490"/>
    <s v="FERRETERIA TUBERIAS S.A.S.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9"/>
    <x v="9"/>
    <n v="1255"/>
    <s v="890304049"/>
    <s v="ARQUIDIOCESIS DE CALI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 9% $494.922"/>
    <n v="494922"/>
    <n v="0"/>
    <n v="494922"/>
    <x v="0"/>
    <x v="0"/>
    <x v="0"/>
    <n v="494922"/>
    <n v="0"/>
    <n v="494922"/>
    <x v="0"/>
    <x v="0"/>
    <x v="0"/>
    <n v="494922"/>
    <n v="0"/>
    <n v="494922"/>
    <x v="0"/>
    <x v="0"/>
    <x v="0"/>
    <x v="0"/>
    <x v="0"/>
  </r>
  <r>
    <x v="5"/>
    <x v="0"/>
    <x v="0"/>
    <x v="0"/>
    <x v="0"/>
    <x v="1"/>
    <x v="1"/>
    <n v="2386"/>
    <s v="900294946"/>
    <s v="BC COMERCIALIZADORA S.A.S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94946"/>
    <s v="BC COMERCIALIZAD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164461"/>
    <n v="0"/>
    <n v="164461"/>
    <x v="0"/>
    <x v="0"/>
    <x v="0"/>
    <n v="164461"/>
    <n v="0"/>
    <n v="164461"/>
    <x v="0"/>
    <x v="0"/>
    <x v="0"/>
    <n v="164461"/>
    <n v="0"/>
    <n v="164461"/>
    <x v="0"/>
    <x v="0"/>
    <x v="0"/>
    <x v="0"/>
    <x v="0"/>
  </r>
  <r>
    <x v="5"/>
    <x v="0"/>
    <x v="0"/>
    <x v="2"/>
    <x v="2"/>
    <x v="9"/>
    <x v="9"/>
    <n v="1506"/>
    <s v="860003113"/>
    <s v="SANITARIAS E HIDRAULICAS S.A.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3113"/>
    <s v="SANITARIAS E HIDRAULICA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por semestre anticipado aplica el 4.5 %"/>
    <n v="42720"/>
    <n v="0"/>
    <n v="42720"/>
    <x v="0"/>
    <x v="0"/>
    <x v="0"/>
    <n v="42720"/>
    <n v="0"/>
    <n v="42720"/>
    <x v="0"/>
    <x v="0"/>
    <x v="0"/>
    <n v="42720"/>
    <n v="0"/>
    <n v="42720"/>
    <x v="0"/>
    <x v="0"/>
    <x v="0"/>
    <x v="0"/>
    <x v="0"/>
  </r>
  <r>
    <x v="5"/>
    <x v="0"/>
    <x v="0"/>
    <x v="5"/>
    <x v="5"/>
    <x v="1"/>
    <x v="1"/>
    <n v="46225"/>
    <s v="31993745"/>
    <s v="RENGIFO MONTEALEGRE MARIA DEL PILAR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93745"/>
    <s v="RENGIFO MONTEALEGRE MARIA DEL PIL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7"/>
    <x v="0"/>
    <x v="0"/>
    <x v="0"/>
    <x v="0"/>
    <x v="0"/>
    <x v="0"/>
    <n v="4290"/>
    <s v="901046241"/>
    <s v="DECO SHOP S.A.S"/>
    <s v="2019040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046241"/>
    <s v="DECO SHOP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PAGO VOLUNTARIO CARTERA EN ABOGADO"/>
    <n v="224481"/>
    <n v="0"/>
    <n v="224481"/>
    <x v="0"/>
    <x v="0"/>
    <x v="0"/>
    <n v="224481"/>
    <n v="0"/>
    <n v="224481"/>
    <x v="0"/>
    <x v="0"/>
    <x v="0"/>
    <n v="224481"/>
    <n v="0"/>
    <n v="224481"/>
    <x v="0"/>
    <x v="0"/>
    <x v="0"/>
    <x v="0"/>
    <x v="0"/>
  </r>
  <r>
    <x v="7"/>
    <x v="0"/>
    <x v="0"/>
    <x v="1"/>
    <x v="1"/>
    <x v="1"/>
    <x v="1"/>
    <n v="24279"/>
    <s v="890107487"/>
    <s v="SUPERTIENDAS Y DROGUERIAS OLIMPICA S.A."/>
    <s v="201904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2502"/>
    <n v="0"/>
    <n v="2502"/>
    <x v="0"/>
    <x v="0"/>
    <x v="0"/>
    <n v="2502"/>
    <n v="0"/>
    <n v="2502"/>
    <x v="0"/>
    <x v="0"/>
    <x v="0"/>
    <n v="2502"/>
    <n v="0"/>
    <n v="2502"/>
    <x v="0"/>
    <x v="0"/>
    <x v="0"/>
    <x v="0"/>
    <x v="0"/>
  </r>
  <r>
    <x v="7"/>
    <x v="0"/>
    <x v="0"/>
    <x v="1"/>
    <x v="1"/>
    <x v="1"/>
    <x v="1"/>
    <n v="24303"/>
    <s v="32757237"/>
    <s v="MEDINA OLIVEROS FARATH DIV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87"/>
    <n v="7"/>
    <n v="0"/>
    <n v="7"/>
    <x v="0"/>
    <x v="0"/>
    <x v="0"/>
    <n v="7"/>
    <n v="0"/>
    <n v="7"/>
    <x v="0"/>
    <x v="0"/>
    <x v="0"/>
    <n v="7"/>
    <n v="0"/>
    <n v="7"/>
    <x v="0"/>
    <x v="0"/>
    <x v="0"/>
    <x v="0"/>
    <x v="0"/>
  </r>
  <r>
    <x v="7"/>
    <x v="0"/>
    <x v="0"/>
    <x v="1"/>
    <x v="1"/>
    <x v="1"/>
    <x v="1"/>
    <n v="24304"/>
    <s v="802016306"/>
    <s v="EXPOCONSTRUCCION 43 Y CIA LTD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12 - FVA-360002"/>
    <n v="17"/>
    <n v="0"/>
    <n v="17"/>
    <x v="0"/>
    <x v="0"/>
    <x v="0"/>
    <n v="17"/>
    <n v="0"/>
    <n v="17"/>
    <x v="0"/>
    <x v="0"/>
    <x v="0"/>
    <n v="17"/>
    <n v="0"/>
    <n v="17"/>
    <x v="0"/>
    <x v="0"/>
    <x v="0"/>
    <x v="0"/>
    <x v="0"/>
  </r>
  <r>
    <x v="7"/>
    <x v="0"/>
    <x v="0"/>
    <x v="1"/>
    <x v="1"/>
    <x v="1"/>
    <x v="1"/>
    <n v="24307"/>
    <s v="890102508"/>
    <s v="SALES INMOBILIARIA S.A.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485"/>
    <s v="811040443"/>
    <s v="B Y B CONSTRUCTORES S.A."/>
    <s v="201904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614"/>
    <n v="1258"/>
    <n v="0"/>
    <n v="1258"/>
    <x v="0"/>
    <x v="0"/>
    <x v="0"/>
    <n v="1258"/>
    <n v="0"/>
    <n v="1258"/>
    <x v="0"/>
    <x v="0"/>
    <x v="0"/>
    <n v="1258"/>
    <n v="0"/>
    <n v="1258"/>
    <x v="0"/>
    <x v="0"/>
    <x v="0"/>
    <x v="0"/>
    <x v="0"/>
  </r>
  <r>
    <x v="6"/>
    <x v="0"/>
    <x v="0"/>
    <x v="6"/>
    <x v="6"/>
    <x v="9"/>
    <x v="9"/>
    <n v="1135"/>
    <s v="25016809"/>
    <s v="MARTINEZ HURTADO NUBIA"/>
    <s v="201905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25016809"/>
    <s v="MARTINEZ HURTADO NU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 #358839 DESCUENTO  POR PAGO SEMESTRAL  POR VALOR DE $17.250"/>
    <n v="17250"/>
    <n v="0"/>
    <n v="17250"/>
    <x v="0"/>
    <x v="0"/>
    <x v="0"/>
    <n v="17250"/>
    <n v="0"/>
    <n v="17250"/>
    <x v="0"/>
    <x v="0"/>
    <x v="0"/>
    <n v="17250"/>
    <n v="0"/>
    <n v="17250"/>
    <x v="0"/>
    <x v="0"/>
    <x v="0"/>
    <x v="0"/>
    <x v="0"/>
  </r>
  <r>
    <x v="7"/>
    <x v="0"/>
    <x v="0"/>
    <x v="1"/>
    <x v="1"/>
    <x v="1"/>
    <x v="1"/>
    <n v="24322"/>
    <s v="802016130"/>
    <s v="CENTRO COMERCIAL BUENAVIST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7"/>
    <x v="0"/>
    <x v="0"/>
    <x v="1"/>
    <x v="1"/>
    <x v="1"/>
    <x v="1"/>
    <n v="24326"/>
    <s v="900061516"/>
    <s v="MUEBLES JAMAR S.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44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1"/>
    <x v="1"/>
    <x v="1"/>
    <x v="1"/>
    <n v="24318"/>
    <s v="802010909"/>
    <s v="INVERSIONES WONGFOEN S.A.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1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7"/>
    <x v="0"/>
    <x v="0"/>
    <x v="1"/>
    <x v="1"/>
    <x v="1"/>
    <x v="1"/>
    <n v="24340"/>
    <s v="806012958"/>
    <s v="IPS SALUD DEL CARIBE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9917 - FVA-359930 - FVA-359935 - FVA-359940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7"/>
    <x v="0"/>
    <x v="0"/>
    <x v="5"/>
    <x v="5"/>
    <x v="1"/>
    <x v="1"/>
    <n v="46378"/>
    <s v="805017506"/>
    <s v="CUTI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7506"/>
    <s v="CUTI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5"/>
    <x v="5"/>
    <x v="1"/>
    <x v="1"/>
    <n v="46380"/>
    <s v="800048954"/>
    <s v="CLINICA VERSALLE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7"/>
    <x v="0"/>
    <x v="0"/>
    <x v="5"/>
    <x v="5"/>
    <x v="1"/>
    <x v="1"/>
    <n v="46399"/>
    <s v="1509246"/>
    <s v="MORALES SANTACRUZ JESUS ANTONIO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7"/>
    <x v="0"/>
    <x v="0"/>
    <x v="5"/>
    <x v="5"/>
    <x v="1"/>
    <x v="1"/>
    <n v="46402"/>
    <s v="800054863"/>
    <s v="HEMISFERIO TOURS Y CIA LT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987"/>
    <n v="0"/>
    <n v="10987"/>
    <x v="0"/>
    <x v="0"/>
    <x v="0"/>
    <n v="10987"/>
    <n v="0"/>
    <n v="10987"/>
    <x v="0"/>
    <x v="0"/>
    <x v="0"/>
    <n v="10987"/>
    <n v="0"/>
    <n v="10987"/>
    <x v="0"/>
    <x v="0"/>
    <x v="0"/>
    <x v="0"/>
    <x v="0"/>
  </r>
  <r>
    <x v="7"/>
    <x v="0"/>
    <x v="0"/>
    <x v="5"/>
    <x v="5"/>
    <x v="1"/>
    <x v="1"/>
    <n v="46407"/>
    <s v="805009741"/>
    <s v="COOMEVA MEDICINA PREPAGADA S.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766,479,722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579"/>
    <s v="800203877"/>
    <s v="INSTITUTO GASTROCLINICO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203877"/>
    <s v="INSTITUTO GASTROCLINI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24_x000d__x000a_SE APLICA DCTO POR PRONTO PAGO POR $41.478"/>
    <n v="41478"/>
    <n v="0"/>
    <n v="41478"/>
    <x v="0"/>
    <x v="0"/>
    <x v="0"/>
    <n v="41478"/>
    <n v="0"/>
    <n v="41478"/>
    <x v="0"/>
    <x v="0"/>
    <x v="0"/>
    <n v="41478"/>
    <n v="0"/>
    <n v="41478"/>
    <x v="0"/>
    <x v="0"/>
    <x v="0"/>
    <x v="0"/>
    <x v="0"/>
  </r>
  <r>
    <x v="7"/>
    <x v="0"/>
    <x v="0"/>
    <x v="5"/>
    <x v="5"/>
    <x v="1"/>
    <x v="1"/>
    <n v="46480"/>
    <s v="900203566"/>
    <s v="ABASTECEMOS  DE OCCIDENTE S.A."/>
    <s v="201904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7"/>
    <x v="0"/>
    <x v="0"/>
    <x v="5"/>
    <x v="5"/>
    <x v="9"/>
    <x v="9"/>
    <n v="1276"/>
    <s v="890304049"/>
    <s v="ARQUIDIOCESIS DE CALI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PAGO AÑO ANTICIPADO, 9% OK, $214.590"/>
    <n v="214590"/>
    <n v="0"/>
    <n v="214590"/>
    <x v="0"/>
    <x v="0"/>
    <x v="0"/>
    <n v="214590"/>
    <n v="0"/>
    <n v="214590"/>
    <x v="0"/>
    <x v="0"/>
    <x v="0"/>
    <n v="214590"/>
    <n v="0"/>
    <n v="214590"/>
    <x v="0"/>
    <x v="0"/>
    <x v="0"/>
    <x v="0"/>
    <x v="0"/>
  </r>
  <r>
    <x v="7"/>
    <x v="0"/>
    <x v="0"/>
    <x v="5"/>
    <x v="5"/>
    <x v="1"/>
    <x v="1"/>
    <n v="46526"/>
    <s v="31933117"/>
    <s v="ARANGO ARBELAEZ MARIA  AUDOLIBIA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33117"/>
    <s v="ARANGO ARBELAEZ MARIA  AUDOLI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6"/>
    <x v="6"/>
    <x v="9"/>
    <x v="9"/>
    <n v="1136"/>
    <s v="890802036"/>
    <s v="HOSPITAL SAN MARCOS CHINCHIN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2036"/>
    <s v="HOSPITAL SAN MARCOS CHINCH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10.360594. DESCUENTO POR ESTAMPILLAS $45.300"/>
    <n v="45300"/>
    <n v="0"/>
    <n v="45300"/>
    <x v="0"/>
    <x v="0"/>
    <x v="0"/>
    <n v="45300"/>
    <n v="0"/>
    <n v="45300"/>
    <x v="0"/>
    <x v="0"/>
    <x v="0"/>
    <n v="45300"/>
    <n v="0"/>
    <n v="45300"/>
    <x v="0"/>
    <x v="0"/>
    <x v="0"/>
    <x v="0"/>
    <x v="0"/>
  </r>
  <r>
    <x v="7"/>
    <x v="0"/>
    <x v="0"/>
    <x v="4"/>
    <x v="4"/>
    <x v="9"/>
    <x v="9"/>
    <n v="232"/>
    <s v="890201280"/>
    <s v="COOPERATIVA DE AHORRO Y CREDITO DE PROFESORE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280"/>
    <s v="COOPERATIVA DE AHORRO Y CREDITO DE PROFESO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0788, FACTURACION ANUAL DE TODOS LOS PUNTOS DE VENTA, EL CLIENTE SE TOMA EL DESCUENTO DEL 9%, VALOR REAL DE LA FACT 26.371.156"/>
    <n v="1994452"/>
    <n v="0"/>
    <n v="1994452"/>
    <x v="0"/>
    <x v="0"/>
    <x v="0"/>
    <n v="1994452"/>
    <n v="0"/>
    <n v="1994452"/>
    <x v="0"/>
    <x v="0"/>
    <x v="0"/>
    <n v="1994452"/>
    <n v="0"/>
    <n v="1994452"/>
    <x v="0"/>
    <x v="0"/>
    <x v="0"/>
    <x v="0"/>
    <x v="0"/>
  </r>
  <r>
    <x v="6"/>
    <x v="0"/>
    <x v="0"/>
    <x v="2"/>
    <x v="2"/>
    <x v="9"/>
    <x v="9"/>
    <n v="1537"/>
    <s v="800058267"/>
    <s v="CENTRO METROPOLITANO PROPIEDAD HORIZONTAL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58267"/>
    <s v="CENTRO METROPOLITANO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DESCUNETO DEL 9 % POR PAGO DE AÑO ANTICIPADO.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6"/>
    <x v="0"/>
    <x v="0"/>
    <x v="1"/>
    <x v="1"/>
    <x v="1"/>
    <x v="1"/>
    <n v="24425"/>
    <s v="32757237"/>
    <s v="MEDINA OLIVEROS FARATH DIVA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370 - FVA-359959"/>
    <n v="9"/>
    <n v="0"/>
    <n v="9"/>
    <x v="0"/>
    <x v="0"/>
    <x v="0"/>
    <n v="9"/>
    <n v="0"/>
    <n v="9"/>
    <x v="0"/>
    <x v="0"/>
    <x v="0"/>
    <n v="9"/>
    <n v="0"/>
    <n v="9"/>
    <x v="0"/>
    <x v="0"/>
    <x v="0"/>
    <x v="0"/>
    <x v="0"/>
  </r>
  <r>
    <x v="6"/>
    <x v="0"/>
    <x v="0"/>
    <x v="2"/>
    <x v="2"/>
    <x v="9"/>
    <x v="9"/>
    <n v="1540"/>
    <s v="900215071"/>
    <s v="BANCO DE LAS MICROFINANZAS - BANCAMIA S.A."/>
    <s v="201905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5071"/>
    <s v="BANCO DE LAS MICROFINANZAS - BANCAM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 Y RTE/ICA $ 34.692"/>
    <n v="214812"/>
    <n v="0"/>
    <n v="214812"/>
    <x v="0"/>
    <x v="0"/>
    <x v="0"/>
    <n v="214812"/>
    <n v="0"/>
    <n v="214812"/>
    <x v="0"/>
    <x v="0"/>
    <x v="0"/>
    <n v="214812"/>
    <n v="0"/>
    <n v="214812"/>
    <x v="0"/>
    <x v="0"/>
    <x v="0"/>
    <x v="0"/>
    <x v="0"/>
  </r>
  <r>
    <x v="6"/>
    <x v="0"/>
    <x v="0"/>
    <x v="5"/>
    <x v="5"/>
    <x v="1"/>
    <x v="1"/>
    <n v="46573"/>
    <s v="817001528"/>
    <s v="PAVCO DE OCCIDENTE SAS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6"/>
    <x v="0"/>
    <x v="0"/>
    <x v="5"/>
    <x v="5"/>
    <x v="1"/>
    <x v="1"/>
    <n v="46613"/>
    <s v="890305224"/>
    <s v="CORPORACION CLUB CAMPESTRE FARALLONES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5224"/>
    <s v="CORPORACION CLUB CAMPESTRE FARALLON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"/>
    <n v="0"/>
    <n v="24"/>
    <x v="0"/>
    <x v="0"/>
    <x v="0"/>
    <n v="24"/>
    <n v="0"/>
    <n v="24"/>
    <x v="0"/>
    <x v="0"/>
    <x v="0"/>
    <n v="24"/>
    <n v="0"/>
    <n v="24"/>
    <x v="0"/>
    <x v="0"/>
    <x v="0"/>
    <x v="0"/>
    <x v="0"/>
  </r>
  <r>
    <x v="6"/>
    <x v="0"/>
    <x v="0"/>
    <x v="1"/>
    <x v="1"/>
    <x v="1"/>
    <x v="1"/>
    <n v="24452"/>
    <s v="802019287"/>
    <s v="ERICH HELLER &amp; CIA EN COMANDITA SIMPLE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9287"/>
    <s v="ERICH HELLER &amp; CIA EN COMANDITA SIMPL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1"/>
    <n v="3114"/>
    <n v="0"/>
    <n v="3114"/>
    <x v="0"/>
    <x v="0"/>
    <x v="0"/>
    <n v="3114"/>
    <n v="0"/>
    <n v="3114"/>
    <x v="0"/>
    <x v="0"/>
    <x v="0"/>
    <n v="3114"/>
    <n v="0"/>
    <n v="3114"/>
    <x v="0"/>
    <x v="0"/>
    <x v="0"/>
    <x v="0"/>
    <x v="0"/>
  </r>
  <r>
    <x v="6"/>
    <x v="0"/>
    <x v="0"/>
    <x v="3"/>
    <x v="3"/>
    <x v="1"/>
    <x v="1"/>
    <n v="37692"/>
    <s v="811015694"/>
    <s v="INVERSIONES QUINTERO GARCIA LIMITADA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1_x000d__x000a_SE APLICA DCTO COMERCIAL DEL 4.5%"/>
    <n v="84899"/>
    <n v="0"/>
    <n v="84899"/>
    <x v="0"/>
    <x v="0"/>
    <x v="0"/>
    <n v="84899"/>
    <n v="0"/>
    <n v="84899"/>
    <x v="0"/>
    <x v="0"/>
    <x v="0"/>
    <n v="84899"/>
    <n v="0"/>
    <n v="84899"/>
    <x v="0"/>
    <x v="0"/>
    <x v="0"/>
    <x v="0"/>
    <x v="0"/>
  </r>
  <r>
    <x v="6"/>
    <x v="0"/>
    <x v="0"/>
    <x v="5"/>
    <x v="5"/>
    <x v="1"/>
    <x v="1"/>
    <n v="46641"/>
    <s v="1509246"/>
    <s v="MORALES SANTACRUZ JESUS ANTONIO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23"/>
    <n v="0"/>
    <n v="2123"/>
    <x v="0"/>
    <x v="0"/>
    <x v="0"/>
    <n v="2123"/>
    <n v="0"/>
    <n v="2123"/>
    <x v="0"/>
    <x v="0"/>
    <x v="0"/>
    <n v="2123"/>
    <n v="0"/>
    <n v="2123"/>
    <x v="0"/>
    <x v="0"/>
    <x v="0"/>
    <x v="0"/>
    <x v="0"/>
  </r>
  <r>
    <x v="6"/>
    <x v="0"/>
    <x v="0"/>
    <x v="5"/>
    <x v="5"/>
    <x v="1"/>
    <x v="1"/>
    <n v="46642"/>
    <s v="890318490"/>
    <s v="FERRETERIA TUBERIAS S.A.S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6"/>
    <x v="0"/>
    <x v="0"/>
    <x v="5"/>
    <x v="5"/>
    <x v="1"/>
    <x v="1"/>
    <n v="46643"/>
    <s v="42087065"/>
    <s v="RUEDA OCAMPO CLAUDIA PATRICIA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6"/>
    <x v="0"/>
    <x v="0"/>
    <x v="1"/>
    <x v="1"/>
    <x v="1"/>
    <x v="1"/>
    <n v="24470"/>
    <s v="890107487"/>
    <s v="SUPERTIENDAS Y DROGUERIAS OLIMPIC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ENVIADA POR EL CLIENTE"/>
    <n v="23"/>
    <n v="0"/>
    <n v="23"/>
    <x v="0"/>
    <x v="0"/>
    <x v="0"/>
    <n v="23"/>
    <n v="0"/>
    <n v="23"/>
    <x v="0"/>
    <x v="0"/>
    <x v="0"/>
    <n v="23"/>
    <n v="0"/>
    <n v="23"/>
    <x v="0"/>
    <x v="0"/>
    <x v="0"/>
    <x v="0"/>
    <x v="0"/>
  </r>
  <r>
    <x v="6"/>
    <x v="0"/>
    <x v="0"/>
    <x v="2"/>
    <x v="2"/>
    <x v="9"/>
    <x v="9"/>
    <n v="1546"/>
    <s v="860049609"/>
    <s v="MILSEN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175.635"/>
    <n v="175635"/>
    <n v="0"/>
    <n v="175635"/>
    <x v="0"/>
    <x v="0"/>
    <x v="0"/>
    <n v="175635"/>
    <n v="0"/>
    <n v="175635"/>
    <x v="0"/>
    <x v="0"/>
    <x v="0"/>
    <n v="175635"/>
    <n v="0"/>
    <n v="175635"/>
    <x v="0"/>
    <x v="0"/>
    <x v="0"/>
    <x v="0"/>
    <x v="0"/>
  </r>
  <r>
    <x v="6"/>
    <x v="0"/>
    <x v="0"/>
    <x v="2"/>
    <x v="2"/>
    <x v="9"/>
    <x v="9"/>
    <n v="1547"/>
    <s v="860510431"/>
    <s v="ALVARO VELEZ Y CIA S.A.S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RONTO PAGO TRIMESTRAL 2.25% $8.34,  RTE ICA $5.118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6"/>
    <x v="0"/>
    <x v="0"/>
    <x v="2"/>
    <x v="2"/>
    <x v="9"/>
    <x v="9"/>
    <n v="1548"/>
    <s v="860000189"/>
    <s v="CARCO S.A."/>
    <s v="201905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0189"/>
    <s v="CAR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NO APLICA EL DESCUENTO Y ESTA SOLICITANDO EL REINTEGRO."/>
    <n v="150050"/>
    <n v="0"/>
    <n v="150050"/>
    <x v="0"/>
    <x v="0"/>
    <x v="0"/>
    <n v="150050"/>
    <n v="0"/>
    <n v="150050"/>
    <x v="0"/>
    <x v="0"/>
    <x v="0"/>
    <n v="150050"/>
    <n v="0"/>
    <n v="150050"/>
    <x v="0"/>
    <x v="0"/>
    <x v="0"/>
    <x v="0"/>
    <x v="0"/>
  </r>
  <r>
    <x v="6"/>
    <x v="0"/>
    <x v="0"/>
    <x v="0"/>
    <x v="0"/>
    <x v="1"/>
    <x v="1"/>
    <n v="2393"/>
    <s v="43185725"/>
    <s v="SALAZAR ARISTIZABAL SULAY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43185725"/>
    <s v="SALAZAR ARISTIZABAL SUL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1898"/>
    <n v="0"/>
    <n v="1898"/>
    <x v="0"/>
    <x v="0"/>
    <x v="0"/>
    <n v="1898"/>
    <n v="0"/>
    <n v="1898"/>
    <x v="0"/>
    <x v="0"/>
    <x v="0"/>
    <n v="1898"/>
    <n v="0"/>
    <n v="1898"/>
    <x v="0"/>
    <x v="0"/>
    <x v="0"/>
    <x v="0"/>
    <x v="0"/>
  </r>
  <r>
    <x v="6"/>
    <x v="0"/>
    <x v="0"/>
    <x v="6"/>
    <x v="6"/>
    <x v="9"/>
    <x v="9"/>
    <n v="1138"/>
    <s v="800178245"/>
    <s v="COOPERATIVA  DE PROMOCION SOCIAL COOPSOCIAL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178245"/>
    <s v="COOPERATIVA  DE PROMOCION SOCIAL COOPSOCI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38 DESCUENTO POR VALOR DE $109.242 POR PAGO ANUAL ANTICIPADO"/>
    <n v="109242"/>
    <n v="0"/>
    <n v="109242"/>
    <x v="0"/>
    <x v="0"/>
    <x v="0"/>
    <n v="109242"/>
    <n v="0"/>
    <n v="109242"/>
    <x v="0"/>
    <x v="0"/>
    <x v="0"/>
    <n v="109242"/>
    <n v="0"/>
    <n v="109242"/>
    <x v="0"/>
    <x v="0"/>
    <x v="0"/>
    <x v="0"/>
    <x v="0"/>
  </r>
  <r>
    <x v="6"/>
    <x v="0"/>
    <x v="0"/>
    <x v="5"/>
    <x v="5"/>
    <x v="1"/>
    <x v="1"/>
    <n v="46787"/>
    <s v="805009741"/>
    <s v="COOMEVA MEDICINA PREPAGADA S.A."/>
    <s v="201905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828"/>
    <s v="650187917"/>
    <s v="FREI  HEINRICH ERNEST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2"/>
    <x v="0"/>
    <x v="0"/>
    <x v="1"/>
    <x v="1"/>
    <x v="1"/>
    <x v="1"/>
    <n v="24577"/>
    <s v="900061516"/>
    <s v="MUEBLES JAMAR S.A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72 - FV5-773 - FV5-774 - FV5-77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5"/>
    <x v="5"/>
    <x v="1"/>
    <x v="1"/>
    <n v="46885"/>
    <s v="1130643632"/>
    <s v="ZAPATA VILLARIAGA KATERIN"/>
    <s v="201906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54"/>
    <n v="0"/>
    <n v="254"/>
    <x v="0"/>
    <x v="0"/>
    <x v="0"/>
    <n v="254"/>
    <n v="0"/>
    <n v="254"/>
    <x v="0"/>
    <x v="0"/>
    <x v="0"/>
    <n v="254"/>
    <n v="0"/>
    <n v="254"/>
    <x v="0"/>
    <x v="0"/>
    <x v="0"/>
    <x v="0"/>
    <x v="0"/>
  </r>
  <r>
    <x v="0"/>
    <x v="0"/>
    <x v="0"/>
    <x v="0"/>
    <x v="0"/>
    <x v="2"/>
    <x v="2"/>
    <n v="19417"/>
    <s v="860035827"/>
    <s v="BANCO AV VILLAS"/>
    <s v="201901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50833"/>
    <n v="0"/>
    <n v="850833"/>
    <x v="0"/>
    <x v="0"/>
    <x v="0"/>
    <n v="850833"/>
    <n v="0"/>
    <n v="850833"/>
    <x v="0"/>
    <x v="0"/>
    <x v="0"/>
    <n v="850833"/>
    <n v="0"/>
    <n v="850833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3"/>
    <x v="3"/>
    <x v="1"/>
    <x v="1"/>
    <n v="37253"/>
    <s v="811003486"/>
    <s v="QUIPUX SAS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7680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5"/>
    <x v="0"/>
    <x v="0"/>
    <x v="1"/>
    <x v="1"/>
    <x v="1"/>
    <x v="1"/>
    <n v="24269"/>
    <s v="900494780"/>
    <s v="DISEÑARTE S.D.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494780"/>
    <s v="DISEÑARTE S.D.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04"/>
    <n v="6"/>
    <n v="0"/>
    <n v="6"/>
    <x v="0"/>
    <x v="0"/>
    <x v="0"/>
    <n v="6"/>
    <n v="0"/>
    <n v="6"/>
    <x v="0"/>
    <x v="0"/>
    <x v="0"/>
    <n v="6"/>
    <n v="0"/>
    <n v="6"/>
    <x v="0"/>
    <x v="0"/>
    <x v="0"/>
    <x v="0"/>
    <x v="0"/>
  </r>
  <r>
    <x v="6"/>
    <x v="0"/>
    <x v="0"/>
    <x v="4"/>
    <x v="4"/>
    <x v="9"/>
    <x v="9"/>
    <n v="235"/>
    <s v="800086042"/>
    <s v="INACAR S.A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2132, DESCTO POR RETE FTE, 22.508, RETE IVA 16.037 Y RETE ICA 5.436"/>
    <n v="5436"/>
    <n v="0"/>
    <n v="5436"/>
    <x v="0"/>
    <x v="0"/>
    <x v="0"/>
    <n v="5436"/>
    <n v="0"/>
    <n v="5436"/>
    <x v="0"/>
    <x v="0"/>
    <x v="0"/>
    <n v="5436"/>
    <n v="0"/>
    <n v="5436"/>
    <x v="0"/>
    <x v="0"/>
    <x v="0"/>
    <x v="0"/>
    <x v="0"/>
  </r>
  <r>
    <x v="1"/>
    <x v="0"/>
    <x v="0"/>
    <x v="4"/>
    <x v="4"/>
    <x v="1"/>
    <x v="1"/>
    <n v="20298"/>
    <s v="804001890"/>
    <s v="UNIVERSIDAD DE SANTANDER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01890"/>
    <s v="UNIVERSIDAD DE SANTAND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7341-357342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6"/>
    <x v="6"/>
    <x v="9"/>
    <x v="9"/>
    <n v="1116"/>
    <s v="891900539"/>
    <s v="CAMARA DE COMERCIO DE CARTAGO"/>
    <s v="201903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900539"/>
    <s v="CAMARA DE COMERCIO DE CARTAG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597 DESCUENTO DEL 9 %POR PAGO ANUAL ANTICIPADO  $1899.840"/>
    <n v="1899840"/>
    <n v="0"/>
    <n v="1899840"/>
    <x v="0"/>
    <x v="0"/>
    <x v="0"/>
    <n v="1899840"/>
    <n v="0"/>
    <n v="1899840"/>
    <x v="0"/>
    <x v="0"/>
    <x v="0"/>
    <n v="1899840"/>
    <n v="0"/>
    <n v="1899840"/>
    <x v="0"/>
    <x v="0"/>
    <x v="0"/>
    <x v="0"/>
    <x v="0"/>
  </r>
  <r>
    <x v="5"/>
    <x v="0"/>
    <x v="0"/>
    <x v="1"/>
    <x v="1"/>
    <x v="1"/>
    <x v="1"/>
    <n v="24156"/>
    <s v="900054062"/>
    <s v="EDIFICIO MEGA CENTRO COMERCIAL Y DE SERVICIOS BUENAVISTA SANTA MART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4062"/>
    <s v="EDIFICIO MEGA CENTRO COMERCIAL Y DE SERVICIOS BUENAVISTA SANTA MAR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90"/>
    <n v="30"/>
    <n v="0"/>
    <n v="30"/>
    <x v="0"/>
    <x v="0"/>
    <x v="0"/>
    <n v="30"/>
    <n v="0"/>
    <n v="30"/>
    <x v="0"/>
    <x v="0"/>
    <x v="0"/>
    <n v="30"/>
    <n v="0"/>
    <n v="30"/>
    <x v="0"/>
    <x v="0"/>
    <x v="0"/>
    <x v="0"/>
    <x v="0"/>
  </r>
  <r>
    <x v="5"/>
    <x v="0"/>
    <x v="0"/>
    <x v="6"/>
    <x v="6"/>
    <x v="9"/>
    <x v="9"/>
    <n v="1121"/>
    <s v="891411381"/>
    <s v="LAB.CLINICO PATOLOGICO LOPEZ CORREA S.A.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1381"/>
    <s v="LAB.CLINICO PATOLOGICO LOPEZ CORR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358838 DESCUENTO DEL 9 % POR  PAGO ANTICIPADO  POR VALOR DE 139.114"/>
    <n v="139114"/>
    <n v="0"/>
    <n v="139114"/>
    <x v="0"/>
    <x v="0"/>
    <x v="0"/>
    <n v="139114"/>
    <n v="0"/>
    <n v="139114"/>
    <x v="0"/>
    <x v="0"/>
    <x v="0"/>
    <n v="139114"/>
    <n v="0"/>
    <n v="139114"/>
    <x v="0"/>
    <x v="0"/>
    <x v="0"/>
    <x v="0"/>
    <x v="0"/>
  </r>
  <r>
    <x v="5"/>
    <x v="0"/>
    <x v="0"/>
    <x v="6"/>
    <x v="6"/>
    <x v="9"/>
    <x v="9"/>
    <n v="1120"/>
    <s v="800021913"/>
    <s v="G.GRAJALES AUTOSERVICIO S.A.S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8828 DESCUENTO DE 9% POR PAGO ANTICIPADO DE $ 105.532"/>
    <n v="105532"/>
    <n v="0"/>
    <n v="105532"/>
    <x v="0"/>
    <x v="0"/>
    <x v="0"/>
    <n v="105532"/>
    <n v="0"/>
    <n v="105532"/>
    <x v="0"/>
    <x v="0"/>
    <x v="0"/>
    <n v="105532"/>
    <n v="0"/>
    <n v="105532"/>
    <x v="0"/>
    <x v="0"/>
    <x v="0"/>
    <x v="0"/>
    <x v="0"/>
  </r>
  <r>
    <x v="5"/>
    <x v="0"/>
    <x v="0"/>
    <x v="3"/>
    <x v="3"/>
    <x v="1"/>
    <x v="1"/>
    <n v="37408"/>
    <s v="800017259"/>
    <s v="PASAJE COMERCIAL EL BOULEVARD DE JUNIN P-H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9706 DCTO PRONT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7"/>
    <x v="0"/>
    <x v="0"/>
    <x v="5"/>
    <x v="5"/>
    <x v="1"/>
    <x v="1"/>
    <n v="46374"/>
    <s v="860046201"/>
    <s v="FORTOX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932.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7"/>
    <x v="0"/>
    <x v="0"/>
    <x v="3"/>
    <x v="3"/>
    <x v="1"/>
    <x v="1"/>
    <n v="37543"/>
    <s v="800010866"/>
    <s v="EXPERTOS SEGURIDAD LTD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0866"/>
    <s v="EXPERTOS SEGURIDAD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719"/>
    <n v="10419"/>
    <n v="0"/>
    <n v="10419"/>
    <x v="0"/>
    <x v="0"/>
    <x v="0"/>
    <n v="10419"/>
    <n v="0"/>
    <n v="10419"/>
    <x v="0"/>
    <x v="0"/>
    <x v="0"/>
    <n v="10419"/>
    <n v="0"/>
    <n v="10419"/>
    <x v="0"/>
    <x v="0"/>
    <x v="0"/>
    <x v="0"/>
    <x v="0"/>
  </r>
  <r>
    <x v="7"/>
    <x v="0"/>
    <x v="0"/>
    <x v="3"/>
    <x v="3"/>
    <x v="1"/>
    <x v="1"/>
    <n v="37589"/>
    <s v="811013715"/>
    <s v="LINEA ADHESIVA S.A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4_x000d__x000a_APLICA DCTO PRONTO PAGO DEL 2.25%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6"/>
    <x v="0"/>
    <x v="0"/>
    <x v="1"/>
    <x v="1"/>
    <x v="1"/>
    <x v="1"/>
    <n v="24445"/>
    <s v="806012958"/>
    <s v="IPS SALUD DEL CARIBE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64 - FVA-360977 - FVA-360983 - FVA-360987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6"/>
    <x v="0"/>
    <x v="0"/>
    <x v="1"/>
    <x v="1"/>
    <x v="1"/>
    <x v="1"/>
    <n v="24450"/>
    <s v="900061516"/>
    <s v="MUEBLES JAMAR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5"/>
    <x v="5"/>
    <x v="1"/>
    <x v="1"/>
    <n v="46817"/>
    <s v="1130643632"/>
    <s v="ZAPATA VILLARIAGA KATERIN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"/>
    <n v="0"/>
    <n v="54"/>
    <x v="0"/>
    <x v="0"/>
    <x v="0"/>
    <n v="54"/>
    <n v="0"/>
    <n v="54"/>
    <x v="0"/>
    <x v="0"/>
    <x v="0"/>
    <n v="54"/>
    <n v="0"/>
    <n v="54"/>
    <x v="0"/>
    <x v="0"/>
    <x v="0"/>
    <x v="0"/>
    <x v="0"/>
  </r>
  <r>
    <x v="2"/>
    <x v="0"/>
    <x v="0"/>
    <x v="5"/>
    <x v="5"/>
    <x v="9"/>
    <x v="9"/>
    <n v="1308"/>
    <s v="800074047"/>
    <s v="REPUESTOS CALI S.A.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9% $155.520 OK."/>
    <n v="155520"/>
    <n v="0"/>
    <n v="155520"/>
    <x v="0"/>
    <x v="0"/>
    <x v="0"/>
    <n v="155520"/>
    <n v="0"/>
    <n v="155520"/>
    <x v="0"/>
    <x v="0"/>
    <x v="0"/>
    <n v="155520"/>
    <n v="0"/>
    <n v="155520"/>
    <x v="0"/>
    <x v="0"/>
    <x v="0"/>
    <x v="0"/>
    <x v="0"/>
  </r>
  <r>
    <x v="2"/>
    <x v="0"/>
    <x v="0"/>
    <x v="3"/>
    <x v="3"/>
    <x v="9"/>
    <x v="9"/>
    <n v="1157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3_x000d__x000a_DCTO ANUAL ANTICIPADO 9%"/>
    <n v="186853"/>
    <n v="0"/>
    <n v="186853"/>
    <x v="0"/>
    <x v="0"/>
    <x v="0"/>
    <n v="186853"/>
    <n v="0"/>
    <n v="186853"/>
    <x v="0"/>
    <x v="0"/>
    <x v="0"/>
    <n v="186853"/>
    <n v="0"/>
    <n v="186853"/>
    <x v="0"/>
    <x v="0"/>
    <x v="0"/>
    <x v="0"/>
    <x v="0"/>
  </r>
  <r>
    <x v="2"/>
    <x v="0"/>
    <x v="0"/>
    <x v="3"/>
    <x v="3"/>
    <x v="9"/>
    <x v="9"/>
    <n v="1158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2_x000d__x000a_DCTO CCIAL ANUAL ANTICIPADO 9%"/>
    <n v="104507"/>
    <n v="0"/>
    <n v="104507"/>
    <x v="0"/>
    <x v="0"/>
    <x v="0"/>
    <n v="104507"/>
    <n v="0"/>
    <n v="104507"/>
    <x v="0"/>
    <x v="0"/>
    <x v="0"/>
    <n v="104507"/>
    <n v="0"/>
    <n v="104507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8378"/>
    <n v="0"/>
    <n v="318378"/>
    <x v="0"/>
    <x v="0"/>
    <x v="0"/>
    <n v="318378"/>
    <n v="0"/>
    <n v="318378"/>
    <x v="0"/>
    <x v="0"/>
    <x v="0"/>
    <n v="318378"/>
    <n v="0"/>
    <n v="318378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2295"/>
    <n v="0"/>
    <n v="52295"/>
    <x v="0"/>
    <x v="0"/>
    <x v="0"/>
    <n v="52295"/>
    <n v="0"/>
    <n v="52295"/>
    <x v="0"/>
    <x v="0"/>
    <x v="0"/>
    <n v="52295"/>
    <n v="0"/>
    <n v="5229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Dispersion Nomina"/>
    <n v="1963.15"/>
    <n v="0"/>
    <n v="1963.15"/>
    <x v="0"/>
    <x v="0"/>
    <x v="0"/>
    <n v="1963.15"/>
    <n v="0"/>
    <n v="1963.15"/>
    <x v="0"/>
    <x v="0"/>
    <x v="0"/>
    <n v="1963.15"/>
    <n v="0"/>
    <n v="1963.1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436"/>
    <n v="0"/>
    <n v="3436"/>
    <x v="0"/>
    <x v="0"/>
    <x v="0"/>
    <n v="3436"/>
    <n v="0"/>
    <n v="3436"/>
    <x v="0"/>
    <x v="0"/>
    <x v="0"/>
    <n v="3436"/>
    <n v="0"/>
    <n v="3436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2"/>
    <x v="2"/>
    <n v="19574"/>
    <s v="440100003729"/>
    <s v="TOTALCHOICE HOSTING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100003729"/>
    <s v="TOTALCHOICE HOS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OAGO DE TARJETA DE CREDITO 2581"/>
    <n v="47229.36"/>
    <n v="0"/>
    <n v="47229.36"/>
    <x v="0"/>
    <x v="0"/>
    <x v="0"/>
    <n v="47229.36"/>
    <n v="0"/>
    <n v="47229.36"/>
    <x v="0"/>
    <x v="0"/>
    <x v="0"/>
    <n v="47229.36"/>
    <n v="0"/>
    <n v="47229.36"/>
    <x v="0"/>
    <x v="0"/>
    <x v="0"/>
    <x v="0"/>
    <x v="0"/>
  </r>
  <r>
    <x v="0"/>
    <x v="0"/>
    <x v="0"/>
    <x v="0"/>
    <x v="0"/>
    <x v="2"/>
    <x v="2"/>
    <n v="19575"/>
    <s v="890916575"/>
    <s v="DISTRIBUIDORA DE VINOS Y LICORES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16575"/>
    <s v="DISTRIBUIDORA DE VINOS Y LIC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3015  BANCOLOMBIA"/>
    <n v="17019.810000000001"/>
    <n v="0"/>
    <n v="17019.810000000001"/>
    <x v="0"/>
    <x v="0"/>
    <x v="0"/>
    <n v="17019.810000000001"/>
    <n v="0"/>
    <n v="17019.810000000001"/>
    <x v="0"/>
    <x v="0"/>
    <x v="0"/>
    <n v="17019.810000000001"/>
    <n v="0"/>
    <n v="17019.81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3732.32"/>
    <n v="0"/>
    <n v="13732.32"/>
    <x v="0"/>
    <x v="0"/>
    <x v="0"/>
    <n v="13732.32"/>
    <n v="0"/>
    <n v="13732.32"/>
    <x v="0"/>
    <x v="0"/>
    <x v="0"/>
    <n v="13732.32"/>
    <n v="0"/>
    <n v="13732.3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5741.5"/>
    <n v="0"/>
    <n v="25741.5"/>
    <x v="0"/>
    <x v="0"/>
    <x v="0"/>
    <n v="25741.5"/>
    <n v="0"/>
    <n v="25741.5"/>
    <x v="0"/>
    <x v="0"/>
    <x v="0"/>
    <n v="25741.5"/>
    <n v="0"/>
    <n v="25741.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5"/>
    <x v="5"/>
    <x v="9"/>
    <x v="9"/>
    <n v="1265"/>
    <s v="805011901"/>
    <s v="LASKIN S.A.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82.299"/>
    <n v="82299"/>
    <n v="0"/>
    <n v="82299"/>
    <x v="0"/>
    <x v="0"/>
    <x v="0"/>
    <n v="82299"/>
    <n v="0"/>
    <n v="82299"/>
    <x v="0"/>
    <x v="0"/>
    <x v="0"/>
    <n v="82299"/>
    <n v="0"/>
    <n v="82299"/>
    <x v="0"/>
    <x v="0"/>
    <x v="0"/>
    <x v="0"/>
    <x v="0"/>
  </r>
  <r>
    <x v="5"/>
    <x v="0"/>
    <x v="0"/>
    <x v="5"/>
    <x v="5"/>
    <x v="1"/>
    <x v="1"/>
    <n v="46025"/>
    <s v="805029384"/>
    <s v="BUENAVISTA CONSTRUCTORA Y PROMOTORA S.A.S"/>
    <s v="201903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204"/>
    <n v="0"/>
    <n v="10204"/>
    <x v="0"/>
    <x v="0"/>
    <x v="0"/>
    <n v="10204"/>
    <n v="0"/>
    <n v="10204"/>
    <x v="0"/>
    <x v="0"/>
    <x v="0"/>
    <n v="10204"/>
    <n v="0"/>
    <n v="10204"/>
    <x v="0"/>
    <x v="0"/>
    <x v="0"/>
    <x v="0"/>
    <x v="0"/>
  </r>
  <r>
    <x v="5"/>
    <x v="0"/>
    <x v="0"/>
    <x v="5"/>
    <x v="5"/>
    <x v="1"/>
    <x v="1"/>
    <n v="46069"/>
    <s v="860037900"/>
    <s v="CONSTRUCTORA  BOLIVAR  CALI S.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02"/>
    <n v="0"/>
    <n v="5402"/>
    <x v="0"/>
    <x v="0"/>
    <x v="0"/>
    <n v="5402"/>
    <n v="0"/>
    <n v="5402"/>
    <x v="0"/>
    <x v="0"/>
    <x v="0"/>
    <n v="5402"/>
    <n v="0"/>
    <n v="5402"/>
    <x v="0"/>
    <x v="0"/>
    <x v="0"/>
    <x v="0"/>
    <x v="0"/>
  </r>
  <r>
    <x v="5"/>
    <x v="0"/>
    <x v="0"/>
    <x v="0"/>
    <x v="0"/>
    <x v="0"/>
    <x v="0"/>
    <n v="4289"/>
    <s v="800107179"/>
    <s v="INSTITUTO DEL CORAZON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07179"/>
    <s v="INSTITUTO DEL CORAZON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8987"/>
    <n v="0"/>
    <n v="8987"/>
    <x v="0"/>
    <x v="0"/>
    <x v="0"/>
    <n v="8987"/>
    <n v="0"/>
    <n v="8987"/>
    <x v="0"/>
    <x v="0"/>
    <x v="0"/>
    <n v="8987"/>
    <n v="0"/>
    <n v="8987"/>
    <x v="0"/>
    <x v="0"/>
    <x v="0"/>
    <x v="0"/>
    <x v="0"/>
  </r>
  <r>
    <x v="5"/>
    <x v="0"/>
    <x v="0"/>
    <x v="5"/>
    <x v="5"/>
    <x v="9"/>
    <x v="9"/>
    <n v="1249"/>
    <s v="900115530"/>
    <s v="HUMBERTO QUINTERO O Y CIA S.C.A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15530"/>
    <s v="HUMBERTO QUINTERO O Y CIA S.C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5"/>
    <x v="0"/>
    <x v="0"/>
    <x v="2"/>
    <x v="2"/>
    <x v="9"/>
    <x v="9"/>
    <n v="1512"/>
    <s v="800149453"/>
    <s v="C.P.O  S.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453"/>
    <s v="C.P.O 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1045569"/>
    <n v="0"/>
    <n v="1045569"/>
    <x v="0"/>
    <x v="0"/>
    <x v="0"/>
    <n v="1045569"/>
    <n v="0"/>
    <n v="1045569"/>
    <x v="0"/>
    <x v="0"/>
    <x v="0"/>
    <n v="1045569"/>
    <n v="0"/>
    <n v="1045569"/>
    <x v="0"/>
    <x v="0"/>
    <x v="0"/>
    <x v="0"/>
    <x v="0"/>
  </r>
  <r>
    <x v="7"/>
    <x v="0"/>
    <x v="0"/>
    <x v="5"/>
    <x v="5"/>
    <x v="1"/>
    <x v="1"/>
    <n v="46451"/>
    <s v="890318490"/>
    <s v="FERRETERIA TUBERIAS S.A.S.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136"/>
    <n v="0"/>
    <n v="3136"/>
    <x v="0"/>
    <x v="0"/>
    <x v="0"/>
    <n v="3136"/>
    <n v="0"/>
    <n v="3136"/>
    <x v="0"/>
    <x v="0"/>
    <x v="0"/>
    <n v="3136"/>
    <n v="0"/>
    <n v="3136"/>
    <x v="0"/>
    <x v="0"/>
    <x v="0"/>
    <x v="0"/>
    <x v="0"/>
  </r>
  <r>
    <x v="7"/>
    <x v="0"/>
    <x v="0"/>
    <x v="5"/>
    <x v="5"/>
    <x v="1"/>
    <x v="1"/>
    <n v="46452"/>
    <s v="900825179"/>
    <s v="ELIZABETH TRULLAS  CIA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7"/>
    <x v="0"/>
    <x v="0"/>
    <x v="5"/>
    <x v="5"/>
    <x v="1"/>
    <x v="1"/>
    <n v="46453"/>
    <s v="900361602"/>
    <s v="TRACKING SOLUTIONS T.S.O SA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602"/>
    <s v="TRACKING SOLUTIONS T.S.O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678"/>
    <n v="0"/>
    <n v="3678"/>
    <x v="0"/>
    <x v="0"/>
    <x v="0"/>
    <n v="3678"/>
    <n v="0"/>
    <n v="3678"/>
    <x v="0"/>
    <x v="0"/>
    <x v="0"/>
    <n v="3678"/>
    <n v="0"/>
    <n v="3678"/>
    <x v="0"/>
    <x v="0"/>
    <x v="0"/>
    <x v="0"/>
    <x v="0"/>
  </r>
  <r>
    <x v="7"/>
    <x v="0"/>
    <x v="0"/>
    <x v="4"/>
    <x v="4"/>
    <x v="9"/>
    <x v="9"/>
    <n v="233"/>
    <s v="900578072"/>
    <s v="CENTRO OFTALMOLOGICO VGR S.A.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578072"/>
    <s v="CENTRO OFTALMOLOGICO VGR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0625.  DESCUENTO PRONTO PAGO."/>
    <n v="71569"/>
    <n v="0"/>
    <n v="71569"/>
    <x v="0"/>
    <x v="0"/>
    <x v="0"/>
    <n v="71569"/>
    <n v="0"/>
    <n v="71569"/>
    <x v="0"/>
    <x v="0"/>
    <x v="0"/>
    <n v="71569"/>
    <n v="0"/>
    <n v="71569"/>
    <x v="0"/>
    <x v="0"/>
    <x v="0"/>
    <x v="0"/>
    <x v="0"/>
  </r>
  <r>
    <x v="6"/>
    <x v="0"/>
    <x v="0"/>
    <x v="5"/>
    <x v="5"/>
    <x v="1"/>
    <x v="1"/>
    <n v="46590"/>
    <s v="890327282"/>
    <s v="AUTOPACIFICO S.A.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27282"/>
    <s v="AUTOPACIFI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0.8"/>
    <n v="0"/>
    <n v="0.8"/>
    <x v="0"/>
    <x v="0"/>
    <x v="0"/>
    <n v="0.8"/>
    <n v="0"/>
    <n v="0.8"/>
    <x v="0"/>
    <x v="0"/>
    <x v="0"/>
    <n v="0.8"/>
    <n v="0"/>
    <n v="0.8"/>
    <x v="0"/>
    <x v="0"/>
    <x v="0"/>
    <x v="0"/>
    <x v="0"/>
  </r>
  <r>
    <x v="2"/>
    <x v="0"/>
    <x v="0"/>
    <x v="1"/>
    <x v="1"/>
    <x v="1"/>
    <x v="1"/>
    <n v="24562"/>
    <s v="802010909"/>
    <s v="INVERSIONES WONGFOEN S.A."/>
    <s v="201906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08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2"/>
    <x v="2"/>
    <x v="9"/>
    <x v="9"/>
    <n v="1486"/>
    <s v="800212060"/>
    <s v="PARQUE COMERCIAL LA COLINA 138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SL 9% $185.282"/>
    <n v="185282"/>
    <n v="0"/>
    <n v="185282"/>
    <x v="0"/>
    <x v="0"/>
    <x v="0"/>
    <n v="185282"/>
    <n v="0"/>
    <n v="185282"/>
    <x v="0"/>
    <x v="0"/>
    <x v="0"/>
    <n v="185282"/>
    <n v="0"/>
    <n v="185282"/>
    <x v="0"/>
    <x v="0"/>
    <x v="0"/>
    <x v="0"/>
    <x v="0"/>
  </r>
  <r>
    <x v="5"/>
    <x v="0"/>
    <x v="0"/>
    <x v="5"/>
    <x v="5"/>
    <x v="9"/>
    <x v="9"/>
    <n v="1264"/>
    <s v="860006744"/>
    <s v="COMUNIDAD DE HERMANOS MARISTAS DE LA ENSEÑANZ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06744"/>
    <s v="COMUNIDAD DE HERMANOS MARISTAS DE LA ENSEÑANZ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109.473"/>
    <n v="109473"/>
    <n v="0"/>
    <n v="109473"/>
    <x v="0"/>
    <x v="0"/>
    <x v="0"/>
    <n v="109473"/>
    <n v="0"/>
    <n v="109473"/>
    <x v="0"/>
    <x v="0"/>
    <x v="0"/>
    <n v="109473"/>
    <n v="0"/>
    <n v="109473"/>
    <x v="0"/>
    <x v="0"/>
    <x v="0"/>
    <x v="0"/>
    <x v="0"/>
  </r>
  <r>
    <x v="6"/>
    <x v="0"/>
    <x v="0"/>
    <x v="2"/>
    <x v="2"/>
    <x v="1"/>
    <x v="1"/>
    <n v="62931"/>
    <s v="860521035"/>
    <s v="ACRECER TEMPORAL S.A.S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1779.6"/>
    <n v="0"/>
    <n v="61779.6"/>
    <x v="0"/>
    <x v="0"/>
    <x v="0"/>
    <n v="61779.6"/>
    <n v="0"/>
    <n v="61779.6"/>
    <x v="0"/>
    <x v="0"/>
    <x v="0"/>
    <n v="61779.6"/>
    <n v="0"/>
    <n v="6177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50800"/>
    <n v="0"/>
    <n v="50800"/>
    <x v="0"/>
    <x v="0"/>
    <x v="0"/>
    <n v="50800"/>
    <n v="0"/>
    <n v="50800"/>
    <x v="0"/>
    <x v="0"/>
    <x v="0"/>
    <n v="50800"/>
    <n v="0"/>
    <n v="508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3"/>
    <x v="3"/>
    <x v="1"/>
    <x v="1"/>
    <n v="37430"/>
    <s v="811034107"/>
    <s v="GRANOS Y CEREALES DEL CAMPO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34107"/>
    <s v="GRANOS Y CEREALES DEL CAMP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40 CLIENTE CANCELA CON EL 25% DCTO DESDE EL AÑO /92"/>
    <n v="508800"/>
    <n v="0"/>
    <n v="508800"/>
    <x v="0"/>
    <x v="0"/>
    <x v="0"/>
    <n v="508800"/>
    <n v="0"/>
    <n v="508800"/>
    <x v="0"/>
    <x v="0"/>
    <x v="0"/>
    <n v="508800"/>
    <n v="0"/>
    <n v="508800"/>
    <x v="0"/>
    <x v="0"/>
    <x v="0"/>
    <x v="0"/>
    <x v="0"/>
  </r>
  <r>
    <x v="6"/>
    <x v="0"/>
    <x v="0"/>
    <x v="1"/>
    <x v="1"/>
    <x v="1"/>
    <x v="1"/>
    <n v="24552"/>
    <s v="32757237"/>
    <s v="MEDINA OLIVEROS FARATH DIVA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3587.63"/>
    <n v="0"/>
    <n v="23587.63"/>
    <x v="0"/>
    <x v="0"/>
    <x v="0"/>
    <n v="0"/>
    <n v="0"/>
    <n v="0"/>
    <x v="0"/>
    <x v="0"/>
    <x v="0"/>
    <n v="23587.63"/>
    <n v="0"/>
    <n v="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3587.63"/>
    <n v="-23587.63"/>
    <x v="0"/>
    <x v="0"/>
    <x v="0"/>
    <n v="0"/>
    <n v="0"/>
    <n v="0"/>
    <x v="0"/>
    <x v="0"/>
    <x v="0"/>
    <n v="0"/>
    <n v="23587.63"/>
    <n v="-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3588"/>
    <n v="0"/>
    <n v="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3588"/>
    <n v="-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637085.32999999996"/>
    <n v="-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6445.599999999999"/>
    <n v="0"/>
    <n v="16445.599999999999"/>
    <x v="0"/>
    <x v="0"/>
    <x v="0"/>
    <n v="0"/>
    <n v="0"/>
    <n v="0"/>
    <x v="0"/>
    <x v="0"/>
    <x v="0"/>
    <n v="16445.599999999999"/>
    <n v="0"/>
    <n v="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6445.599999999999"/>
    <n v="-16445.599999999999"/>
    <x v="0"/>
    <x v="0"/>
    <x v="0"/>
    <n v="0"/>
    <n v="0"/>
    <n v="0"/>
    <x v="0"/>
    <x v="0"/>
    <x v="0"/>
    <n v="0"/>
    <n v="16445.599999999999"/>
    <n v="-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6446"/>
    <n v="0"/>
    <n v="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6446"/>
    <n v="-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47708.06999999995"/>
    <n v="0"/>
    <n v="547708.07000000007"/>
    <x v="0"/>
    <x v="0"/>
    <x v="0"/>
    <n v="547708.06999999995"/>
    <n v="0"/>
    <n v="547708.07000000007"/>
    <x v="0"/>
    <x v="0"/>
    <x v="0"/>
    <n v="547708.06999999995"/>
    <n v="0"/>
    <n v="547708.0700000000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1906.6"/>
    <n v="0"/>
    <n v="181906.6"/>
    <x v="0"/>
    <x v="0"/>
    <x v="0"/>
    <n v="181906.6"/>
    <n v="0"/>
    <n v="181906.6"/>
    <x v="0"/>
    <x v="0"/>
    <x v="0"/>
    <n v="181906.6"/>
    <n v="0"/>
    <n v="181906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2"/>
    <x v="2"/>
    <n v="19624"/>
    <s v="860035827"/>
    <s v="BANCO AV VILLAS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40526"/>
    <n v="0"/>
    <n v="840526"/>
    <x v="0"/>
    <x v="0"/>
    <x v="0"/>
    <n v="840526"/>
    <n v="0"/>
    <n v="840526"/>
    <x v="0"/>
    <x v="0"/>
    <x v="0"/>
    <n v="840526"/>
    <n v="0"/>
    <n v="840526"/>
    <x v="0"/>
    <x v="0"/>
    <x v="0"/>
    <x v="0"/>
    <x v="0"/>
  </r>
  <r>
    <x v="1"/>
    <x v="0"/>
    <x v="0"/>
    <x v="0"/>
    <x v="0"/>
    <x v="2"/>
    <x v="2"/>
    <n v="19688"/>
    <s v="890903938"/>
    <s v="BANCOLOMBIA S.A.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PERTURA CREDITO CESANTIAS 12 MESES - DTF + 2.5 TA - PROTECCION"/>
    <n v="285254.18"/>
    <n v="0"/>
    <n v="285254.18"/>
    <x v="0"/>
    <x v="0"/>
    <x v="0"/>
    <n v="285254.18"/>
    <n v="0"/>
    <n v="285254.18"/>
    <x v="0"/>
    <x v="0"/>
    <x v="0"/>
    <n v="285254.18"/>
    <n v="0"/>
    <n v="285254.18"/>
    <x v="0"/>
    <x v="0"/>
    <x v="0"/>
    <x v="0"/>
    <x v="0"/>
  </r>
  <r>
    <x v="1"/>
    <x v="0"/>
    <x v="0"/>
    <x v="0"/>
    <x v="0"/>
    <x v="2"/>
    <x v="2"/>
    <n v="19699"/>
    <s v="860007660"/>
    <s v="HELM BANK S.A."/>
    <s v="201902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6054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1"/>
    <x v="0"/>
    <x v="0"/>
    <x v="0"/>
    <x v="0"/>
    <x v="2"/>
    <x v="2"/>
    <n v="19769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ARIAS - FEB 2019 -"/>
    <n v="3213"/>
    <n v="0"/>
    <n v="3213"/>
    <x v="0"/>
    <x v="0"/>
    <x v="0"/>
    <n v="3213"/>
    <n v="0"/>
    <n v="3213"/>
    <x v="0"/>
    <x v="0"/>
    <x v="0"/>
    <n v="3213"/>
    <n v="0"/>
    <n v="3213"/>
    <x v="0"/>
    <x v="0"/>
    <x v="0"/>
    <x v="0"/>
    <x v="0"/>
  </r>
  <r>
    <x v="1"/>
    <x v="0"/>
    <x v="0"/>
    <x v="0"/>
    <x v="0"/>
    <x v="2"/>
    <x v="2"/>
    <n v="19752"/>
    <s v="440000000330"/>
    <s v="BANCOLOMBIA CAYMAN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DE COMPENSACION  - MES DE FEB 2018 (TRM 3072.01)"/>
    <n v="418837.84"/>
    <n v="0"/>
    <n v="418837.84"/>
    <x v="0"/>
    <x v="0"/>
    <x v="0"/>
    <n v="418837.84"/>
    <n v="0"/>
    <n v="418837.84"/>
    <x v="0"/>
    <x v="0"/>
    <x v="0"/>
    <n v="418837.84"/>
    <n v="0"/>
    <n v="418837.84"/>
    <x v="0"/>
    <x v="0"/>
    <x v="0"/>
    <x v="0"/>
    <x v="0"/>
  </r>
  <r>
    <x v="1"/>
    <x v="0"/>
    <x v="0"/>
    <x v="0"/>
    <x v="0"/>
    <x v="2"/>
    <x v="2"/>
    <n v="19778"/>
    <s v="890300279"/>
    <s v="BANCO DE OCCIDENTE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"/>
    <n v="106674.53"/>
    <n v="0"/>
    <n v="106674.53"/>
    <x v="0"/>
    <x v="0"/>
    <x v="0"/>
    <n v="106674.53"/>
    <n v="0"/>
    <n v="106674.53"/>
    <x v="0"/>
    <x v="0"/>
    <x v="0"/>
    <n v="106674.53"/>
    <n v="0"/>
    <n v="106674.53"/>
    <x v="0"/>
    <x v="0"/>
    <x v="0"/>
    <x v="0"/>
    <x v="0"/>
  </r>
  <r>
    <x v="1"/>
    <x v="0"/>
    <x v="0"/>
    <x v="0"/>
    <x v="0"/>
    <x v="2"/>
    <x v="2"/>
    <n v="19779"/>
    <s v="860002964"/>
    <s v="BANCO DE BOGOT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GAASTOS BANCARIOS FEB 2019"/>
    <n v="85413.88"/>
    <n v="0"/>
    <n v="85413.88"/>
    <x v="0"/>
    <x v="0"/>
    <x v="0"/>
    <n v="85413.88"/>
    <n v="0"/>
    <n v="85413.88"/>
    <x v="0"/>
    <x v="0"/>
    <x v="0"/>
    <n v="85413.88"/>
    <n v="0"/>
    <n v="85413.88"/>
    <x v="0"/>
    <x v="0"/>
    <x v="0"/>
    <x v="0"/>
    <x v="0"/>
  </r>
  <r>
    <x v="1"/>
    <x v="0"/>
    <x v="0"/>
    <x v="0"/>
    <x v="0"/>
    <x v="2"/>
    <x v="2"/>
    <n v="19780"/>
    <s v="900406150"/>
    <s v="BANCO COOMEV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 -  BANCOOMEVA"/>
    <n v="110972.64"/>
    <n v="0"/>
    <n v="110972.64"/>
    <x v="0"/>
    <x v="0"/>
    <x v="0"/>
    <n v="110972.64"/>
    <n v="0"/>
    <n v="110972.64"/>
    <x v="0"/>
    <x v="0"/>
    <x v="0"/>
    <n v="110972.64"/>
    <n v="0"/>
    <n v="110972.6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6631.3"/>
    <n v="0"/>
    <n v="56631.3"/>
    <x v="0"/>
    <x v="0"/>
    <x v="0"/>
    <n v="56631.3"/>
    <n v="0"/>
    <n v="56631.3"/>
    <x v="0"/>
    <x v="0"/>
    <x v="0"/>
    <n v="56631.3"/>
    <n v="0"/>
    <n v="56631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2309.3"/>
    <n v="0"/>
    <n v="22309.3"/>
    <x v="0"/>
    <x v="0"/>
    <x v="0"/>
    <n v="22309.3"/>
    <n v="0"/>
    <n v="22309.3"/>
    <x v="0"/>
    <x v="0"/>
    <x v="0"/>
    <n v="22309.3"/>
    <n v="0"/>
    <n v="22309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6610.12"/>
    <n v="0"/>
    <n v="116610.12"/>
    <x v="0"/>
    <x v="0"/>
    <x v="0"/>
    <n v="116610.12"/>
    <n v="0"/>
    <n v="116610.12"/>
    <x v="0"/>
    <x v="0"/>
    <x v="0"/>
    <n v="116610.12"/>
    <n v="0"/>
    <n v="116610.1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95687"/>
    <n v="0"/>
    <n v="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95687.28"/>
    <n v="0"/>
    <n v="395687.28"/>
    <x v="0"/>
    <x v="0"/>
    <x v="0"/>
    <n v="0"/>
    <n v="0"/>
    <n v="0"/>
    <x v="0"/>
    <x v="0"/>
    <x v="0"/>
    <n v="395687.28"/>
    <n v="0"/>
    <n v="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95687.28"/>
    <n v="-395687.28"/>
    <x v="0"/>
    <x v="0"/>
    <x v="0"/>
    <n v="0"/>
    <n v="0"/>
    <n v="0"/>
    <x v="0"/>
    <x v="0"/>
    <x v="0"/>
    <n v="0"/>
    <n v="395687.28"/>
    <n v="-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95687"/>
    <n v="-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71.47"/>
    <n v="0"/>
    <n v="398671.47000000003"/>
    <x v="0"/>
    <x v="0"/>
    <x v="0"/>
    <n v="0"/>
    <n v="0"/>
    <n v="0"/>
    <x v="0"/>
    <x v="0"/>
    <x v="0"/>
    <n v="398671.47"/>
    <n v="0"/>
    <n v="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71.47"/>
    <n v="-398671.47000000003"/>
    <x v="0"/>
    <x v="0"/>
    <x v="0"/>
    <n v="0"/>
    <n v="0"/>
    <n v="0"/>
    <x v="0"/>
    <x v="0"/>
    <x v="0"/>
    <n v="0"/>
    <n v="398671.47"/>
    <n v="-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71.47"/>
    <n v="0"/>
    <n v="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71.47"/>
    <n v="-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637085.32999999996"/>
    <n v="-637085.32999999996"/>
    <x v="0"/>
    <x v="0"/>
    <x v="0"/>
    <n v="0"/>
    <n v="0"/>
    <n v="0"/>
    <x v="0"/>
    <x v="0"/>
    <x v="0"/>
    <n v="0"/>
    <n v="637085.32999999996"/>
    <n v="-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20066.76"/>
    <n v="-520066.76"/>
    <x v="0"/>
    <x v="0"/>
    <x v="0"/>
    <n v="0"/>
    <n v="0"/>
    <n v="0"/>
    <x v="0"/>
    <x v="0"/>
    <x v="0"/>
    <n v="0"/>
    <n v="520066.76"/>
    <n v="-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20066.76"/>
    <n v="0"/>
    <n v="520066.76"/>
    <x v="0"/>
    <x v="0"/>
    <x v="0"/>
    <n v="0"/>
    <n v="0"/>
    <n v="0"/>
    <x v="0"/>
    <x v="0"/>
    <x v="0"/>
    <n v="520066.76"/>
    <n v="0"/>
    <n v="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20067"/>
    <n v="0"/>
    <n v="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20067"/>
    <n v="-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709.740000000005"/>
    <n v="0"/>
    <n v="73709.740000000005"/>
    <x v="0"/>
    <x v="0"/>
    <x v="0"/>
    <n v="0"/>
    <n v="0"/>
    <n v="0"/>
    <x v="0"/>
    <x v="0"/>
    <x v="0"/>
    <n v="73709.740000000005"/>
    <n v="0"/>
    <n v="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709.740000000005"/>
    <n v="-73709.740000000005"/>
    <x v="0"/>
    <x v="0"/>
    <x v="0"/>
    <n v="0"/>
    <n v="0"/>
    <n v="0"/>
    <x v="0"/>
    <x v="0"/>
    <x v="0"/>
    <n v="0"/>
    <n v="73709.740000000005"/>
    <n v="-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710"/>
    <n v="0"/>
    <n v="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710"/>
    <n v="-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05809.96000000002"/>
    <n v="-305809.96000000002"/>
    <x v="0"/>
    <x v="0"/>
    <x v="0"/>
    <n v="0"/>
    <n v="0"/>
    <n v="0"/>
    <x v="0"/>
    <x v="0"/>
    <x v="0"/>
    <n v="0"/>
    <n v="305809.96000000002"/>
    <n v="-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05809.96000000002"/>
    <n v="-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48340.68"/>
    <n v="0"/>
    <n v="48340.68"/>
    <x v="0"/>
    <x v="0"/>
    <x v="0"/>
    <n v="0"/>
    <n v="0"/>
    <n v="0"/>
    <x v="0"/>
    <x v="0"/>
    <x v="0"/>
    <n v="48340.68"/>
    <n v="0"/>
    <n v="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48340.68"/>
    <n v="-48340.68"/>
    <x v="0"/>
    <x v="0"/>
    <x v="0"/>
    <n v="0"/>
    <n v="0"/>
    <n v="0"/>
    <x v="0"/>
    <x v="0"/>
    <x v="0"/>
    <n v="0"/>
    <n v="48340.68"/>
    <n v="-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48340.68"/>
    <n v="0"/>
    <n v="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48340.68"/>
    <n v="-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73287.23"/>
    <n v="-173287.23"/>
    <x v="0"/>
    <x v="0"/>
    <x v="0"/>
    <n v="0"/>
    <n v="0"/>
    <n v="0"/>
    <x v="0"/>
    <x v="0"/>
    <x v="0"/>
    <n v="0"/>
    <n v="173287.23"/>
    <n v="-173287.2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73287.23"/>
    <n v="-173287.2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3180.27"/>
    <n v="-83180.27"/>
    <x v="0"/>
    <x v="0"/>
    <x v="0"/>
    <n v="0"/>
    <n v="0"/>
    <n v="0"/>
    <x v="0"/>
    <x v="0"/>
    <x v="0"/>
    <n v="0"/>
    <n v="83180.27"/>
    <n v="-83180.27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83180.27"/>
    <n v="-83180.2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8644.09"/>
    <n v="-78644.09"/>
    <x v="0"/>
    <x v="0"/>
    <x v="0"/>
    <n v="0"/>
    <n v="0"/>
    <n v="0"/>
    <x v="0"/>
    <x v="0"/>
    <x v="0"/>
    <n v="0"/>
    <n v="78644.09"/>
    <n v="-78644.09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8644.09"/>
    <n v="-78644.09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0"/>
    <n v="84127.34"/>
    <n v="-84127.34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119900"/>
    <n v="0"/>
    <n v="119900"/>
    <x v="0"/>
    <x v="0"/>
    <x v="0"/>
    <n v="0"/>
    <n v="0"/>
    <n v="0"/>
    <x v="0"/>
    <x v="0"/>
    <x v="0"/>
    <n v="119900"/>
    <n v="0"/>
    <n v="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119900"/>
    <n v="-119900"/>
    <x v="0"/>
    <x v="0"/>
    <x v="0"/>
    <n v="0"/>
    <n v="0"/>
    <n v="0"/>
    <x v="0"/>
    <x v="0"/>
    <x v="0"/>
    <n v="0"/>
    <n v="119900"/>
    <n v="-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119900"/>
    <n v="0"/>
    <n v="119900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13106"/>
    <n v="0"/>
    <n v="413106"/>
    <x v="0"/>
    <x v="0"/>
    <x v="0"/>
    <n v="413106"/>
    <n v="0"/>
    <n v="413106"/>
    <x v="0"/>
    <x v="0"/>
    <x v="0"/>
    <n v="413106"/>
    <n v="0"/>
    <n v="41310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2"/>
    <x v="2"/>
    <n v="19839"/>
    <s v="860007660"/>
    <s v="HELM BANK S.A."/>
    <s v="201903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4225"/>
    <n v="90876.67"/>
    <n v="0"/>
    <n v="90876.67"/>
    <x v="0"/>
    <x v="0"/>
    <x v="0"/>
    <n v="90876.67"/>
    <n v="0"/>
    <n v="90876.67"/>
    <x v="0"/>
    <x v="0"/>
    <x v="0"/>
    <n v="90876.67"/>
    <n v="0"/>
    <n v="90876.67"/>
    <x v="0"/>
    <x v="0"/>
    <x v="0"/>
    <x v="0"/>
    <x v="0"/>
  </r>
  <r>
    <x v="5"/>
    <x v="0"/>
    <x v="0"/>
    <x v="0"/>
    <x v="0"/>
    <x v="2"/>
    <x v="2"/>
    <n v="19932"/>
    <s v="890300279"/>
    <s v="BANCO DE OCCIDENTE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 DE MARZO DEL 2019"/>
    <n v="90940"/>
    <n v="0"/>
    <n v="90940"/>
    <x v="0"/>
    <x v="0"/>
    <x v="0"/>
    <n v="90940"/>
    <n v="0"/>
    <n v="90940"/>
    <x v="0"/>
    <x v="0"/>
    <x v="0"/>
    <n v="90940"/>
    <n v="0"/>
    <n v="9094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6100"/>
    <n v="0"/>
    <n v="6100"/>
    <x v="0"/>
    <x v="0"/>
    <x v="0"/>
    <n v="6100"/>
    <n v="0"/>
    <n v="6100"/>
    <x v="0"/>
    <x v="0"/>
    <x v="0"/>
    <n v="6100"/>
    <n v="0"/>
    <n v="61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70129"/>
    <n v="-270129"/>
    <x v="0"/>
    <x v="0"/>
    <x v="0"/>
    <n v="0"/>
    <n v="0"/>
    <n v="0"/>
    <x v="0"/>
    <x v="0"/>
    <x v="0"/>
    <n v="0"/>
    <n v="270129"/>
    <n v="-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70129"/>
    <n v="0"/>
    <n v="270129"/>
    <x v="0"/>
    <x v="0"/>
    <x v="0"/>
    <n v="0"/>
    <n v="0"/>
    <n v="0"/>
    <x v="0"/>
    <x v="0"/>
    <x v="0"/>
    <n v="270129"/>
    <n v="0"/>
    <n v="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70129"/>
    <n v="0"/>
    <n v="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70129"/>
    <n v="-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6810"/>
    <n v="0"/>
    <n v="6810"/>
    <x v="0"/>
    <x v="0"/>
    <x v="0"/>
    <n v="6810"/>
    <n v="0"/>
    <n v="6810"/>
    <x v="0"/>
    <x v="0"/>
    <x v="0"/>
    <n v="6810"/>
    <n v="0"/>
    <n v="681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309400"/>
    <n v="0"/>
    <n v="309400"/>
    <x v="0"/>
    <x v="0"/>
    <x v="0"/>
    <n v="309400"/>
    <n v="0"/>
    <n v="309400"/>
    <x v="0"/>
    <x v="0"/>
    <x v="0"/>
    <n v="309400"/>
    <n v="0"/>
    <n v="309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1"/>
    <n v="0"/>
    <n v="17161"/>
    <x v="0"/>
    <x v="0"/>
    <x v="0"/>
    <n v="17161"/>
    <n v="0"/>
    <n v="17161"/>
    <x v="0"/>
    <x v="0"/>
    <x v="0"/>
    <n v="17161"/>
    <n v="0"/>
    <n v="1716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42902.5"/>
    <n v="0"/>
    <n v="42902.5"/>
    <x v="0"/>
    <x v="0"/>
    <x v="0"/>
    <n v="42902.5"/>
    <n v="0"/>
    <n v="42902.5"/>
    <x v="0"/>
    <x v="0"/>
    <x v="0"/>
    <n v="42902.5"/>
    <n v="0"/>
    <n v="42902.5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2"/>
    <x v="2"/>
    <n v="19958"/>
    <s v="860002964"/>
    <s v="BANCO DE BOGOTA S.A.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LDO DE OBLIGACION 349 CREDITO ROTATIVO"/>
    <n v="52479"/>
    <n v="0"/>
    <n v="52479"/>
    <x v="0"/>
    <x v="0"/>
    <x v="0"/>
    <n v="52479"/>
    <n v="0"/>
    <n v="52479"/>
    <x v="0"/>
    <x v="0"/>
    <x v="0"/>
    <n v="52479"/>
    <n v="0"/>
    <n v="52479"/>
    <x v="0"/>
    <x v="0"/>
    <x v="0"/>
    <x v="0"/>
    <x v="0"/>
  </r>
  <r>
    <x v="7"/>
    <x v="0"/>
    <x v="0"/>
    <x v="0"/>
    <x v="0"/>
    <x v="2"/>
    <x v="2"/>
    <n v="19998"/>
    <s v="900406150"/>
    <s v="BANCO COOMEV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ACARIOS MES DE MARZO DEL 2019"/>
    <n v="116233.28"/>
    <n v="0"/>
    <n v="116233.28"/>
    <x v="0"/>
    <x v="0"/>
    <x v="0"/>
    <n v="116233.28"/>
    <n v="0"/>
    <n v="116233.28"/>
    <x v="0"/>
    <x v="0"/>
    <x v="0"/>
    <n v="116233.28"/>
    <n v="0"/>
    <n v="116233.28"/>
    <x v="0"/>
    <x v="0"/>
    <x v="0"/>
    <x v="0"/>
    <x v="0"/>
  </r>
  <r>
    <x v="7"/>
    <x v="0"/>
    <x v="0"/>
    <x v="0"/>
    <x v="0"/>
    <x v="11"/>
    <x v="11"/>
    <n v="26012"/>
    <s v="1018441067"/>
    <s v="ALONSO GUTIERREZ YINNETH CATALINA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 + GASTOS BANCARIOS"/>
    <n v="8045"/>
    <n v="0"/>
    <n v="8045"/>
    <x v="0"/>
    <x v="0"/>
    <x v="0"/>
    <n v="8045"/>
    <n v="0"/>
    <n v="8045"/>
    <x v="0"/>
    <x v="0"/>
    <x v="0"/>
    <n v="8045"/>
    <n v="0"/>
    <n v="8045"/>
    <x v="0"/>
    <x v="0"/>
    <x v="0"/>
    <x v="0"/>
    <x v="0"/>
  </r>
  <r>
    <x v="7"/>
    <x v="0"/>
    <x v="0"/>
    <x v="0"/>
    <x v="0"/>
    <x v="11"/>
    <x v="11"/>
    <n v="26013"/>
    <s v="1045717933"/>
    <s v="PALMA GUTIERREZ KETTY JANETH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4  + GASTOS BANCARIOS"/>
    <n v="7304"/>
    <n v="0"/>
    <n v="7304"/>
    <x v="0"/>
    <x v="0"/>
    <x v="0"/>
    <n v="7304"/>
    <n v="0"/>
    <n v="7304"/>
    <x v="0"/>
    <x v="0"/>
    <x v="0"/>
    <n v="7304"/>
    <n v="0"/>
    <n v="7304"/>
    <x v="0"/>
    <x v="0"/>
    <x v="0"/>
    <x v="0"/>
    <x v="0"/>
  </r>
  <r>
    <x v="7"/>
    <x v="0"/>
    <x v="0"/>
    <x v="0"/>
    <x v="0"/>
    <x v="11"/>
    <x v="11"/>
    <n v="26015"/>
    <s v="31908098"/>
    <s v="LOPEZ GARCIA MARIA DEL SOCORRO"/>
    <s v="2019040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0 + GASTOS BANCARIOS"/>
    <n v="8384"/>
    <n v="0"/>
    <n v="8384"/>
    <x v="0"/>
    <x v="0"/>
    <x v="0"/>
    <n v="8384"/>
    <n v="0"/>
    <n v="8384"/>
    <x v="0"/>
    <x v="0"/>
    <x v="0"/>
    <n v="8384"/>
    <n v="0"/>
    <n v="8384"/>
    <x v="0"/>
    <x v="0"/>
    <x v="0"/>
    <x v="0"/>
    <x v="0"/>
  </r>
  <r>
    <x v="7"/>
    <x v="0"/>
    <x v="0"/>
    <x v="0"/>
    <x v="0"/>
    <x v="11"/>
    <x v="11"/>
    <n v="26026"/>
    <s v="1098657994"/>
    <s v="HERNANDEZ ROJAS JOHN EDISON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2+ GASTOS BANCARIOS"/>
    <n v="7202"/>
    <n v="0"/>
    <n v="7202"/>
    <x v="0"/>
    <x v="0"/>
    <x v="0"/>
    <n v="7202"/>
    <n v="0"/>
    <n v="7202"/>
    <x v="0"/>
    <x v="0"/>
    <x v="0"/>
    <n v="7202"/>
    <n v="0"/>
    <n v="7202"/>
    <x v="0"/>
    <x v="0"/>
    <x v="0"/>
    <x v="0"/>
    <x v="0"/>
  </r>
  <r>
    <x v="7"/>
    <x v="0"/>
    <x v="0"/>
    <x v="0"/>
    <x v="0"/>
    <x v="11"/>
    <x v="11"/>
    <n v="26027"/>
    <s v="29873536"/>
    <s v="ZUÑIGA CEBALLOS CLAUDIA MARIA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5+ GASTOS BANCARIOS"/>
    <n v="7713"/>
    <n v="0"/>
    <n v="7713"/>
    <x v="0"/>
    <x v="0"/>
    <x v="0"/>
    <n v="7713"/>
    <n v="0"/>
    <n v="7713"/>
    <x v="0"/>
    <x v="0"/>
    <x v="0"/>
    <n v="7713"/>
    <n v="0"/>
    <n v="7713"/>
    <x v="0"/>
    <x v="0"/>
    <x v="0"/>
    <x v="0"/>
    <x v="0"/>
  </r>
  <r>
    <x v="7"/>
    <x v="0"/>
    <x v="0"/>
    <x v="0"/>
    <x v="0"/>
    <x v="2"/>
    <x v="2"/>
    <n v="20001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11940"/>
    <s v="TURISMO MARVAN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12609.8"/>
    <n v="0"/>
    <n v="12609.800000000001"/>
    <x v="0"/>
    <x v="0"/>
    <x v="0"/>
    <n v="12609.8"/>
    <n v="0"/>
    <n v="12609.800000000001"/>
    <x v="0"/>
    <x v="0"/>
    <x v="0"/>
    <n v="12609.8"/>
    <n v="0"/>
    <n v="12609.800000000001"/>
    <x v="0"/>
    <x v="0"/>
    <x v="0"/>
    <x v="0"/>
    <x v="0"/>
  </r>
  <r>
    <x v="7"/>
    <x v="0"/>
    <x v="0"/>
    <x v="0"/>
    <x v="0"/>
    <x v="2"/>
    <x v="2"/>
    <n v="20002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 BANCOLOMBIA"/>
    <n v="2408.8200000000002"/>
    <n v="0"/>
    <n v="2408.8200000000002"/>
    <x v="0"/>
    <x v="0"/>
    <x v="0"/>
    <n v="2408.8200000000002"/>
    <n v="0"/>
    <n v="2408.8200000000002"/>
    <x v="0"/>
    <x v="0"/>
    <x v="0"/>
    <n v="2408.8200000000002"/>
    <n v="0"/>
    <n v="2408.8200000000002"/>
    <x v="0"/>
    <x v="0"/>
    <x v="0"/>
    <x v="0"/>
    <x v="0"/>
  </r>
  <r>
    <x v="7"/>
    <x v="0"/>
    <x v="0"/>
    <x v="0"/>
    <x v="0"/>
    <x v="11"/>
    <x v="11"/>
    <n v="26071"/>
    <s v="1018441067"/>
    <s v="ALONSO GUTIERREZ YINNETH CATALIN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18441067"/>
    <s v="ALONSO GUTIERREZ YINNETH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- GASTOS BANCARIOS"/>
    <n v="11342"/>
    <n v="0"/>
    <n v="11342"/>
    <x v="0"/>
    <x v="0"/>
    <x v="0"/>
    <n v="11342"/>
    <n v="0"/>
    <n v="11342"/>
    <x v="0"/>
    <x v="0"/>
    <x v="0"/>
    <n v="11342"/>
    <n v="0"/>
    <n v="11342"/>
    <x v="0"/>
    <x v="0"/>
    <x v="0"/>
    <x v="0"/>
    <x v="0"/>
  </r>
  <r>
    <x v="7"/>
    <x v="0"/>
    <x v="0"/>
    <x v="0"/>
    <x v="0"/>
    <x v="11"/>
    <x v="11"/>
    <n v="26072"/>
    <s v="1045717933"/>
    <s v="PALMA GUTIERREZ KETTY JANETH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5 + GASTOS BANCARIOS"/>
    <n v="7540"/>
    <n v="0"/>
    <n v="7540"/>
    <x v="0"/>
    <x v="0"/>
    <x v="0"/>
    <n v="7540"/>
    <n v="0"/>
    <n v="7540"/>
    <x v="0"/>
    <x v="0"/>
    <x v="0"/>
    <n v="7540"/>
    <n v="0"/>
    <n v="7540"/>
    <x v="0"/>
    <x v="0"/>
    <x v="0"/>
    <x v="0"/>
    <x v="0"/>
  </r>
  <r>
    <x v="7"/>
    <x v="0"/>
    <x v="0"/>
    <x v="0"/>
    <x v="0"/>
    <x v="11"/>
    <x v="11"/>
    <n v="26073"/>
    <s v="4519543"/>
    <s v="GARCIA CASTAÑO FREDY JHOVANNY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519543"/>
    <s v="GARCIA CASTAÑO FREDY JHOVANN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3 + GASTOS BANCARIOS"/>
    <n v="3364"/>
    <n v="0"/>
    <n v="3364"/>
    <x v="0"/>
    <x v="0"/>
    <x v="0"/>
    <n v="3364"/>
    <n v="0"/>
    <n v="3364"/>
    <x v="0"/>
    <x v="0"/>
    <x v="0"/>
    <n v="3364"/>
    <n v="0"/>
    <n v="3364"/>
    <x v="0"/>
    <x v="0"/>
    <x v="0"/>
    <x v="0"/>
    <x v="0"/>
  </r>
  <r>
    <x v="7"/>
    <x v="0"/>
    <x v="0"/>
    <x v="0"/>
    <x v="0"/>
    <x v="11"/>
    <x v="11"/>
    <n v="26074"/>
    <s v="1036930909"/>
    <s v="ALZATE SANCHEZ NATACH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36930909"/>
    <s v="ALZATE SANCHEZ NATACH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7+ GASTOS BANCARIOS"/>
    <n v="11845"/>
    <n v="0"/>
    <n v="11845"/>
    <x v="0"/>
    <x v="0"/>
    <x v="0"/>
    <n v="11845"/>
    <n v="0"/>
    <n v="11845"/>
    <x v="0"/>
    <x v="0"/>
    <x v="0"/>
    <n v="11845"/>
    <n v="0"/>
    <n v="11845"/>
    <x v="0"/>
    <x v="0"/>
    <x v="0"/>
    <x v="0"/>
    <x v="0"/>
  </r>
  <r>
    <x v="7"/>
    <x v="0"/>
    <x v="0"/>
    <x v="0"/>
    <x v="0"/>
    <x v="11"/>
    <x v="11"/>
    <n v="26163"/>
    <s v="16285567"/>
    <s v="MONTOYA GOMEZ PABLO IGNACI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7-559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11"/>
    <x v="11"/>
    <n v="26164"/>
    <s v="94512729"/>
    <s v="GARCES GONZALEZ JACOB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8+ GASTOS BANCARI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7"/>
    <x v="0"/>
    <x v="0"/>
    <x v="0"/>
    <x v="0"/>
    <x v="11"/>
    <x v="11"/>
    <n v="26165"/>
    <s v="31908098"/>
    <s v="LOPEZ GARCIA MARIA DEL SOCORR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1- GASTOS BANCARIOS"/>
    <n v="8263"/>
    <n v="0"/>
    <n v="8263"/>
    <x v="0"/>
    <x v="0"/>
    <x v="0"/>
    <n v="8263"/>
    <n v="0"/>
    <n v="8263"/>
    <x v="0"/>
    <x v="0"/>
    <x v="0"/>
    <n v="8263"/>
    <n v="0"/>
    <n v="826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11"/>
    <x v="11"/>
    <n v="26011"/>
    <s v="71631400"/>
    <s v="CARRASQUILLA PIZARRO MARCO ANTONIO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29 - MAS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11"/>
    <x v="11"/>
    <n v="26162"/>
    <s v="31572163"/>
    <s v="VALLEJO AGUIRRE ANA MARIA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60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5130"/>
    <n v="0"/>
    <n v="5130"/>
    <x v="0"/>
    <x v="0"/>
    <x v="0"/>
    <n v="5130"/>
    <n v="0"/>
    <n v="5130"/>
    <x v="0"/>
    <x v="0"/>
    <x v="0"/>
    <n v="5130"/>
    <n v="0"/>
    <n v="513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974.7"/>
    <n v="0"/>
    <n v="974.7"/>
    <x v="0"/>
    <x v="0"/>
    <x v="0"/>
    <n v="974.7"/>
    <n v="0"/>
    <n v="974.7"/>
    <x v="0"/>
    <x v="0"/>
    <x v="0"/>
    <n v="974.7"/>
    <n v="0"/>
    <n v="974.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1"/>
    <x v="1"/>
    <x v="1"/>
    <x v="1"/>
    <n v="24619"/>
    <s v="802016306"/>
    <s v="EXPOCONSTRUCCION 43 Y CIA LTD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93 - FVA-364998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2"/>
    <x v="0"/>
    <x v="0"/>
    <x v="1"/>
    <x v="1"/>
    <x v="1"/>
    <x v="1"/>
    <n v="24622"/>
    <s v="1140900157"/>
    <s v="BOZON ALBA VALENTIN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1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1"/>
    <x v="1"/>
    <x v="1"/>
    <x v="1"/>
    <n v="24627"/>
    <s v="890301054"/>
    <s v="TORRECAFE AGUILA ROJA CIA.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301054"/>
    <s v="TORRECAFE AGUILA ROJA CIA.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4"/>
    <n v="92"/>
    <n v="0"/>
    <n v="92"/>
    <x v="0"/>
    <x v="0"/>
    <x v="0"/>
    <n v="92"/>
    <n v="0"/>
    <n v="92"/>
    <x v="0"/>
    <x v="0"/>
    <x v="0"/>
    <n v="92"/>
    <n v="0"/>
    <n v="92"/>
    <x v="0"/>
    <x v="0"/>
    <x v="0"/>
    <x v="0"/>
    <x v="0"/>
  </r>
  <r>
    <x v="2"/>
    <x v="0"/>
    <x v="0"/>
    <x v="1"/>
    <x v="1"/>
    <x v="1"/>
    <x v="1"/>
    <n v="24628"/>
    <s v="802010909"/>
    <s v="INVERSIONES WONGFOEN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14_x000d__x000a_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2"/>
    <x v="0"/>
    <x v="0"/>
    <x v="0"/>
    <x v="0"/>
    <x v="0"/>
    <x v="0"/>
    <n v="4315"/>
    <s v="1020757156"/>
    <s v="ROA GUTIERREZ LUIS EDUARDO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1020757156"/>
    <s v="ROA GUTIERREZ LUIS EDUAR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JADO DE APLICAR DESCUENTO COMERCIAL"/>
    <n v="138000"/>
    <n v="0"/>
    <n v="138000"/>
    <x v="0"/>
    <x v="0"/>
    <x v="0"/>
    <n v="138000"/>
    <n v="0"/>
    <n v="138000"/>
    <x v="0"/>
    <x v="0"/>
    <x v="0"/>
    <n v="138000"/>
    <n v="0"/>
    <n v="138000"/>
    <x v="0"/>
    <x v="0"/>
    <x v="0"/>
    <x v="0"/>
    <x v="0"/>
  </r>
  <r>
    <x v="2"/>
    <x v="0"/>
    <x v="0"/>
    <x v="1"/>
    <x v="1"/>
    <x v="1"/>
    <x v="1"/>
    <n v="24633"/>
    <s v="806012958"/>
    <s v="IPS SALUD DEL CARIBE S.A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301 - FVA-362314 - FVA-362319 - FVA-3623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2"/>
    <x v="0"/>
    <x v="0"/>
    <x v="2"/>
    <x v="2"/>
    <x v="9"/>
    <x v="9"/>
    <n v="1583"/>
    <s v="800085013"/>
    <s v="COMPLEJO COMERCIAL CENTRO CHIA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85013"/>
    <s v="COMPLEJO COMERCIAL CENTRO CH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824.615"/>
    <n v="824615"/>
    <n v="0"/>
    <n v="824615"/>
    <x v="0"/>
    <x v="0"/>
    <x v="0"/>
    <n v="824615"/>
    <n v="0"/>
    <n v="824615"/>
    <x v="0"/>
    <x v="0"/>
    <x v="0"/>
    <n v="824615"/>
    <n v="0"/>
    <n v="824615"/>
    <x v="0"/>
    <x v="0"/>
    <x v="0"/>
    <x v="0"/>
    <x v="0"/>
  </r>
  <r>
    <x v="2"/>
    <x v="0"/>
    <x v="0"/>
    <x v="5"/>
    <x v="5"/>
    <x v="9"/>
    <x v="9"/>
    <n v="1319"/>
    <s v="890304049"/>
    <s v="ARQUIDIOCESIS DE CALI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OK,  $277.222"/>
    <n v="277222"/>
    <n v="0"/>
    <n v="277222"/>
    <x v="0"/>
    <x v="0"/>
    <x v="0"/>
    <n v="277222"/>
    <n v="0"/>
    <n v="277222"/>
    <x v="0"/>
    <x v="0"/>
    <x v="0"/>
    <n v="277222"/>
    <n v="0"/>
    <n v="277222"/>
    <x v="0"/>
    <x v="0"/>
    <x v="0"/>
    <x v="0"/>
    <x v="0"/>
  </r>
  <r>
    <x v="2"/>
    <x v="0"/>
    <x v="0"/>
    <x v="5"/>
    <x v="5"/>
    <x v="1"/>
    <x v="1"/>
    <n v="47032"/>
    <s v="890311006"/>
    <s v="FONDO DE EMPLEADOS DE LAS EMP.MPALES DE CALI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3"/>
    <n v="0"/>
    <n v="453"/>
    <x v="0"/>
    <x v="0"/>
    <x v="0"/>
    <n v="453"/>
    <n v="0"/>
    <n v="453"/>
    <x v="0"/>
    <x v="0"/>
    <x v="0"/>
    <n v="453"/>
    <n v="0"/>
    <n v="453"/>
    <x v="0"/>
    <x v="0"/>
    <x v="0"/>
    <x v="0"/>
    <x v="0"/>
  </r>
  <r>
    <x v="2"/>
    <x v="0"/>
    <x v="0"/>
    <x v="5"/>
    <x v="5"/>
    <x v="1"/>
    <x v="1"/>
    <n v="47033"/>
    <s v="900825179"/>
    <s v="ELIZABETH TRULLAS  CIA S.A.S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2"/>
    <x v="0"/>
    <x v="0"/>
    <x v="5"/>
    <x v="5"/>
    <x v="1"/>
    <x v="1"/>
    <n v="47045"/>
    <s v="860046201"/>
    <s v="FORTOX S.A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2"/>
    <x v="2"/>
    <x v="9"/>
    <x v="9"/>
    <n v="1589"/>
    <s v="51721371"/>
    <s v="CASTIBLANCO BARRERO MARIA CONSUELO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51721371"/>
    <s v="CASTIBLANCO BARRERO MARIA CONSU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EMESTRAL 4.5% $20.180"/>
    <n v="20179"/>
    <n v="0"/>
    <n v="20179"/>
    <x v="0"/>
    <x v="0"/>
    <x v="0"/>
    <n v="20179"/>
    <n v="0"/>
    <n v="20179"/>
    <x v="0"/>
    <x v="0"/>
    <x v="0"/>
    <n v="20179"/>
    <n v="0"/>
    <n v="20179"/>
    <x v="0"/>
    <x v="0"/>
    <x v="0"/>
    <x v="0"/>
    <x v="0"/>
  </r>
  <r>
    <x v="2"/>
    <x v="0"/>
    <x v="0"/>
    <x v="2"/>
    <x v="2"/>
    <x v="9"/>
    <x v="9"/>
    <n v="1590"/>
    <s v="860049609"/>
    <s v="MILSEN S.A.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210.245"/>
    <n v="210245"/>
    <n v="0"/>
    <n v="210245"/>
    <x v="0"/>
    <x v="0"/>
    <x v="0"/>
    <n v="210245"/>
    <n v="0"/>
    <n v="210245"/>
    <x v="0"/>
    <x v="0"/>
    <x v="0"/>
    <n v="210245"/>
    <n v="0"/>
    <n v="210245"/>
    <x v="0"/>
    <x v="0"/>
    <x v="0"/>
    <x v="0"/>
    <x v="0"/>
  </r>
  <r>
    <x v="2"/>
    <x v="0"/>
    <x v="0"/>
    <x v="3"/>
    <x v="3"/>
    <x v="1"/>
    <x v="1"/>
    <n v="37969"/>
    <s v="800017259"/>
    <s v="PASAJE COMERCIAL EL BOULEVARD DE JUNIN P-H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0 DCTO PRONTO PAG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2"/>
    <x v="0"/>
    <x v="0"/>
    <x v="1"/>
    <x v="1"/>
    <x v="1"/>
    <x v="1"/>
    <n v="24669"/>
    <s v="7883830"/>
    <s v="MARRUGO GUARDO GONZALO RAFAEL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7883830"/>
    <s v="MARRUGO GUARDO GONZALO RAFA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59 - FVA-362296"/>
    <n v="400"/>
    <n v="0"/>
    <n v="400"/>
    <x v="0"/>
    <x v="0"/>
    <x v="0"/>
    <n v="400"/>
    <n v="0"/>
    <n v="400"/>
    <x v="0"/>
    <x v="0"/>
    <x v="0"/>
    <n v="400"/>
    <n v="0"/>
    <n v="400"/>
    <x v="0"/>
    <x v="0"/>
    <x v="0"/>
    <x v="0"/>
    <x v="0"/>
  </r>
  <r>
    <x v="2"/>
    <x v="0"/>
    <x v="0"/>
    <x v="1"/>
    <x v="1"/>
    <x v="1"/>
    <x v="1"/>
    <n v="24673"/>
    <s v="32757237"/>
    <s v="MEDINA OLIVEROS FARATH DIVA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0"/>
    <n v="302"/>
    <n v="0"/>
    <n v="302"/>
    <x v="0"/>
    <x v="0"/>
    <x v="0"/>
    <n v="302"/>
    <n v="0"/>
    <n v="302"/>
    <x v="0"/>
    <x v="0"/>
    <x v="0"/>
    <n v="302"/>
    <n v="0"/>
    <n v="302"/>
    <x v="0"/>
    <x v="0"/>
    <x v="0"/>
    <x v="0"/>
    <x v="0"/>
  </r>
  <r>
    <x v="2"/>
    <x v="0"/>
    <x v="0"/>
    <x v="0"/>
    <x v="0"/>
    <x v="1"/>
    <x v="1"/>
    <n v="2409"/>
    <s v="800149169"/>
    <s v="CLINICA JOSE A. RIVAS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169"/>
    <s v="CLINICA JOSE A. RIVA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519"/>
    <n v="0"/>
    <n v="5519"/>
    <x v="0"/>
    <x v="0"/>
    <x v="0"/>
    <n v="5519"/>
    <n v="0"/>
    <n v="5519"/>
    <x v="0"/>
    <x v="0"/>
    <x v="0"/>
    <n v="5519"/>
    <n v="0"/>
    <n v="5519"/>
    <x v="0"/>
    <x v="0"/>
    <x v="0"/>
    <x v="0"/>
    <x v="0"/>
  </r>
  <r>
    <x v="2"/>
    <x v="0"/>
    <x v="0"/>
    <x v="0"/>
    <x v="0"/>
    <x v="1"/>
    <x v="1"/>
    <n v="2401"/>
    <s v="900338133"/>
    <s v="INST. BELLEZA STELLA DURAN GALERIA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33"/>
    <s v="INST. BELLEZA STELLA DURAN GALER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CARTERA EN ABOGADO"/>
    <n v="120664"/>
    <n v="0"/>
    <n v="120664"/>
    <x v="0"/>
    <x v="0"/>
    <x v="0"/>
    <n v="120664"/>
    <n v="0"/>
    <n v="120664"/>
    <x v="0"/>
    <x v="0"/>
    <x v="0"/>
    <n v="120664"/>
    <n v="0"/>
    <n v="120664"/>
    <x v="0"/>
    <x v="0"/>
    <x v="0"/>
    <x v="0"/>
    <x v="0"/>
  </r>
  <r>
    <x v="2"/>
    <x v="0"/>
    <x v="0"/>
    <x v="5"/>
    <x v="5"/>
    <x v="1"/>
    <x v="1"/>
    <n v="46983"/>
    <s v="900361467"/>
    <s v="BLUE ELEMENTS S.A.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467"/>
    <s v="BLUE ELEMENT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82"/>
    <n v="0"/>
    <n v="382"/>
    <x v="0"/>
    <x v="0"/>
    <x v="0"/>
    <n v="382"/>
    <n v="0"/>
    <n v="382"/>
    <x v="0"/>
    <x v="0"/>
    <x v="0"/>
    <n v="382"/>
    <n v="0"/>
    <n v="382"/>
    <x v="0"/>
    <x v="0"/>
    <x v="0"/>
    <x v="0"/>
    <x v="0"/>
  </r>
  <r>
    <x v="2"/>
    <x v="0"/>
    <x v="0"/>
    <x v="5"/>
    <x v="5"/>
    <x v="1"/>
    <x v="1"/>
    <n v="46986"/>
    <s v="1509246"/>
    <s v="MORALES SANTACRUZ JESUS ANTONIO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2"/>
    <x v="0"/>
    <x v="0"/>
    <x v="5"/>
    <x v="5"/>
    <x v="9"/>
    <x v="9"/>
    <n v="1318"/>
    <s v="860019021"/>
    <s v="ASOCIACION PARA LA ENSENANZA ASPAEN"/>
    <s v="201906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19021"/>
    <s v="ASOCIACION PARA LA ENSENANZA ASPA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AÑO ANTICIPADO 9% EN FACTURA ,OK.$79.906"/>
    <n v="79906"/>
    <n v="0"/>
    <n v="79906"/>
    <x v="0"/>
    <x v="0"/>
    <x v="0"/>
    <n v="79906"/>
    <n v="0"/>
    <n v="79906"/>
    <x v="0"/>
    <x v="0"/>
    <x v="0"/>
    <n v="79906"/>
    <n v="0"/>
    <n v="79906"/>
    <x v="0"/>
    <x v="0"/>
    <x v="0"/>
    <x v="0"/>
    <x v="0"/>
  </r>
  <r>
    <x v="2"/>
    <x v="0"/>
    <x v="0"/>
    <x v="0"/>
    <x v="0"/>
    <x v="11"/>
    <x v="11"/>
    <n v="26606"/>
    <s v="890805503"/>
    <s v="PASTELERIA LA SUIZA LTDA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5503"/>
    <s v="PASTELERIA LA SUIZ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DESCUENTO NO APLICADO POR CLIENTE ( RC 461-18373)"/>
    <n v="57817"/>
    <n v="0"/>
    <n v="57817"/>
    <x v="0"/>
    <x v="0"/>
    <x v="0"/>
    <n v="57817"/>
    <n v="0"/>
    <n v="57817"/>
    <x v="0"/>
    <x v="0"/>
    <x v="0"/>
    <n v="57817"/>
    <n v="0"/>
    <n v="57817"/>
    <x v="0"/>
    <x v="0"/>
    <x v="0"/>
    <x v="0"/>
    <x v="0"/>
  </r>
  <r>
    <x v="2"/>
    <x v="0"/>
    <x v="0"/>
    <x v="5"/>
    <x v="5"/>
    <x v="1"/>
    <x v="1"/>
    <n v="47067"/>
    <s v="900569801"/>
    <s v="MARGARITA PEÑA S.A.S.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7082"/>
    <s v="900612118"/>
    <s v="SERVICIOS ESTRATEGICOS COMPARTIDOS SAS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12118"/>
    <s v="SERVICIOS ESTRATEGICOS COMPARTIDO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0158,FONDO DE INVERSIONES,8001622716"/>
    <n v="9625"/>
    <n v="0"/>
    <n v="9625"/>
    <x v="0"/>
    <x v="0"/>
    <x v="0"/>
    <n v="9625"/>
    <n v="0"/>
    <n v="9625"/>
    <x v="0"/>
    <x v="0"/>
    <x v="0"/>
    <n v="9625"/>
    <n v="0"/>
    <n v="9625"/>
    <x v="0"/>
    <x v="0"/>
    <x v="0"/>
    <x v="0"/>
    <x v="0"/>
  </r>
  <r>
    <x v="3"/>
    <x v="0"/>
    <x v="0"/>
    <x v="5"/>
    <x v="5"/>
    <x v="1"/>
    <x v="1"/>
    <n v="47137"/>
    <s v="805019647"/>
    <s v="TECNELEC COMUNICACIONES S.A"/>
    <s v="201907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"/>
    <n v="0"/>
    <n v="99"/>
    <x v="0"/>
    <x v="0"/>
    <x v="0"/>
    <n v="99"/>
    <n v="0"/>
    <n v="99"/>
    <x v="0"/>
    <x v="0"/>
    <x v="0"/>
    <n v="99"/>
    <n v="0"/>
    <n v="99"/>
    <x v="0"/>
    <x v="0"/>
    <x v="0"/>
    <x v="0"/>
    <x v="0"/>
  </r>
  <r>
    <x v="3"/>
    <x v="0"/>
    <x v="0"/>
    <x v="3"/>
    <x v="3"/>
    <x v="1"/>
    <x v="1"/>
    <n v="38010"/>
    <s v="890911816"/>
    <s v="CLINICA MEDELLIN S.A.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1816"/>
    <s v="CLINICA MEDELL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1075 SE GENERA DCTO POR PRONTO PAGO DEL 9% AUTORIZADO POR GERENCIA DE LA REGIONAL"/>
    <n v="374667"/>
    <n v="0"/>
    <n v="374667"/>
    <x v="0"/>
    <x v="0"/>
    <x v="0"/>
    <n v="374667"/>
    <n v="0"/>
    <n v="374667"/>
    <x v="0"/>
    <x v="0"/>
    <x v="0"/>
    <n v="374667"/>
    <n v="0"/>
    <n v="374667"/>
    <x v="0"/>
    <x v="0"/>
    <x v="0"/>
    <x v="0"/>
    <x v="0"/>
  </r>
  <r>
    <x v="3"/>
    <x v="0"/>
    <x v="0"/>
    <x v="5"/>
    <x v="5"/>
    <x v="1"/>
    <x v="1"/>
    <n v="47159"/>
    <s v="800254270"/>
    <s v="SOLVAY PEROXIDOS DE COLOMBIA SASA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1441"/>
    <n v="0"/>
    <n v="1441"/>
    <x v="0"/>
    <x v="0"/>
    <x v="0"/>
    <n v="1441"/>
    <n v="0"/>
    <n v="1441"/>
    <x v="0"/>
    <x v="0"/>
    <x v="0"/>
    <n v="1441"/>
    <n v="0"/>
    <n v="1441"/>
    <x v="0"/>
    <x v="0"/>
    <x v="0"/>
    <x v="0"/>
    <x v="0"/>
  </r>
  <r>
    <x v="3"/>
    <x v="0"/>
    <x v="0"/>
    <x v="1"/>
    <x v="1"/>
    <x v="1"/>
    <x v="1"/>
    <n v="24705"/>
    <s v="806012958"/>
    <s v="IPS SALUD DEL CARIBE S.A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91 - FVA-365104 - FVA-365109 - FVA-36511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3"/>
    <x v="0"/>
    <x v="0"/>
    <x v="1"/>
    <x v="1"/>
    <x v="1"/>
    <x v="1"/>
    <n v="24706"/>
    <s v="901062361"/>
    <s v="INVERSIONES MARCRI S.A.S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3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3"/>
    <x v="0"/>
    <x v="0"/>
    <x v="1"/>
    <x v="1"/>
    <x v="1"/>
    <x v="1"/>
    <n v="24707"/>
    <s v="890102508"/>
    <s v="SALES INMOBILIARIA S.A.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46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5"/>
    <x v="5"/>
    <x v="1"/>
    <x v="1"/>
    <n v="47188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8"/>
    <n v="0"/>
    <n v="248"/>
    <x v="0"/>
    <x v="0"/>
    <x v="0"/>
    <n v="248"/>
    <n v="0"/>
    <n v="248"/>
    <x v="0"/>
    <x v="0"/>
    <x v="0"/>
    <n v="248"/>
    <n v="0"/>
    <n v="248"/>
    <x v="0"/>
    <x v="0"/>
    <x v="0"/>
    <x v="0"/>
    <x v="0"/>
  </r>
  <r>
    <x v="3"/>
    <x v="0"/>
    <x v="0"/>
    <x v="5"/>
    <x v="5"/>
    <x v="1"/>
    <x v="1"/>
    <n v="47189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0"/>
    <n v="0"/>
    <n v="450"/>
    <x v="0"/>
    <x v="0"/>
    <x v="0"/>
    <n v="450"/>
    <n v="0"/>
    <n v="450"/>
    <x v="0"/>
    <x v="0"/>
    <x v="0"/>
    <n v="450"/>
    <n v="0"/>
    <n v="450"/>
    <x v="0"/>
    <x v="0"/>
    <x v="0"/>
    <x v="0"/>
    <x v="0"/>
  </r>
  <r>
    <x v="3"/>
    <x v="0"/>
    <x v="0"/>
    <x v="5"/>
    <x v="5"/>
    <x v="1"/>
    <x v="1"/>
    <n v="47195"/>
    <s v="900386417"/>
    <s v="IDEMIA  COLOMBIA S.A.S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86417"/>
    <s v="IDEMIA 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982"/>
    <n v="0"/>
    <n v="5982"/>
    <x v="0"/>
    <x v="0"/>
    <x v="0"/>
    <n v="5982"/>
    <n v="0"/>
    <n v="5982"/>
    <x v="0"/>
    <x v="0"/>
    <x v="0"/>
    <n v="5982"/>
    <n v="0"/>
    <n v="5982"/>
    <x v="0"/>
    <x v="0"/>
    <x v="0"/>
    <x v="0"/>
    <x v="0"/>
  </r>
  <r>
    <x v="3"/>
    <x v="0"/>
    <x v="0"/>
    <x v="5"/>
    <x v="5"/>
    <x v="1"/>
    <x v="1"/>
    <n v="47212"/>
    <s v="900203566"/>
    <s v="ABASTECEMOS  DE OCCIDENTE S.A.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3"/>
    <x v="0"/>
    <x v="0"/>
    <x v="1"/>
    <x v="1"/>
    <x v="1"/>
    <x v="1"/>
    <n v="24718"/>
    <s v="900061516"/>
    <s v="MUEBLES JAMAR S.A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89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5"/>
    <x v="5"/>
    <x v="1"/>
    <x v="1"/>
    <n v="47234"/>
    <s v="890300012"/>
    <s v="COLPOZOS 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3"/>
    <x v="0"/>
    <x v="0"/>
    <x v="5"/>
    <x v="5"/>
    <x v="1"/>
    <x v="1"/>
    <n v="47237"/>
    <s v="817001528"/>
    <s v="PAVCO DE OCCIDENTE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3"/>
    <x v="0"/>
    <x v="0"/>
    <x v="0"/>
    <x v="0"/>
    <x v="0"/>
    <x v="0"/>
    <n v="4325"/>
    <s v="900338193"/>
    <s v="INSTITUTO DE BELLEZA STELLA DURAN KENNEDY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3"/>
    <s v="INSTITUTO DE BELLEZA STELLA DURAN KENNED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SCUENTO COMERCIAL PAGO CARTERA EN ABOGADO"/>
    <n v="302026"/>
    <n v="0"/>
    <n v="302026"/>
    <x v="0"/>
    <x v="0"/>
    <x v="0"/>
    <n v="302026"/>
    <n v="0"/>
    <n v="302026"/>
    <x v="0"/>
    <x v="0"/>
    <x v="0"/>
    <n v="302026"/>
    <n v="0"/>
    <n v="302026"/>
    <x v="0"/>
    <x v="0"/>
    <x v="0"/>
    <x v="0"/>
    <x v="0"/>
  </r>
  <r>
    <x v="3"/>
    <x v="0"/>
    <x v="0"/>
    <x v="5"/>
    <x v="5"/>
    <x v="1"/>
    <x v="1"/>
    <n v="47265"/>
    <s v="66766910"/>
    <s v="BOTERO TROCHEZ CELI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6766910"/>
    <s v="BOTERO TROCHEZ CE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89"/>
    <n v="0"/>
    <n v="989"/>
    <x v="0"/>
    <x v="0"/>
    <x v="0"/>
    <n v="989"/>
    <n v="0"/>
    <n v="989"/>
    <x v="0"/>
    <x v="0"/>
    <x v="0"/>
    <n v="989"/>
    <n v="0"/>
    <n v="989"/>
    <x v="0"/>
    <x v="0"/>
    <x v="0"/>
    <x v="0"/>
    <x v="0"/>
  </r>
  <r>
    <x v="3"/>
    <x v="0"/>
    <x v="0"/>
    <x v="5"/>
    <x v="5"/>
    <x v="1"/>
    <x v="1"/>
    <n v="47303"/>
    <s v="900825179"/>
    <s v="ELIZABETH TRULLAS  CIA S.A.S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88"/>
    <n v="0"/>
    <n v="488"/>
    <x v="0"/>
    <x v="0"/>
    <x v="0"/>
    <n v="488"/>
    <n v="0"/>
    <n v="488"/>
    <x v="0"/>
    <x v="0"/>
    <x v="0"/>
    <n v="488"/>
    <n v="0"/>
    <n v="488"/>
    <x v="0"/>
    <x v="0"/>
    <x v="0"/>
    <x v="0"/>
    <x v="0"/>
  </r>
  <r>
    <x v="3"/>
    <x v="0"/>
    <x v="0"/>
    <x v="5"/>
    <x v="5"/>
    <x v="1"/>
    <x v="1"/>
    <n v="47304"/>
    <s v="890311006"/>
    <s v="FONDO DE EMPLEADOS DE LAS EMP.MPALES DE CALI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70"/>
    <n v="0"/>
    <n v="470"/>
    <x v="0"/>
    <x v="0"/>
    <x v="0"/>
    <n v="470"/>
    <n v="0"/>
    <n v="470"/>
    <x v="0"/>
    <x v="0"/>
    <x v="0"/>
    <n v="470"/>
    <n v="0"/>
    <n v="470"/>
    <x v="0"/>
    <x v="0"/>
    <x v="0"/>
    <x v="0"/>
    <x v="0"/>
  </r>
  <r>
    <x v="3"/>
    <x v="0"/>
    <x v="0"/>
    <x v="5"/>
    <x v="5"/>
    <x v="1"/>
    <x v="1"/>
    <n v="47309"/>
    <s v="900569801"/>
    <s v="MARGARITA PEÑA S.A.S.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3"/>
    <x v="0"/>
    <x v="0"/>
    <x v="5"/>
    <x v="5"/>
    <x v="1"/>
    <x v="1"/>
    <n v="47332"/>
    <s v="25453752"/>
    <s v="GUEVARA PILLIMUE NANCY LOREN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25453752"/>
    <s v="GUEVARA PILLIMUE NANCY LORE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17"/>
    <n v="0"/>
    <n v="517"/>
    <x v="0"/>
    <x v="0"/>
    <x v="0"/>
    <n v="517"/>
    <n v="0"/>
    <n v="517"/>
    <x v="0"/>
    <x v="0"/>
    <x v="0"/>
    <n v="517"/>
    <n v="0"/>
    <n v="517"/>
    <x v="0"/>
    <x v="0"/>
    <x v="0"/>
    <x v="0"/>
    <x v="0"/>
  </r>
  <r>
    <x v="3"/>
    <x v="0"/>
    <x v="0"/>
    <x v="5"/>
    <x v="5"/>
    <x v="1"/>
    <x v="1"/>
    <n v="47410"/>
    <s v="805019647"/>
    <s v="TECNELEC COMUNICACIONES S.A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0"/>
    <n v="0"/>
    <n v="490"/>
    <x v="0"/>
    <x v="0"/>
    <x v="0"/>
    <n v="490"/>
    <n v="0"/>
    <n v="490"/>
    <x v="0"/>
    <x v="0"/>
    <x v="0"/>
    <n v="490"/>
    <n v="0"/>
    <n v="490"/>
    <x v="0"/>
    <x v="0"/>
    <x v="0"/>
    <x v="0"/>
    <x v="0"/>
  </r>
  <r>
    <x v="3"/>
    <x v="0"/>
    <x v="0"/>
    <x v="0"/>
    <x v="0"/>
    <x v="1"/>
    <x v="1"/>
    <n v="2430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2915"/>
    <n v="0"/>
    <n v="2915"/>
    <x v="0"/>
    <x v="0"/>
    <x v="0"/>
    <n v="2915"/>
    <n v="0"/>
    <n v="2915"/>
    <x v="0"/>
    <x v="0"/>
    <x v="0"/>
    <n v="2915"/>
    <n v="0"/>
    <n v="2915"/>
    <x v="0"/>
    <x v="0"/>
    <x v="0"/>
    <x v="0"/>
    <x v="0"/>
  </r>
  <r>
    <x v="3"/>
    <x v="0"/>
    <x v="0"/>
    <x v="0"/>
    <x v="0"/>
    <x v="1"/>
    <x v="1"/>
    <n v="2431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3503"/>
    <n v="0"/>
    <n v="3503"/>
    <x v="0"/>
    <x v="0"/>
    <x v="0"/>
    <n v="3503"/>
    <n v="0"/>
    <n v="3503"/>
    <x v="0"/>
    <x v="0"/>
    <x v="0"/>
    <n v="3503"/>
    <n v="0"/>
    <n v="3503"/>
    <x v="0"/>
    <x v="0"/>
    <x v="0"/>
    <x v="0"/>
    <x v="0"/>
  </r>
  <r>
    <x v="4"/>
    <x v="0"/>
    <x v="0"/>
    <x v="5"/>
    <x v="5"/>
    <x v="9"/>
    <x v="9"/>
    <n v="1365"/>
    <s v="805014618"/>
    <s v="MEDITRAUMA S.A.S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4618"/>
    <s v="MEDITRAUM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4"/>
    <x v="0"/>
    <x v="0"/>
    <x v="2"/>
    <x v="2"/>
    <x v="9"/>
    <x v="9"/>
    <n v="1628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44345"/>
    <n v="0"/>
    <n v="144345"/>
    <x v="0"/>
    <x v="0"/>
    <x v="0"/>
    <n v="144345"/>
    <n v="0"/>
    <n v="144345"/>
    <x v="0"/>
    <x v="0"/>
    <x v="0"/>
    <n v="144345"/>
    <n v="0"/>
    <n v="144345"/>
    <x v="0"/>
    <x v="0"/>
    <x v="0"/>
    <x v="0"/>
    <x v="0"/>
  </r>
  <r>
    <x v="4"/>
    <x v="0"/>
    <x v="0"/>
    <x v="2"/>
    <x v="2"/>
    <x v="9"/>
    <x v="9"/>
    <n v="1629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78241"/>
    <n v="0"/>
    <n v="178241"/>
    <x v="0"/>
    <x v="0"/>
    <x v="0"/>
    <n v="178241"/>
    <n v="0"/>
    <n v="178241"/>
    <x v="0"/>
    <x v="0"/>
    <x v="0"/>
    <n v="178241"/>
    <n v="0"/>
    <n v="178241"/>
    <x v="0"/>
    <x v="0"/>
    <x v="0"/>
    <x v="0"/>
    <x v="0"/>
  </r>
  <r>
    <x v="4"/>
    <x v="0"/>
    <x v="0"/>
    <x v="5"/>
    <x v="5"/>
    <x v="1"/>
    <x v="1"/>
    <n v="47565"/>
    <s v="890300012"/>
    <s v="COLPOZOS 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72"/>
    <n v="0"/>
    <n v="2972"/>
    <x v="0"/>
    <x v="0"/>
    <x v="0"/>
    <n v="2972"/>
    <n v="0"/>
    <n v="2972"/>
    <x v="0"/>
    <x v="0"/>
    <x v="0"/>
    <n v="2972"/>
    <n v="0"/>
    <n v="2972"/>
    <x v="0"/>
    <x v="0"/>
    <x v="0"/>
    <x v="0"/>
    <x v="0"/>
  </r>
  <r>
    <x v="4"/>
    <x v="0"/>
    <x v="0"/>
    <x v="5"/>
    <x v="5"/>
    <x v="1"/>
    <x v="1"/>
    <n v="47568"/>
    <s v="817001528"/>
    <s v="PAVCO DE OCCIDENTE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4"/>
    <x v="0"/>
    <x v="0"/>
    <x v="5"/>
    <x v="5"/>
    <x v="1"/>
    <x v="1"/>
    <n v="47574"/>
    <s v="800254270"/>
    <s v="SOLVAY PEROXIDOS DE COLOMBIA SASA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68"/>
    <n v="0"/>
    <n v="7068"/>
    <x v="0"/>
    <x v="0"/>
    <x v="0"/>
    <n v="7068"/>
    <n v="0"/>
    <n v="7068"/>
    <x v="0"/>
    <x v="0"/>
    <x v="0"/>
    <n v="7068"/>
    <n v="0"/>
    <n v="7068"/>
    <x v="0"/>
    <x v="0"/>
    <x v="0"/>
    <x v="0"/>
    <x v="0"/>
  </r>
  <r>
    <x v="4"/>
    <x v="0"/>
    <x v="0"/>
    <x v="6"/>
    <x v="6"/>
    <x v="9"/>
    <x v="9"/>
    <n v="1164"/>
    <s v="10095715"/>
    <s v="RUIZ VALLEJO CARLOS ARTURO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10095715"/>
    <s v="RUIZ VALLEJO CARLOS ARTU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67694 DESCUENTO POR PAGO ANUAL ANTICIPADO $116.773"/>
    <n v="116773"/>
    <n v="0"/>
    <n v="116773"/>
    <x v="0"/>
    <x v="0"/>
    <x v="0"/>
    <n v="116773"/>
    <n v="0"/>
    <n v="116773"/>
    <x v="0"/>
    <x v="0"/>
    <x v="0"/>
    <n v="116773"/>
    <n v="0"/>
    <n v="116773"/>
    <x v="0"/>
    <x v="0"/>
    <x v="0"/>
    <x v="0"/>
    <x v="0"/>
  </r>
  <r>
    <x v="4"/>
    <x v="0"/>
    <x v="0"/>
    <x v="5"/>
    <x v="5"/>
    <x v="1"/>
    <x v="1"/>
    <n v="47596"/>
    <s v="900825179"/>
    <s v="ELIZABETH TRULLAS  CIA S.A.S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4"/>
    <x v="0"/>
    <x v="0"/>
    <x v="5"/>
    <x v="5"/>
    <x v="1"/>
    <x v="1"/>
    <n v="47597"/>
    <s v="890318490"/>
    <s v="FERRETERIA TUBERIAS S.A.S.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4"/>
    <x v="0"/>
    <x v="0"/>
    <x v="5"/>
    <x v="5"/>
    <x v="1"/>
    <x v="1"/>
    <n v="47610"/>
    <s v="800048954"/>
    <s v="CLINICA VERSALLES S.A."/>
    <s v="201908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22"/>
    <n v="0"/>
    <n v="2422"/>
    <x v="0"/>
    <x v="0"/>
    <x v="0"/>
    <n v="2422"/>
    <n v="0"/>
    <n v="2422"/>
    <x v="0"/>
    <x v="0"/>
    <x v="0"/>
    <n v="2422"/>
    <n v="0"/>
    <n v="2422"/>
    <x v="0"/>
    <x v="0"/>
    <x v="0"/>
    <x v="0"/>
    <x v="0"/>
  </r>
  <r>
    <x v="4"/>
    <x v="0"/>
    <x v="0"/>
    <x v="2"/>
    <x v="2"/>
    <x v="9"/>
    <x v="9"/>
    <n v="1642"/>
    <s v="860510431"/>
    <s v="ALVARO VELEZ Y CIA S.A.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344  RTE ICA $5.118_x000d__x000a_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4"/>
    <x v="0"/>
    <x v="0"/>
    <x v="2"/>
    <x v="2"/>
    <x v="9"/>
    <x v="9"/>
    <n v="1643"/>
    <s v="901105607"/>
    <s v="COMPARTIMIENTO ALPE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105607"/>
    <s v="COMPARTIMIENTO ALP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$405.621  -  CLIENTE CANCELA &gt;VALOR Y SOLICITA LA DEVOLUCION DE $405.621"/>
    <n v="405621"/>
    <n v="0"/>
    <n v="405621"/>
    <x v="0"/>
    <x v="0"/>
    <x v="0"/>
    <n v="405621"/>
    <n v="0"/>
    <n v="405621"/>
    <x v="0"/>
    <x v="0"/>
    <x v="0"/>
    <n v="405621"/>
    <n v="0"/>
    <n v="405621"/>
    <x v="0"/>
    <x v="0"/>
    <x v="0"/>
    <x v="0"/>
    <x v="0"/>
  </r>
  <r>
    <x v="4"/>
    <x v="0"/>
    <x v="0"/>
    <x v="5"/>
    <x v="5"/>
    <x v="1"/>
    <x v="1"/>
    <n v="47649"/>
    <s v="800048954"/>
    <s v="CLINICA VERSALLES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6234"/>
    <n v="0"/>
    <n v="16234"/>
    <x v="0"/>
    <x v="0"/>
    <x v="0"/>
    <n v="16234"/>
    <n v="0"/>
    <n v="16234"/>
    <x v="0"/>
    <x v="0"/>
    <x v="0"/>
    <n v="16234"/>
    <n v="0"/>
    <n v="16234"/>
    <x v="0"/>
    <x v="0"/>
    <x v="0"/>
    <x v="0"/>
    <x v="0"/>
  </r>
  <r>
    <x v="4"/>
    <x v="0"/>
    <x v="0"/>
    <x v="5"/>
    <x v="5"/>
    <x v="1"/>
    <x v="1"/>
    <n v="47653"/>
    <s v="900203566"/>
    <s v="ABASTECEMOS  DE OCCIDENTE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4"/>
    <x v="0"/>
    <x v="0"/>
    <x v="0"/>
    <x v="0"/>
    <x v="0"/>
    <x v="0"/>
    <n v="4349"/>
    <s v="43038708"/>
    <s v="ARROYAVE ESTRADA RUTH GLADIS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384115"/>
    <s v="CENTRO DE ESTETICA BERTHY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214"/>
    <n v="0"/>
    <n v="214"/>
    <x v="0"/>
    <x v="0"/>
    <x v="0"/>
    <n v="214"/>
    <n v="0"/>
    <n v="214"/>
    <x v="0"/>
    <x v="0"/>
    <x v="0"/>
    <n v="214"/>
    <n v="0"/>
    <n v="214"/>
    <x v="0"/>
    <x v="0"/>
    <x v="0"/>
    <x v="0"/>
    <x v="0"/>
  </r>
  <r>
    <x v="4"/>
    <x v="0"/>
    <x v="0"/>
    <x v="5"/>
    <x v="5"/>
    <x v="1"/>
    <x v="1"/>
    <n v="47667"/>
    <s v="860046201"/>
    <s v="FORTOX S.A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9"/>
    <x v="9"/>
    <n v="1373"/>
    <s v="805011901"/>
    <s v="LASKIN S.A.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241.980"/>
    <n v="241980"/>
    <n v="0"/>
    <n v="241980"/>
    <x v="0"/>
    <x v="0"/>
    <x v="0"/>
    <n v="241980"/>
    <n v="0"/>
    <n v="241980"/>
    <x v="0"/>
    <x v="0"/>
    <x v="0"/>
    <n v="241980"/>
    <n v="0"/>
    <n v="241980"/>
    <x v="0"/>
    <x v="0"/>
    <x v="0"/>
    <x v="0"/>
    <x v="0"/>
  </r>
  <r>
    <x v="4"/>
    <x v="0"/>
    <x v="0"/>
    <x v="1"/>
    <x v="1"/>
    <x v="1"/>
    <x v="1"/>
    <n v="24946"/>
    <s v="901166073"/>
    <s v="CENTRO COMERCIAL NUESTRO MONTERIA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2"/>
    <x v="2"/>
    <x v="9"/>
    <x v="9"/>
    <n v="1647"/>
    <s v="900246492"/>
    <s v="INDUSTRIA DE ALUMINIO DE COLOMBIA SAS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46492"/>
    <s v="INDUSTRIA DE ALUMINIO DE COLOMBI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175.220 POR PAGO AÑO ANTICIPADO Y $ 22.586 DE RET/ICA"/>
    <n v="175220"/>
    <n v="0"/>
    <n v="175220"/>
    <x v="0"/>
    <x v="0"/>
    <x v="0"/>
    <n v="175220"/>
    <n v="0"/>
    <n v="175220"/>
    <x v="0"/>
    <x v="0"/>
    <x v="0"/>
    <n v="175220"/>
    <n v="0"/>
    <n v="175220"/>
    <x v="0"/>
    <x v="0"/>
    <x v="0"/>
    <x v="0"/>
    <x v="0"/>
  </r>
  <r>
    <x v="4"/>
    <x v="0"/>
    <x v="0"/>
    <x v="1"/>
    <x v="1"/>
    <x v="9"/>
    <x v="9"/>
    <n v="384"/>
    <s v="802005031"/>
    <s v="COLEGIO DISTRITAL MARIA INMACULADA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05031"/>
    <s v="COLEGIO DISTRITAL MARIA INMACUL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800_x000d__x000a_APLICA RETEIVA  $334.347_x000d__x000a_APLICA RETEICA  $112.62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0"/>
    <x v="0"/>
    <n v="4350"/>
    <s v="J293759889"/>
    <s v="MUSICAR DE VENEZUELA,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VENTA MEMORIAS FVO - 839"/>
    <n v="79124"/>
    <n v="0"/>
    <n v="79124"/>
    <x v="0"/>
    <x v="0"/>
    <x v="0"/>
    <n v="79124"/>
    <n v="0"/>
    <n v="79124"/>
    <x v="0"/>
    <x v="0"/>
    <x v="0"/>
    <n v="79124"/>
    <n v="0"/>
    <n v="79124"/>
    <x v="0"/>
    <x v="0"/>
    <x v="0"/>
    <x v="0"/>
    <x v="0"/>
  </r>
  <r>
    <x v="4"/>
    <x v="0"/>
    <x v="0"/>
    <x v="5"/>
    <x v="5"/>
    <x v="1"/>
    <x v="1"/>
    <n v="47688"/>
    <s v="805009741"/>
    <s v="COOMEVA MEDICINA PREPAGADA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444,277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2"/>
    <x v="2"/>
    <x v="1"/>
    <x v="1"/>
    <n v="63967"/>
    <s v="860521035"/>
    <s v="ACRECER TEMPORAL S.A.S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2"/>
    <x v="0"/>
    <x v="0"/>
    <x v="3"/>
    <x v="3"/>
    <x v="1"/>
    <x v="1"/>
    <n v="37991"/>
    <s v="900163527"/>
    <s v="CENTRO COMERCIAL SAN NICOLAS PROPIEDAD HORIZONTAL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648_x000d__x000a_CLIENTE SE APLICA DESCUENTO COMERCIAL DE 9% YA SE LE EXPLICO QUE ESTE PORCENTAJE CORREPONDE A ANUALIDAD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3"/>
    <x v="0"/>
    <x v="0"/>
    <x v="3"/>
    <x v="3"/>
    <x v="1"/>
    <x v="1"/>
    <n v="38068"/>
    <s v="800036229"/>
    <s v="CLINICA OFTALMOLOGICA LAURELES S.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36229"/>
    <s v="CLINICA OFTALMOLOGICA LAURE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188"/>
    <n v="3841"/>
    <n v="0"/>
    <n v="3841"/>
    <x v="0"/>
    <x v="0"/>
    <x v="0"/>
    <n v="3841"/>
    <n v="0"/>
    <n v="3841"/>
    <x v="0"/>
    <x v="0"/>
    <x v="0"/>
    <n v="3841"/>
    <n v="0"/>
    <n v="3841"/>
    <x v="0"/>
    <x v="0"/>
    <x v="0"/>
    <x v="0"/>
    <x v="0"/>
  </r>
  <r>
    <x v="3"/>
    <x v="0"/>
    <x v="0"/>
    <x v="2"/>
    <x v="2"/>
    <x v="9"/>
    <x v="9"/>
    <n v="1605"/>
    <s v="900534711"/>
    <s v="TITAN PLAZA CENTRO COMERCIAL Y EMPRESARIAL P.H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534711"/>
    <s v="TITAN PLAZA CENTRO COMERCIAL Y EMPRESARIAL P.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68.594 por pago de semestre anticipado y $8.421 por rte/ica"/>
    <n v="68594"/>
    <n v="0"/>
    <n v="68594"/>
    <x v="0"/>
    <x v="0"/>
    <x v="0"/>
    <n v="68594"/>
    <n v="0"/>
    <n v="68594"/>
    <x v="0"/>
    <x v="0"/>
    <x v="0"/>
    <n v="68594"/>
    <n v="0"/>
    <n v="68594"/>
    <x v="0"/>
    <x v="0"/>
    <x v="0"/>
    <x v="0"/>
    <x v="0"/>
  </r>
  <r>
    <x v="3"/>
    <x v="0"/>
    <x v="0"/>
    <x v="2"/>
    <x v="2"/>
    <x v="9"/>
    <x v="9"/>
    <n v="1607"/>
    <s v="822005628"/>
    <s v="C Y H AGENCIA PROMOTORA DE SEGURO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22005628"/>
    <s v="C Y H AGENCIA PROMOTORA DE SEGUR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$ 95.605"/>
    <n v="95605"/>
    <n v="0"/>
    <n v="95605"/>
    <x v="0"/>
    <x v="0"/>
    <x v="0"/>
    <n v="95605"/>
    <n v="0"/>
    <n v="95605"/>
    <x v="0"/>
    <x v="0"/>
    <x v="0"/>
    <n v="95605"/>
    <n v="0"/>
    <n v="95605"/>
    <x v="0"/>
    <x v="0"/>
    <x v="0"/>
    <x v="0"/>
    <x v="0"/>
  </r>
  <r>
    <x v="3"/>
    <x v="0"/>
    <x v="0"/>
    <x v="4"/>
    <x v="4"/>
    <x v="9"/>
    <x v="9"/>
    <n v="243"/>
    <s v="804014440"/>
    <s v="FONDO DE EMPLEADOS PARA EL DESARROLLO SOCIAL FONDE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14440"/>
    <s v="FONDO DE EMPLEADOS PARA EL DESARROLLO SOCIAL FOND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5968.  DESCUENTO 9% POR PAGO AÑO ANTICIPADO."/>
    <n v="250282"/>
    <n v="0"/>
    <n v="250282"/>
    <x v="0"/>
    <x v="0"/>
    <x v="0"/>
    <n v="250282"/>
    <n v="0"/>
    <n v="250282"/>
    <x v="0"/>
    <x v="0"/>
    <x v="0"/>
    <n v="250282"/>
    <n v="0"/>
    <n v="250282"/>
    <x v="0"/>
    <x v="0"/>
    <x v="0"/>
    <x v="0"/>
    <x v="0"/>
  </r>
  <r>
    <x v="3"/>
    <x v="0"/>
    <x v="0"/>
    <x v="3"/>
    <x v="3"/>
    <x v="1"/>
    <x v="1"/>
    <n v="38092"/>
    <s v="811028725"/>
    <s v="DISTRIMEDICAL S.A.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207_x000d__x000a_RETEICA POR $ 8.832_x000d__x000a_DCTO COMERCIAL POR PRONTO PAGO $ 49.682"/>
    <n v="49682"/>
    <n v="0"/>
    <n v="49682"/>
    <x v="0"/>
    <x v="0"/>
    <x v="0"/>
    <n v="49682"/>
    <n v="0"/>
    <n v="49682"/>
    <x v="0"/>
    <x v="0"/>
    <x v="0"/>
    <n v="49682"/>
    <n v="0"/>
    <n v="49682"/>
    <x v="0"/>
    <x v="0"/>
    <x v="0"/>
    <x v="0"/>
    <x v="0"/>
  </r>
  <r>
    <x v="3"/>
    <x v="0"/>
    <x v="0"/>
    <x v="1"/>
    <x v="1"/>
    <x v="1"/>
    <x v="1"/>
    <n v="24785"/>
    <s v="802010909"/>
    <s v="INVERSIONES WONGFOEN S.A.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25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4"/>
    <x v="0"/>
    <x v="0"/>
    <x v="5"/>
    <x v="5"/>
    <x v="1"/>
    <x v="1"/>
    <n v="47457"/>
    <s v="805019647"/>
    <s v="TECNELEC COMUNICACIONES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5"/>
    <n v="0"/>
    <n v="245"/>
    <x v="0"/>
    <x v="0"/>
    <x v="0"/>
    <n v="245"/>
    <n v="0"/>
    <n v="245"/>
    <x v="0"/>
    <x v="0"/>
    <x v="0"/>
    <n v="245"/>
    <n v="0"/>
    <n v="245"/>
    <x v="0"/>
    <x v="0"/>
    <x v="0"/>
    <x v="0"/>
    <x v="0"/>
  </r>
  <r>
    <x v="4"/>
    <x v="0"/>
    <x v="0"/>
    <x v="5"/>
    <x v="5"/>
    <x v="1"/>
    <x v="1"/>
    <n v="47472"/>
    <s v="860046201"/>
    <s v="FORTOX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1"/>
    <x v="1"/>
    <n v="47474"/>
    <s v="650187917"/>
    <s v="FREI  HEINRICH ERNEST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0"/>
    <n v="0"/>
    <n v="990"/>
    <x v="0"/>
    <x v="0"/>
    <x v="0"/>
    <n v="990"/>
    <n v="0"/>
    <n v="990"/>
    <x v="0"/>
    <x v="0"/>
    <x v="0"/>
    <n v="990"/>
    <n v="0"/>
    <n v="990"/>
    <x v="0"/>
    <x v="0"/>
    <x v="0"/>
    <x v="0"/>
    <x v="0"/>
  </r>
  <r>
    <x v="4"/>
    <x v="0"/>
    <x v="0"/>
    <x v="5"/>
    <x v="5"/>
    <x v="9"/>
    <x v="9"/>
    <n v="1361"/>
    <s v="890308111"/>
    <s v="EL MOLINO-EDUARDO MOLINARI PALACIN &amp; CIA S.EN.C.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9% $106.293"/>
    <n v="106293"/>
    <n v="0"/>
    <n v="106293"/>
    <x v="0"/>
    <x v="0"/>
    <x v="0"/>
    <n v="106293"/>
    <n v="0"/>
    <n v="106293"/>
    <x v="0"/>
    <x v="0"/>
    <x v="0"/>
    <n v="106293"/>
    <n v="0"/>
    <n v="106293"/>
    <x v="0"/>
    <x v="0"/>
    <x v="0"/>
    <x v="0"/>
    <x v="0"/>
  </r>
  <r>
    <x v="4"/>
    <x v="0"/>
    <x v="0"/>
    <x v="5"/>
    <x v="5"/>
    <x v="1"/>
    <x v="1"/>
    <n v="47486"/>
    <s v="805019647"/>
    <s v="TECNELEC COMUNICACIONES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6"/>
    <n v="0"/>
    <n v="496"/>
    <x v="0"/>
    <x v="0"/>
    <x v="0"/>
    <n v="496"/>
    <n v="0"/>
    <n v="496"/>
    <x v="0"/>
    <x v="0"/>
    <x v="0"/>
    <n v="496"/>
    <n v="0"/>
    <n v="496"/>
    <x v="0"/>
    <x v="0"/>
    <x v="0"/>
    <x v="0"/>
    <x v="0"/>
  </r>
  <r>
    <x v="4"/>
    <x v="0"/>
    <x v="0"/>
    <x v="5"/>
    <x v="5"/>
    <x v="1"/>
    <x v="1"/>
    <n v="47487"/>
    <s v="900909617"/>
    <s v="HOTELES H.V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909617"/>
    <s v="HOTELES H.V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33"/>
    <n v="0"/>
    <n v="633"/>
    <x v="0"/>
    <x v="0"/>
    <x v="0"/>
    <n v="633"/>
    <n v="0"/>
    <n v="633"/>
    <x v="0"/>
    <x v="0"/>
    <x v="0"/>
    <n v="633"/>
    <n v="0"/>
    <n v="633"/>
    <x v="0"/>
    <x v="0"/>
    <x v="0"/>
    <x v="0"/>
    <x v="0"/>
  </r>
  <r>
    <x v="4"/>
    <x v="0"/>
    <x v="0"/>
    <x v="3"/>
    <x v="3"/>
    <x v="1"/>
    <x v="1"/>
    <n v="38223"/>
    <s v="890904222"/>
    <s v="VIAJES PALOMARES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4222"/>
    <s v="VIAJES PALOMARE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8125_x000d__x000a_APLICA DCTO 9% POR PAGO ANUELA ANTICIPADO"/>
    <n v="126958"/>
    <n v="0"/>
    <n v="126958"/>
    <x v="0"/>
    <x v="0"/>
    <x v="0"/>
    <n v="126958"/>
    <n v="0"/>
    <n v="126958"/>
    <x v="0"/>
    <x v="0"/>
    <x v="0"/>
    <n v="126958"/>
    <n v="0"/>
    <n v="126958"/>
    <x v="0"/>
    <x v="0"/>
    <x v="0"/>
    <x v="0"/>
    <x v="0"/>
  </r>
  <r>
    <x v="4"/>
    <x v="0"/>
    <x v="0"/>
    <x v="1"/>
    <x v="1"/>
    <x v="1"/>
    <x v="1"/>
    <n v="24855"/>
    <s v="806012958"/>
    <s v="IPS SALUD DEL CARIBE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611 - FVA-366624 - FVA-366630 - FVA-36663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4"/>
    <x v="0"/>
    <x v="0"/>
    <x v="1"/>
    <x v="1"/>
    <x v="1"/>
    <x v="1"/>
    <n v="24859"/>
    <s v="890102508"/>
    <s v="SALES INMOBILIARIA S.A.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800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4"/>
    <x v="4"/>
    <x v="1"/>
    <x v="1"/>
    <n v="20950"/>
    <s v="890200050"/>
    <s v="ARDISA S.A.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0050"/>
    <s v="ARDI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3678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5"/>
    <x v="5"/>
    <x v="1"/>
    <x v="1"/>
    <n v="47507"/>
    <s v="1509246"/>
    <s v="MORALES SANTACRUZ JESUS ANTONIO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4"/>
    <x v="0"/>
    <x v="0"/>
    <x v="5"/>
    <x v="5"/>
    <x v="1"/>
    <x v="1"/>
    <n v="47512"/>
    <s v="890311006"/>
    <s v="FONDO DE EMPLEADOS DE LAS EMP.M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5"/>
    <x v="5"/>
    <x v="9"/>
    <x v="9"/>
    <n v="1364"/>
    <s v="890301278"/>
    <s v="COOPERATIVA DE TRABAJADORES  EMPRESAS  MUNICI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1278"/>
    <s v="COOPERATIVA DE TRABAJADORES  EMPRESAS  MUNICI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CTO 9% OK $140.832"/>
    <n v="140832"/>
    <n v="0"/>
    <n v="140832"/>
    <x v="0"/>
    <x v="0"/>
    <x v="0"/>
    <n v="140832"/>
    <n v="0"/>
    <n v="140832"/>
    <x v="0"/>
    <x v="0"/>
    <x v="0"/>
    <n v="140832"/>
    <n v="0"/>
    <n v="140832"/>
    <x v="0"/>
    <x v="0"/>
    <x v="0"/>
    <x v="0"/>
    <x v="0"/>
  </r>
  <r>
    <x v="4"/>
    <x v="0"/>
    <x v="0"/>
    <x v="2"/>
    <x v="2"/>
    <x v="9"/>
    <x v="9"/>
    <n v="1631"/>
    <s v="860069284"/>
    <s v="AGROCAMPO S.A."/>
    <s v="201908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69284"/>
    <s v="AGROCAMP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."/>
    <n v="542165"/>
    <n v="0"/>
    <n v="542165"/>
    <x v="0"/>
    <x v="0"/>
    <x v="0"/>
    <n v="542165"/>
    <n v="0"/>
    <n v="542165"/>
    <x v="0"/>
    <x v="0"/>
    <x v="0"/>
    <n v="542165"/>
    <n v="0"/>
    <n v="542165"/>
    <x v="0"/>
    <x v="0"/>
    <x v="0"/>
    <x v="0"/>
    <x v="0"/>
  </r>
  <r>
    <x v="4"/>
    <x v="0"/>
    <x v="0"/>
    <x v="5"/>
    <x v="5"/>
    <x v="1"/>
    <x v="1"/>
    <n v="47630"/>
    <s v="900008839"/>
    <s v="CENTROS COMERCIALES DEL CAFE S.A.S.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08839"/>
    <s v="CENTROS COMERCIALES DEL CAFE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19"/>
    <n v="0"/>
    <n v="10519"/>
    <x v="0"/>
    <x v="0"/>
    <x v="0"/>
    <n v="10519"/>
    <n v="0"/>
    <n v="10519"/>
    <x v="0"/>
    <x v="0"/>
    <x v="0"/>
    <n v="10519"/>
    <n v="0"/>
    <n v="10519"/>
    <x v="0"/>
    <x v="0"/>
    <x v="0"/>
    <x v="0"/>
    <x v="0"/>
  </r>
  <r>
    <x v="4"/>
    <x v="0"/>
    <x v="0"/>
    <x v="5"/>
    <x v="5"/>
    <x v="9"/>
    <x v="9"/>
    <n v="1372"/>
    <s v="900035068"/>
    <s v="LAMINAS Y CORTES INDUSTRIALES S.A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35068"/>
    <s v="LAMINAS Y CORTES INDUST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107.021"/>
    <n v="107021"/>
    <n v="0"/>
    <n v="107021"/>
    <x v="0"/>
    <x v="0"/>
    <x v="0"/>
    <n v="107021"/>
    <n v="0"/>
    <n v="107021"/>
    <x v="0"/>
    <x v="0"/>
    <x v="0"/>
    <n v="107021"/>
    <n v="0"/>
    <n v="107021"/>
    <x v="0"/>
    <x v="0"/>
    <x v="0"/>
    <x v="0"/>
    <x v="0"/>
  </r>
  <r>
    <x v="4"/>
    <x v="0"/>
    <x v="0"/>
    <x v="1"/>
    <x v="1"/>
    <x v="1"/>
    <x v="1"/>
    <n v="24928"/>
    <s v="802016306"/>
    <s v="EXPOCONSTRUCCION 43 Y CIA LTD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10 - FVA-367969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1"/>
    <x v="1"/>
    <x v="1"/>
    <x v="1"/>
    <n v="24941"/>
    <s v="32757237"/>
    <s v="MEDINA OLIVEROS FARATH DIV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0"/>
    <n v="442"/>
    <n v="0"/>
    <n v="442"/>
    <x v="0"/>
    <x v="0"/>
    <x v="0"/>
    <n v="442"/>
    <n v="0"/>
    <n v="442"/>
    <x v="0"/>
    <x v="0"/>
    <x v="0"/>
    <n v="442"/>
    <n v="0"/>
    <n v="442"/>
    <x v="0"/>
    <x v="0"/>
    <x v="0"/>
    <x v="0"/>
    <x v="0"/>
  </r>
  <r>
    <x v="3"/>
    <x v="0"/>
    <x v="0"/>
    <x v="5"/>
    <x v="5"/>
    <x v="9"/>
    <x v="9"/>
    <n v="1343"/>
    <s v="805011901"/>
    <s v="LASKIN S.A."/>
    <s v="201907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DO, DESCUENTO 9% %1.547.813"/>
    <n v="1547813"/>
    <n v="0"/>
    <n v="1547813"/>
    <x v="0"/>
    <x v="0"/>
    <x v="0"/>
    <n v="1547813"/>
    <n v="0"/>
    <n v="1547813"/>
    <x v="0"/>
    <x v="0"/>
    <x v="0"/>
    <n v="1547813"/>
    <n v="0"/>
    <n v="1547813"/>
    <x v="0"/>
    <x v="0"/>
    <x v="0"/>
    <x v="0"/>
    <x v="0"/>
  </r>
  <r>
    <x v="3"/>
    <x v="0"/>
    <x v="0"/>
    <x v="5"/>
    <x v="5"/>
    <x v="1"/>
    <x v="1"/>
    <n v="47386"/>
    <s v="1509246"/>
    <s v="MORALES SANTACRUZ JESUS ANTONIO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3"/>
    <x v="0"/>
    <x v="0"/>
    <x v="5"/>
    <x v="5"/>
    <x v="1"/>
    <x v="1"/>
    <n v="47387"/>
    <s v="890318490"/>
    <s v="FERRETERIA TUBERIAS S.A.S.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3"/>
    <x v="0"/>
    <x v="0"/>
    <x v="5"/>
    <x v="5"/>
    <x v="1"/>
    <x v="1"/>
    <n v="47401"/>
    <s v="860037900"/>
    <s v="CONSTRUCTORA  BOLIVAR  CALI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9677"/>
    <n v="0"/>
    <n v="9677"/>
    <x v="0"/>
    <x v="0"/>
    <x v="0"/>
    <n v="9677"/>
    <n v="0"/>
    <n v="9677"/>
    <x v="0"/>
    <x v="0"/>
    <x v="0"/>
    <n v="9677"/>
    <n v="0"/>
    <n v="9677"/>
    <x v="0"/>
    <x v="0"/>
    <x v="0"/>
    <x v="0"/>
    <x v="0"/>
  </r>
  <r>
    <x v="4"/>
    <x v="0"/>
    <x v="0"/>
    <x v="5"/>
    <x v="5"/>
    <x v="1"/>
    <x v="1"/>
    <n v="47702"/>
    <s v="860037900"/>
    <s v="CONSTRUCTORA  BOLIVAR  CALI S.A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91"/>
    <n v="0"/>
    <n v="6191"/>
    <x v="0"/>
    <x v="0"/>
    <x v="0"/>
    <n v="6191"/>
    <n v="0"/>
    <n v="6191"/>
    <x v="0"/>
    <x v="0"/>
    <x v="0"/>
    <n v="6191"/>
    <n v="0"/>
    <n v="6191"/>
    <x v="0"/>
    <x v="0"/>
    <x v="0"/>
    <x v="0"/>
    <x v="0"/>
  </r>
  <r>
    <x v="2"/>
    <x v="0"/>
    <x v="0"/>
    <x v="5"/>
    <x v="5"/>
    <x v="1"/>
    <x v="1"/>
    <n v="47109"/>
    <s v="900077291"/>
    <s v="INVERSIONES BENAVIDES SOLARTE SCS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7112"/>
    <s v="800254270"/>
    <s v="SOLVAY PEROXIDOS DE COLOMBIA SAS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2608, REPORTA CLIENTE."/>
    <n v="1440"/>
    <n v="0"/>
    <n v="1440"/>
    <x v="0"/>
    <x v="0"/>
    <x v="0"/>
    <n v="1440"/>
    <n v="0"/>
    <n v="1440"/>
    <x v="0"/>
    <x v="0"/>
    <x v="0"/>
    <n v="1440"/>
    <n v="0"/>
    <n v="1440"/>
    <x v="0"/>
    <x v="0"/>
    <x v="0"/>
    <x v="0"/>
    <x v="0"/>
  </r>
  <r>
    <x v="3"/>
    <x v="0"/>
    <x v="0"/>
    <x v="5"/>
    <x v="5"/>
    <x v="1"/>
    <x v="1"/>
    <n v="47222"/>
    <s v="800054863"/>
    <s v="HEMISFERIO TOURS Y CIA LTD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363"/>
    <n v="0"/>
    <n v="7363"/>
    <x v="0"/>
    <x v="0"/>
    <x v="0"/>
    <n v="7363"/>
    <n v="0"/>
    <n v="7363"/>
    <x v="0"/>
    <x v="0"/>
    <x v="0"/>
    <n v="7363"/>
    <n v="0"/>
    <n v="7363"/>
    <x v="0"/>
    <x v="0"/>
    <x v="0"/>
    <x v="0"/>
    <x v="0"/>
  </r>
  <r>
    <x v="3"/>
    <x v="0"/>
    <x v="0"/>
    <x v="0"/>
    <x v="0"/>
    <x v="9"/>
    <x v="9"/>
    <n v="9"/>
    <s v="813011577"/>
    <s v="CLINICA UROS S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13011577"/>
    <s v="CLINICA UROS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CUENTA EN ABOGADO SE LES OTORGA UN DESCUENTO POR PAGO TOTAL DE LA DEUDA"/>
    <n v="256236"/>
    <n v="0"/>
    <n v="256236"/>
    <x v="0"/>
    <x v="0"/>
    <x v="0"/>
    <n v="256236"/>
    <n v="0"/>
    <n v="256236"/>
    <x v="0"/>
    <x v="0"/>
    <x v="0"/>
    <n v="256236"/>
    <n v="0"/>
    <n v="256236"/>
    <x v="0"/>
    <x v="0"/>
    <x v="0"/>
    <x v="0"/>
    <x v="0"/>
  </r>
  <r>
    <x v="3"/>
    <x v="0"/>
    <x v="0"/>
    <x v="1"/>
    <x v="1"/>
    <x v="1"/>
    <x v="1"/>
    <n v="24777"/>
    <s v="891000692"/>
    <s v="CORP. UNIVERSITARIA DEL SINU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1000692"/>
    <s v="CORP. UNIVERSITARIA DEL SIN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98._x000d__x000a_se realiza ajuste de $11.000 pesos faltantes que no cancelo el cliente por error en en los digitos al contabilizar la factura._x000d__x000a_aprobado por Johadys de Paz."/>
    <n v="11000"/>
    <n v="0"/>
    <n v="11000"/>
    <x v="0"/>
    <x v="0"/>
    <x v="0"/>
    <n v="11000"/>
    <n v="0"/>
    <n v="11000"/>
    <x v="0"/>
    <x v="0"/>
    <x v="0"/>
    <n v="11000"/>
    <n v="0"/>
    <n v="11000"/>
    <x v="0"/>
    <x v="0"/>
    <x v="0"/>
    <x v="0"/>
    <x v="0"/>
  </r>
  <r>
    <x v="3"/>
    <x v="0"/>
    <x v="0"/>
    <x v="1"/>
    <x v="1"/>
    <x v="1"/>
    <x v="1"/>
    <n v="24782"/>
    <s v="901166073"/>
    <s v="CENTRO COMERCIAL NUESTRO MONTERIA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9"/>
    <x v="9"/>
    <n v="10"/>
    <s v="860534912"/>
    <s v="CENTRO COMERCIAL GALERIAS - PROPIEDAD HORIZONTAL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34912"/>
    <s v="CENTRO COMERCIAL GALERIAS -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 EN ABOGADO SE LE HACE UN DESCUENTO POR VALOR DE $ 300.592 , POR CANCELACION TOTAL DE LA DEUDA"/>
    <n v="300592"/>
    <n v="0"/>
    <n v="300592"/>
    <x v="0"/>
    <x v="0"/>
    <x v="0"/>
    <n v="300592"/>
    <n v="0"/>
    <n v="300592"/>
    <x v="0"/>
    <x v="0"/>
    <x v="0"/>
    <n v="300592"/>
    <n v="0"/>
    <n v="300592"/>
    <x v="0"/>
    <x v="0"/>
    <x v="0"/>
    <x v="0"/>
    <x v="0"/>
  </r>
  <r>
    <x v="2"/>
    <x v="0"/>
    <x v="0"/>
    <x v="5"/>
    <x v="5"/>
    <x v="1"/>
    <x v="1"/>
    <n v="47086"/>
    <s v="860037900"/>
    <s v="CONSTRUCTORA  BOLIVAR  CALI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79"/>
    <n v="0"/>
    <n v="6179"/>
    <x v="0"/>
    <x v="0"/>
    <x v="0"/>
    <n v="6179"/>
    <n v="0"/>
    <n v="6179"/>
    <x v="0"/>
    <x v="0"/>
    <x v="0"/>
    <n v="6179"/>
    <n v="0"/>
    <n v="6179"/>
    <x v="0"/>
    <x v="0"/>
    <x v="0"/>
    <x v="0"/>
    <x v="0"/>
  </r>
  <r>
    <x v="2"/>
    <x v="0"/>
    <x v="0"/>
    <x v="5"/>
    <x v="5"/>
    <x v="1"/>
    <x v="1"/>
    <n v="47088"/>
    <s v="815000677"/>
    <s v="SUPERSERVICIOS DEL ORIENTE DEL VALLE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5000677"/>
    <s v="SUPERSERVICIOS DEL ORIENTE DEL VALL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1"/>
    <n v="0"/>
    <n v="241"/>
    <x v="0"/>
    <x v="0"/>
    <x v="0"/>
    <n v="241"/>
    <n v="0"/>
    <n v="241"/>
    <x v="0"/>
    <x v="0"/>
    <x v="0"/>
    <n v="241"/>
    <n v="0"/>
    <n v="241"/>
    <x v="0"/>
    <x v="0"/>
    <x v="0"/>
    <x v="0"/>
    <x v="0"/>
  </r>
  <r>
    <x v="3"/>
    <x v="0"/>
    <x v="0"/>
    <x v="1"/>
    <x v="1"/>
    <x v="1"/>
    <x v="1"/>
    <n v="24818"/>
    <s v="32757237"/>
    <s v="MEDINA OLIVEROS FARATH DIV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495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1"/>
    <x v="1"/>
    <x v="1"/>
    <x v="1"/>
    <n v="24826"/>
    <s v="900061516"/>
    <s v="MUEBLES JAMAR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94 - FV5-79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2"/>
    <x v="2"/>
    <x v="9"/>
    <x v="9"/>
    <n v="1599"/>
    <s v="900210981"/>
    <s v="CORPORACION HOSPITALARIA JUAN CIUDAD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0981"/>
    <s v="CORPORACION HOSPITALARIA JUAN CIU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R NEGOCIACION ENTRE LAS PARTES SE BRINDA UN DESCUENTO FINANCIERO DE 10 % POR PAGO DE AÑO ANTICIPADO $ 9.068.904 Y RTE/ICA $ 876.056"/>
    <n v="9068904"/>
    <n v="0"/>
    <n v="9068904"/>
    <x v="0"/>
    <x v="0"/>
    <x v="0"/>
    <n v="9068904"/>
    <n v="0"/>
    <n v="9068904"/>
    <x v="0"/>
    <x v="0"/>
    <x v="0"/>
    <n v="9068904"/>
    <n v="0"/>
    <n v="9068904"/>
    <x v="0"/>
    <x v="0"/>
    <x v="0"/>
    <x v="0"/>
    <x v="0"/>
  </r>
  <r>
    <x v="3"/>
    <x v="0"/>
    <x v="0"/>
    <x v="0"/>
    <x v="0"/>
    <x v="1"/>
    <x v="1"/>
    <n v="2418"/>
    <s v="900017447"/>
    <s v="FALABELLA DE COLOMBIA S 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1"/>
    <x v="1"/>
    <x v="1"/>
    <x v="1"/>
    <x v="1"/>
    <x v="1"/>
    <s v="900017447"/>
    <s v="FALABELLA DE COLOMBIA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OR RETEGARANTIAS"/>
    <n v="0"/>
    <n v="30001"/>
    <n v="-30001"/>
    <x v="0"/>
    <x v="0"/>
    <x v="0"/>
    <n v="0"/>
    <n v="30001"/>
    <n v="-30001"/>
    <x v="0"/>
    <x v="0"/>
    <x v="0"/>
    <n v="0"/>
    <n v="30001"/>
    <n v="-3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0300.46"/>
    <n v="0"/>
    <n v="260300.46"/>
    <x v="0"/>
    <x v="0"/>
    <x v="0"/>
    <n v="260300.46"/>
    <n v="0"/>
    <n v="260300.46"/>
    <x v="0"/>
    <x v="0"/>
    <x v="0"/>
    <n v="260300.46"/>
    <n v="0"/>
    <n v="260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77989.679999999993"/>
    <n v="0"/>
    <n v="77989.680000000008"/>
    <x v="0"/>
    <x v="0"/>
    <x v="0"/>
    <n v="77989.679999999993"/>
    <n v="0"/>
    <n v="77989.680000000008"/>
    <x v="0"/>
    <x v="0"/>
    <x v="0"/>
    <n v="77989.679999999993"/>
    <n v="0"/>
    <n v="77989.68000000000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3"/>
    <n v="0"/>
    <n v="51483"/>
    <x v="0"/>
    <x v="0"/>
    <x v="0"/>
    <n v="51483"/>
    <n v="0"/>
    <n v="51483"/>
    <x v="0"/>
    <x v="0"/>
    <x v="0"/>
    <n v="51483"/>
    <n v="0"/>
    <n v="5148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7"/>
    <x v="0"/>
    <x v="0"/>
    <x v="0"/>
    <x v="0"/>
    <x v="2"/>
    <x v="2"/>
    <n v="20088"/>
    <s v="860002964"/>
    <s v="BANCO DE BOGOT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DEL 2018"/>
    <n v="42819.39"/>
    <n v="0"/>
    <n v="42819.39"/>
    <x v="0"/>
    <x v="0"/>
    <x v="0"/>
    <n v="42819.39"/>
    <n v="0"/>
    <n v="42819.39"/>
    <x v="0"/>
    <x v="0"/>
    <x v="0"/>
    <n v="42819.39"/>
    <n v="0"/>
    <n v="42819.39"/>
    <x v="0"/>
    <x v="0"/>
    <x v="0"/>
    <x v="0"/>
    <x v="0"/>
  </r>
  <r>
    <x v="7"/>
    <x v="0"/>
    <x v="0"/>
    <x v="0"/>
    <x v="0"/>
    <x v="2"/>
    <x v="2"/>
    <n v="2008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DE CONCILIACION BANCARIA POR IVA YA PRESENTADO"/>
    <n v="0"/>
    <n v="150000"/>
    <n v="-150000"/>
    <x v="0"/>
    <x v="0"/>
    <x v="0"/>
    <n v="0"/>
    <n v="150000"/>
    <n v="-150000"/>
    <x v="0"/>
    <x v="0"/>
    <x v="0"/>
    <n v="0"/>
    <n v="150000"/>
    <n v="-15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25006"/>
    <n v="0"/>
    <n v="425006"/>
    <x v="0"/>
    <x v="0"/>
    <x v="0"/>
    <n v="425006"/>
    <n v="0"/>
    <n v="425006"/>
    <x v="0"/>
    <x v="0"/>
    <x v="0"/>
    <n v="425006"/>
    <n v="0"/>
    <n v="4250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7182"/>
    <n v="0"/>
    <n v="7182"/>
    <x v="0"/>
    <x v="0"/>
    <x v="0"/>
    <n v="7182"/>
    <n v="0"/>
    <n v="7182"/>
    <x v="0"/>
    <x v="0"/>
    <x v="0"/>
    <n v="7182"/>
    <n v="0"/>
    <n v="718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364.58"/>
    <n v="0"/>
    <n v="1364.58"/>
    <x v="0"/>
    <x v="0"/>
    <x v="0"/>
    <n v="1364.58"/>
    <n v="0"/>
    <n v="1364.58"/>
    <x v="0"/>
    <x v="0"/>
    <x v="0"/>
    <n v="1364.58"/>
    <n v="0"/>
    <n v="1364.58"/>
    <x v="0"/>
    <x v="0"/>
    <x v="0"/>
    <x v="0"/>
    <x v="0"/>
  </r>
  <r>
    <x v="7"/>
    <x v="0"/>
    <x v="0"/>
    <x v="0"/>
    <x v="0"/>
    <x v="2"/>
    <x v="2"/>
    <n v="20092"/>
    <s v="890300279"/>
    <s v="BANCO DE OCCIDENTE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DE GASTO BANCARRIO APLICADO DE MAS"/>
    <n v="0"/>
    <n v="1011206"/>
    <n v="-1011206"/>
    <x v="0"/>
    <x v="0"/>
    <x v="0"/>
    <n v="0"/>
    <n v="1011206"/>
    <n v="-1011206"/>
    <x v="0"/>
    <x v="0"/>
    <x v="0"/>
    <n v="0"/>
    <n v="1011206"/>
    <n v="-1011206"/>
    <x v="0"/>
    <x v="0"/>
    <x v="0"/>
    <x v="0"/>
    <x v="0"/>
  </r>
  <r>
    <x v="7"/>
    <x v="0"/>
    <x v="0"/>
    <x v="0"/>
    <x v="0"/>
    <x v="2"/>
    <x v="2"/>
    <n v="20093"/>
    <s v="900406150"/>
    <s v="BANCO COOMEV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BANCOOMEVA"/>
    <n v="118232"/>
    <n v="0"/>
    <n v="118232"/>
    <x v="0"/>
    <x v="0"/>
    <x v="0"/>
    <n v="118232"/>
    <n v="0"/>
    <n v="118232"/>
    <x v="0"/>
    <x v="0"/>
    <x v="0"/>
    <n v="118232"/>
    <n v="0"/>
    <n v="118232"/>
    <x v="0"/>
    <x v="0"/>
    <x v="0"/>
    <x v="0"/>
    <x v="0"/>
  </r>
  <r>
    <x v="7"/>
    <x v="0"/>
    <x v="0"/>
    <x v="0"/>
    <x v="0"/>
    <x v="2"/>
    <x v="2"/>
    <n v="20048"/>
    <s v="440000000330"/>
    <s v="BANCOLOMBIA CAYMAN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BRIL 2019 - trm 3247.72"/>
    <n v="354001.48"/>
    <n v="0"/>
    <n v="354001.48"/>
    <x v="0"/>
    <x v="0"/>
    <x v="0"/>
    <n v="354001.48"/>
    <n v="0"/>
    <n v="354001.48"/>
    <x v="0"/>
    <x v="0"/>
    <x v="0"/>
    <n v="354001.48"/>
    <n v="0"/>
    <n v="354001.48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7"/>
    <x v="0"/>
    <x v="0"/>
    <x v="0"/>
    <x v="0"/>
    <x v="2"/>
    <x v="2"/>
    <n v="20067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DIFERENCIA EN CENTAVOS PAGO DE TARJETA DE CREDITO"/>
    <n v="0.33"/>
    <n v="0"/>
    <n v="0.33"/>
    <x v="0"/>
    <x v="0"/>
    <x v="0"/>
    <n v="0.33"/>
    <n v="0"/>
    <n v="0.33"/>
    <x v="0"/>
    <x v="0"/>
    <x v="0"/>
    <n v="0.33"/>
    <n v="0"/>
    <n v="0.33"/>
    <x v="0"/>
    <x v="0"/>
    <x v="0"/>
    <x v="0"/>
    <x v="0"/>
  </r>
  <r>
    <x v="1"/>
    <x v="0"/>
    <x v="0"/>
    <x v="0"/>
    <x v="0"/>
    <x v="2"/>
    <x v="2"/>
    <n v="19648"/>
    <s v="891480030"/>
    <s v="MUNICIPIO DE PEREIRA"/>
    <s v="20190213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6"/>
    <x v="6"/>
    <x v="0"/>
    <x v="0"/>
    <x v="0"/>
    <x v="0"/>
    <s v="891480030"/>
    <s v="MUNICIPIO DE PERE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 IND Y COMER ANUAL PEREIRA 2018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6"/>
    <x v="0"/>
    <x v="0"/>
    <x v="0"/>
    <x v="0"/>
    <x v="2"/>
    <x v="2"/>
    <n v="20157"/>
    <s v="890903938"/>
    <s v="BANCOLOMBIA S.A."/>
    <s v="20190509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434 MAL APLICADA"/>
    <n v="1897888"/>
    <n v="0"/>
    <n v="1897888"/>
    <x v="0"/>
    <x v="0"/>
    <x v="0"/>
    <n v="1897888"/>
    <n v="0"/>
    <n v="1897888"/>
    <x v="0"/>
    <x v="0"/>
    <x v="0"/>
    <n v="1897888"/>
    <n v="0"/>
    <n v="1897888"/>
    <x v="0"/>
    <x v="0"/>
    <x v="0"/>
    <x v="0"/>
    <x v="0"/>
  </r>
  <r>
    <x v="6"/>
    <x v="0"/>
    <x v="0"/>
    <x v="0"/>
    <x v="0"/>
    <x v="2"/>
    <x v="2"/>
    <n v="20277"/>
    <s v="890903407"/>
    <s v="SEGUROS GENERALES SURAMERICANA S.A"/>
    <s v="20190531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99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ERROR EN CENTRO DE OPERACION"/>
    <n v="58175"/>
    <n v="0"/>
    <n v="58175"/>
    <x v="0"/>
    <x v="0"/>
    <x v="0"/>
    <n v="58175"/>
    <n v="0"/>
    <n v="58175"/>
    <x v="0"/>
    <x v="0"/>
    <x v="0"/>
    <n v="58175"/>
    <n v="0"/>
    <n v="58175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67896"/>
    <n v="0"/>
    <n v="67896"/>
    <x v="0"/>
    <x v="0"/>
    <x v="0"/>
    <n v="67896"/>
    <n v="0"/>
    <n v="67896"/>
    <x v="0"/>
    <x v="0"/>
    <x v="0"/>
    <n v="67896"/>
    <n v="0"/>
    <n v="67896"/>
    <x v="0"/>
    <x v="0"/>
    <x v="0"/>
    <x v="0"/>
    <x v="0"/>
  </r>
  <r>
    <x v="7"/>
    <x v="0"/>
    <x v="0"/>
    <x v="0"/>
    <x v="0"/>
    <x v="2"/>
    <x v="2"/>
    <n v="200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7"/>
    <x v="0"/>
    <x v="0"/>
    <x v="0"/>
    <x v="0"/>
    <x v="2"/>
    <x v="2"/>
    <n v="20078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58800"/>
    <n v="0"/>
    <n v="358800"/>
    <x v="0"/>
    <x v="0"/>
    <x v="0"/>
    <n v="358800"/>
    <n v="0"/>
    <n v="358800"/>
    <x v="0"/>
    <x v="0"/>
    <x v="0"/>
    <n v="358800"/>
    <n v="0"/>
    <n v="3588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53698"/>
    <n v="0"/>
    <n v="53698"/>
    <x v="0"/>
    <x v="0"/>
    <x v="0"/>
    <n v="53698"/>
    <n v="0"/>
    <n v="53698"/>
    <x v="0"/>
    <x v="0"/>
    <x v="0"/>
    <n v="53698"/>
    <n v="0"/>
    <n v="53698"/>
    <x v="0"/>
    <x v="0"/>
    <x v="0"/>
    <x v="0"/>
    <x v="0"/>
  </r>
  <r>
    <x v="6"/>
    <x v="0"/>
    <x v="0"/>
    <x v="0"/>
    <x v="0"/>
    <x v="11"/>
    <x v="11"/>
    <n v="26193"/>
    <s v="4519543"/>
    <s v="GARCIA CASTAÑO FREDY JHOVANNY"/>
    <s v="201905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4 + gastos bancarios"/>
    <n v="2800"/>
    <n v="0"/>
    <n v="2800"/>
    <x v="0"/>
    <x v="0"/>
    <x v="0"/>
    <n v="2800"/>
    <n v="0"/>
    <n v="2800"/>
    <x v="0"/>
    <x v="0"/>
    <x v="0"/>
    <n v="2800"/>
    <n v="0"/>
    <n v="2800"/>
    <x v="0"/>
    <x v="0"/>
    <x v="0"/>
    <x v="0"/>
    <x v="0"/>
  </r>
  <r>
    <x v="6"/>
    <x v="0"/>
    <x v="0"/>
    <x v="0"/>
    <x v="0"/>
    <x v="2"/>
    <x v="2"/>
    <n v="20090"/>
    <s v="890903938"/>
    <s v="BANCOLOMBIA S.A."/>
    <s v="201905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 REVERSA NI 20088  ( IVA DE CONCILACION BANCARIA )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6"/>
    <x v="0"/>
    <x v="0"/>
    <x v="0"/>
    <x v="0"/>
    <x v="11"/>
    <x v="11"/>
    <n v="26225"/>
    <s v="71631400"/>
    <s v="CARRASQUILLA PIZARRO MARCO ANTONI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5 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6"/>
    <x v="0"/>
    <x v="0"/>
    <x v="0"/>
    <x v="0"/>
    <x v="11"/>
    <x v="11"/>
    <n v="26226"/>
    <s v="31908098"/>
    <s v="LOPEZ GARCIA MARIA DEL SOCORR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2 + GASTOS BANCARIOS"/>
    <n v="7520"/>
    <n v="0"/>
    <n v="7520"/>
    <x v="0"/>
    <x v="0"/>
    <x v="0"/>
    <n v="7520"/>
    <n v="0"/>
    <n v="7520"/>
    <x v="0"/>
    <x v="0"/>
    <x v="0"/>
    <n v="7520"/>
    <n v="0"/>
    <n v="7520"/>
    <x v="0"/>
    <x v="0"/>
    <x v="0"/>
    <x v="0"/>
    <x v="0"/>
  </r>
  <r>
    <x v="6"/>
    <x v="0"/>
    <x v="0"/>
    <x v="0"/>
    <x v="0"/>
    <x v="11"/>
    <x v="11"/>
    <n v="26227"/>
    <s v="1018441067"/>
    <s v="ALONSO GUTIERREZ YINNETH CATALIN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 + GASTOS BANCARIOS"/>
    <n v="11584"/>
    <n v="0"/>
    <n v="11584"/>
    <x v="0"/>
    <x v="0"/>
    <x v="0"/>
    <n v="11584"/>
    <n v="0"/>
    <n v="11584"/>
    <x v="0"/>
    <x v="0"/>
    <x v="0"/>
    <n v="11584"/>
    <n v="0"/>
    <n v="11584"/>
    <x v="0"/>
    <x v="0"/>
    <x v="0"/>
    <x v="0"/>
    <x v="0"/>
  </r>
  <r>
    <x v="0"/>
    <x v="0"/>
    <x v="0"/>
    <x v="0"/>
    <x v="0"/>
    <x v="2"/>
    <x v="2"/>
    <n v="19609"/>
    <s v="440000000330"/>
    <s v="BANCOLOMBIA CAYMAN"/>
    <s v="201901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COMPENSACION - ENERO 2019 (TRM 3163.46)"/>
    <n v="521559.65"/>
    <n v="0"/>
    <n v="521559.65"/>
    <x v="0"/>
    <x v="0"/>
    <x v="0"/>
    <n v="521559.65"/>
    <n v="0"/>
    <n v="521559.65"/>
    <x v="0"/>
    <x v="0"/>
    <x v="0"/>
    <n v="521559.65"/>
    <n v="0"/>
    <n v="521559.65"/>
    <x v="0"/>
    <x v="0"/>
    <x v="0"/>
    <x v="0"/>
    <x v="0"/>
  </r>
  <r>
    <x v="1"/>
    <x v="0"/>
    <x v="0"/>
    <x v="0"/>
    <x v="0"/>
    <x v="2"/>
    <x v="2"/>
    <n v="19760"/>
    <s v="890903938"/>
    <s v="BANCOLOMBIA S.A."/>
    <s v="20190228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OLOMBIA  - FEB 2019"/>
    <n v="44999.7"/>
    <n v="0"/>
    <n v="44999.700000000004"/>
    <x v="0"/>
    <x v="0"/>
    <x v="0"/>
    <n v="44999.7"/>
    <n v="0"/>
    <n v="44999.700000000004"/>
    <x v="0"/>
    <x v="0"/>
    <x v="0"/>
    <n v="44999.7"/>
    <n v="0"/>
    <n v="44999.700000000004"/>
    <x v="0"/>
    <x v="0"/>
    <x v="0"/>
    <x v="0"/>
    <x v="0"/>
  </r>
  <r>
    <x v="5"/>
    <x v="0"/>
    <x v="0"/>
    <x v="0"/>
    <x v="0"/>
    <x v="2"/>
    <x v="2"/>
    <n v="19921"/>
    <s v="440000000330"/>
    <s v="BANCOLOMBIA CAYMAN"/>
    <s v="201903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ONES CUENTA DE COMPENSACION- MARZO 2019"/>
    <n v="257157.99"/>
    <n v="0"/>
    <n v="257157.99000000002"/>
    <x v="0"/>
    <x v="0"/>
    <x v="0"/>
    <n v="257157.99"/>
    <n v="0"/>
    <n v="257157.99000000002"/>
    <x v="0"/>
    <x v="0"/>
    <x v="0"/>
    <n v="257157.99"/>
    <n v="0"/>
    <n v="257157.99000000002"/>
    <x v="0"/>
    <x v="0"/>
    <x v="0"/>
    <x v="0"/>
    <x v="0"/>
  </r>
  <r>
    <x v="5"/>
    <x v="0"/>
    <x v="0"/>
    <x v="0"/>
    <x v="0"/>
    <x v="2"/>
    <x v="2"/>
    <n v="19933"/>
    <s v="890903938"/>
    <s v="BANCOLOMBIA S.A."/>
    <s v="201903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ARZO 2019"/>
    <n v="64298.84"/>
    <n v="0"/>
    <n v="64298.840000000004"/>
    <x v="0"/>
    <x v="0"/>
    <x v="0"/>
    <n v="64298.84"/>
    <n v="0"/>
    <n v="64298.840000000004"/>
    <x v="0"/>
    <x v="0"/>
    <x v="0"/>
    <n v="64298.84"/>
    <n v="0"/>
    <n v="64298.840000000004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2"/>
    <x v="0"/>
    <x v="0"/>
    <x v="0"/>
    <x v="0"/>
    <x v="2"/>
    <x v="2"/>
    <n v="20394"/>
    <s v="440000000330"/>
    <s v="BANCOLOMBIA CAYMAN"/>
    <s v="201906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JUNIO 2019- CUENTA COMPENSACION  (TRM 3205.67)"/>
    <n v="349225.69"/>
    <n v="0"/>
    <n v="349225.69"/>
    <x v="0"/>
    <x v="0"/>
    <x v="0"/>
    <n v="349225.69"/>
    <n v="0"/>
    <n v="349225.69"/>
    <x v="0"/>
    <x v="0"/>
    <x v="0"/>
    <n v="349225.69"/>
    <n v="0"/>
    <n v="349225.69"/>
    <x v="0"/>
    <x v="0"/>
    <x v="0"/>
    <x v="0"/>
    <x v="0"/>
  </r>
  <r>
    <x v="3"/>
    <x v="0"/>
    <x v="0"/>
    <x v="0"/>
    <x v="0"/>
    <x v="2"/>
    <x v="2"/>
    <n v="20570"/>
    <s v="440000000330"/>
    <s v="BANCOLOMBIA CAYMAN"/>
    <s v="201907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0"/>
    <x v="0"/>
    <x v="0"/>
    <x v="0"/>
    <x v="0"/>
    <x v="0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AYMAN - COMISIONES MES DE JULIO ( TRM 3296,85)"/>
    <n v="728406.04"/>
    <n v="0"/>
    <n v="728406.04"/>
    <x v="0"/>
    <x v="0"/>
    <x v="0"/>
    <n v="728406.04"/>
    <n v="0"/>
    <n v="728406.04"/>
    <x v="0"/>
    <x v="0"/>
    <x v="0"/>
    <n v="728406.04"/>
    <n v="0"/>
    <n v="728406.04"/>
    <x v="0"/>
    <x v="0"/>
    <x v="0"/>
    <x v="0"/>
    <x v="0"/>
  </r>
  <r>
    <x v="4"/>
    <x v="0"/>
    <x v="0"/>
    <x v="0"/>
    <x v="0"/>
    <x v="2"/>
    <x v="2"/>
    <n v="20692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AGOSTO - COMISION EV4  LTDA"/>
    <n v="839345.14"/>
    <n v="0"/>
    <n v="839345.14"/>
    <x v="0"/>
    <x v="0"/>
    <x v="0"/>
    <n v="839345.14"/>
    <n v="0"/>
    <n v="839345.14"/>
    <x v="0"/>
    <x v="0"/>
    <x v="0"/>
    <n v="839345.14"/>
    <n v="0"/>
    <n v="839345.14"/>
    <x v="0"/>
    <x v="0"/>
    <x v="0"/>
    <x v="0"/>
    <x v="0"/>
  </r>
  <r>
    <x v="4"/>
    <x v="0"/>
    <x v="0"/>
    <x v="0"/>
    <x v="0"/>
    <x v="2"/>
    <x v="2"/>
    <n v="20693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487484.73"/>
    <n v="0"/>
    <n v="487484.73"/>
    <x v="0"/>
    <x v="0"/>
    <x v="0"/>
    <n v="487484.73"/>
    <n v="0"/>
    <n v="487484.73"/>
    <x v="0"/>
    <x v="0"/>
    <x v="0"/>
    <n v="487484.73"/>
    <n v="0"/>
    <n v="487484.73"/>
    <x v="0"/>
    <x v="0"/>
    <x v="0"/>
    <x v="0"/>
    <x v="0"/>
  </r>
  <r>
    <x v="0"/>
    <x v="0"/>
    <x v="0"/>
    <x v="0"/>
    <x v="0"/>
    <x v="2"/>
    <x v="2"/>
    <n v="19416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AV VILLAS"/>
    <n v="641215"/>
    <n v="0"/>
    <n v="641215"/>
    <x v="0"/>
    <x v="0"/>
    <x v="0"/>
    <n v="641215"/>
    <n v="0"/>
    <n v="641215"/>
    <x v="0"/>
    <x v="0"/>
    <x v="0"/>
    <n v="641215"/>
    <n v="0"/>
    <n v="641215"/>
    <x v="0"/>
    <x v="0"/>
    <x v="0"/>
    <x v="0"/>
    <x v="0"/>
  </r>
  <r>
    <x v="0"/>
    <x v="0"/>
    <x v="0"/>
    <x v="0"/>
    <x v="0"/>
    <x v="2"/>
    <x v="2"/>
    <n v="19418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AV VILLAS"/>
    <n v="744412"/>
    <n v="0"/>
    <n v="744412"/>
    <x v="0"/>
    <x v="0"/>
    <x v="0"/>
    <n v="744412"/>
    <n v="0"/>
    <n v="744412"/>
    <x v="0"/>
    <x v="0"/>
    <x v="0"/>
    <n v="744412"/>
    <n v="0"/>
    <n v="744412"/>
    <x v="0"/>
    <x v="0"/>
    <x v="0"/>
    <x v="0"/>
    <x v="0"/>
  </r>
  <r>
    <x v="0"/>
    <x v="0"/>
    <x v="0"/>
    <x v="0"/>
    <x v="0"/>
    <x v="2"/>
    <x v="2"/>
    <n v="19419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V VILLAS"/>
    <n v="434677"/>
    <n v="0"/>
    <n v="434677"/>
    <x v="0"/>
    <x v="0"/>
    <x v="0"/>
    <n v="434677"/>
    <n v="0"/>
    <n v="434677"/>
    <x v="0"/>
    <x v="0"/>
    <x v="0"/>
    <n v="434677"/>
    <n v="0"/>
    <n v="434677"/>
    <x v="0"/>
    <x v="0"/>
    <x v="0"/>
    <x v="0"/>
    <x v="0"/>
  </r>
  <r>
    <x v="0"/>
    <x v="0"/>
    <x v="0"/>
    <x v="0"/>
    <x v="0"/>
    <x v="2"/>
    <x v="2"/>
    <n v="19443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422-1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444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957-8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447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49"/>
    <n v="786309.83"/>
    <n v="0"/>
    <n v="786309.83000000007"/>
    <x v="0"/>
    <x v="0"/>
    <x v="0"/>
    <n v="786309.83"/>
    <n v="0"/>
    <n v="786309.83000000007"/>
    <x v="0"/>
    <x v="0"/>
    <x v="0"/>
    <n v="786309.83"/>
    <n v="0"/>
    <n v="786309.83000000007"/>
    <x v="0"/>
    <x v="0"/>
    <x v="0"/>
    <x v="0"/>
    <x v="0"/>
  </r>
  <r>
    <x v="0"/>
    <x v="0"/>
    <x v="0"/>
    <x v="0"/>
    <x v="0"/>
    <x v="2"/>
    <x v="2"/>
    <n v="19448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912"/>
    <n v="176493.89"/>
    <n v="0"/>
    <n v="176493.89"/>
    <x v="0"/>
    <x v="0"/>
    <x v="0"/>
    <n v="176493.89"/>
    <n v="0"/>
    <n v="176493.89"/>
    <x v="0"/>
    <x v="0"/>
    <x v="0"/>
    <n v="176493.89"/>
    <n v="0"/>
    <n v="176493.89"/>
    <x v="0"/>
    <x v="0"/>
    <x v="0"/>
    <x v="0"/>
    <x v="0"/>
  </r>
  <r>
    <x v="0"/>
    <x v="0"/>
    <x v="0"/>
    <x v="0"/>
    <x v="0"/>
    <x v="2"/>
    <x v="2"/>
    <n v="19552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450-00  BANCOLOMBIA"/>
    <n v="238606"/>
    <n v="0"/>
    <n v="238606"/>
    <x v="0"/>
    <x v="0"/>
    <x v="0"/>
    <n v="238606"/>
    <n v="0"/>
    <n v="238606"/>
    <x v="0"/>
    <x v="0"/>
    <x v="0"/>
    <n v="238606"/>
    <n v="0"/>
    <n v="238606"/>
    <x v="0"/>
    <x v="0"/>
    <x v="0"/>
    <x v="0"/>
    <x v="0"/>
  </r>
  <r>
    <x v="0"/>
    <x v="0"/>
    <x v="0"/>
    <x v="0"/>
    <x v="0"/>
    <x v="2"/>
    <x v="2"/>
    <n v="19553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MES DE ENERO DEL 2018- OBLIGACION  195962"/>
    <n v="315503"/>
    <n v="0"/>
    <n v="315503"/>
    <x v="0"/>
    <x v="0"/>
    <x v="0"/>
    <n v="315503"/>
    <n v="0"/>
    <n v="315503"/>
    <x v="0"/>
    <x v="0"/>
    <x v="0"/>
    <n v="315503"/>
    <n v="0"/>
    <n v="315503"/>
    <x v="0"/>
    <x v="0"/>
    <x v="0"/>
    <x v="0"/>
    <x v="0"/>
  </r>
  <r>
    <x v="0"/>
    <x v="0"/>
    <x v="0"/>
    <x v="0"/>
    <x v="0"/>
    <x v="2"/>
    <x v="2"/>
    <n v="19554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CUOTA MES DE ENERO"/>
    <n v="70998"/>
    <n v="0"/>
    <n v="70998"/>
    <x v="0"/>
    <x v="0"/>
    <x v="0"/>
    <n v="70998"/>
    <n v="0"/>
    <n v="70998"/>
    <x v="0"/>
    <x v="0"/>
    <x v="0"/>
    <n v="70998"/>
    <n v="0"/>
    <n v="70998"/>
    <x v="0"/>
    <x v="0"/>
    <x v="0"/>
    <x v="0"/>
    <x v="0"/>
  </r>
  <r>
    <x v="0"/>
    <x v="0"/>
    <x v="0"/>
    <x v="0"/>
    <x v="0"/>
    <x v="2"/>
    <x v="2"/>
    <n v="19613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"/>
    <n v="1042149"/>
    <n v="0"/>
    <n v="1042149"/>
    <x v="0"/>
    <x v="0"/>
    <x v="0"/>
    <n v="1042149"/>
    <n v="0"/>
    <n v="1042149"/>
    <x v="0"/>
    <x v="0"/>
    <x v="0"/>
    <n v="1042149"/>
    <n v="0"/>
    <n v="1042149"/>
    <x v="0"/>
    <x v="0"/>
    <x v="0"/>
    <x v="0"/>
    <x v="0"/>
  </r>
  <r>
    <x v="0"/>
    <x v="0"/>
    <x v="0"/>
    <x v="0"/>
    <x v="0"/>
    <x v="2"/>
    <x v="2"/>
    <n v="19599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 BANCOLOMBIA"/>
    <n v="2746275"/>
    <n v="0"/>
    <n v="2746275"/>
    <x v="0"/>
    <x v="0"/>
    <x v="0"/>
    <n v="2746275"/>
    <n v="0"/>
    <n v="2746275"/>
    <x v="0"/>
    <x v="0"/>
    <x v="0"/>
    <n v="2746275"/>
    <n v="0"/>
    <n v="2746275"/>
    <x v="0"/>
    <x v="0"/>
    <x v="0"/>
    <x v="0"/>
    <x v="0"/>
  </r>
  <r>
    <x v="0"/>
    <x v="0"/>
    <x v="0"/>
    <x v="0"/>
    <x v="0"/>
    <x v="2"/>
    <x v="2"/>
    <n v="19600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598 BANCOLOMBIA"/>
    <n v="62500"/>
    <n v="0"/>
    <n v="62500"/>
    <x v="0"/>
    <x v="0"/>
    <x v="0"/>
    <n v="62500"/>
    <n v="0"/>
    <n v="62500"/>
    <x v="0"/>
    <x v="0"/>
    <x v="0"/>
    <n v="62500"/>
    <n v="0"/>
    <n v="62500"/>
    <x v="0"/>
    <x v="0"/>
    <x v="0"/>
    <x v="0"/>
    <x v="0"/>
  </r>
  <r>
    <x v="0"/>
    <x v="0"/>
    <x v="0"/>
    <x v="0"/>
    <x v="0"/>
    <x v="2"/>
    <x v="2"/>
    <n v="19628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4221 BANCO DE OCCIDENTE ( CUOTA DOBLE EN ENERO 2019)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629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632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X 2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1"/>
    <x v="0"/>
    <x v="0"/>
    <x v="0"/>
    <x v="0"/>
    <x v="2"/>
    <x v="2"/>
    <n v="19602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527366 -7"/>
    <n v="1362153"/>
    <n v="0"/>
    <n v="1362153"/>
    <x v="0"/>
    <x v="0"/>
    <x v="0"/>
    <n v="1362153"/>
    <n v="0"/>
    <n v="1362153"/>
    <x v="0"/>
    <x v="0"/>
    <x v="0"/>
    <n v="1362153"/>
    <n v="0"/>
    <n v="1362153"/>
    <x v="0"/>
    <x v="0"/>
    <x v="0"/>
    <x v="0"/>
    <x v="0"/>
  </r>
  <r>
    <x v="1"/>
    <x v="0"/>
    <x v="0"/>
    <x v="0"/>
    <x v="0"/>
    <x v="2"/>
    <x v="2"/>
    <n v="19603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459791-4 -7"/>
    <n v="814729"/>
    <n v="0"/>
    <n v="814729"/>
    <x v="0"/>
    <x v="0"/>
    <x v="0"/>
    <n v="814729"/>
    <n v="0"/>
    <n v="814729"/>
    <x v="0"/>
    <x v="0"/>
    <x v="0"/>
    <n v="814729"/>
    <n v="0"/>
    <n v="814729"/>
    <x v="0"/>
    <x v="0"/>
    <x v="0"/>
    <x v="0"/>
    <x v="0"/>
  </r>
  <r>
    <x v="1"/>
    <x v="0"/>
    <x v="0"/>
    <x v="0"/>
    <x v="0"/>
    <x v="2"/>
    <x v="2"/>
    <n v="19605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277483-7"/>
    <n v="365269"/>
    <n v="0"/>
    <n v="365269"/>
    <x v="0"/>
    <x v="0"/>
    <x v="0"/>
    <n v="365269"/>
    <n v="0"/>
    <n v="365269"/>
    <x v="0"/>
    <x v="0"/>
    <x v="0"/>
    <n v="365269"/>
    <n v="0"/>
    <n v="365269"/>
    <x v="0"/>
    <x v="0"/>
    <x v="0"/>
    <x v="0"/>
    <x v="0"/>
  </r>
  <r>
    <x v="1"/>
    <x v="0"/>
    <x v="0"/>
    <x v="0"/>
    <x v="0"/>
    <x v="2"/>
    <x v="2"/>
    <n v="19597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8138-3 AV VILLAS"/>
    <n v="32322"/>
    <n v="0"/>
    <n v="32322"/>
    <x v="0"/>
    <x v="0"/>
    <x v="0"/>
    <n v="32322"/>
    <n v="0"/>
    <n v="32322"/>
    <x v="0"/>
    <x v="0"/>
    <x v="0"/>
    <n v="32322"/>
    <n v="0"/>
    <n v="32322"/>
    <x v="0"/>
    <x v="0"/>
    <x v="0"/>
    <x v="0"/>
    <x v="0"/>
  </r>
  <r>
    <x v="1"/>
    <x v="0"/>
    <x v="0"/>
    <x v="0"/>
    <x v="0"/>
    <x v="2"/>
    <x v="2"/>
    <n v="19614"/>
    <s v="860002964"/>
    <s v="BANCO DE BOGOT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3912 BANCO DE BOGOTA"/>
    <n v="162543.9"/>
    <n v="0"/>
    <n v="162543.9"/>
    <x v="0"/>
    <x v="0"/>
    <x v="0"/>
    <n v="162543.9"/>
    <n v="0"/>
    <n v="162543.9"/>
    <x v="0"/>
    <x v="0"/>
    <x v="0"/>
    <n v="162543.9"/>
    <n v="0"/>
    <n v="162543.9"/>
    <x v="0"/>
    <x v="0"/>
    <x v="0"/>
    <x v="0"/>
    <x v="0"/>
  </r>
  <r>
    <x v="1"/>
    <x v="0"/>
    <x v="0"/>
    <x v="0"/>
    <x v="0"/>
    <x v="2"/>
    <x v="2"/>
    <n v="19616"/>
    <s v="890903938"/>
    <s v="BANCOLOMBI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88263  BANCOLOMBIA"/>
    <n v="2618389"/>
    <n v="0"/>
    <n v="2618389"/>
    <x v="0"/>
    <x v="0"/>
    <x v="0"/>
    <n v="2618389"/>
    <n v="0"/>
    <n v="2618389"/>
    <x v="0"/>
    <x v="0"/>
    <x v="0"/>
    <n v="2618389"/>
    <n v="0"/>
    <n v="2618389"/>
    <x v="0"/>
    <x v="0"/>
    <x v="0"/>
    <x v="0"/>
    <x v="0"/>
  </r>
  <r>
    <x v="1"/>
    <x v="0"/>
    <x v="0"/>
    <x v="0"/>
    <x v="0"/>
    <x v="2"/>
    <x v="2"/>
    <n v="19652"/>
    <s v="860007660"/>
    <s v="HELM BANK S.A."/>
    <s v="201902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4225 HELM BANCK- GASTO DE AMAZON DENNY SANCHEZ"/>
    <n v="18395.36"/>
    <n v="0"/>
    <n v="18395.36"/>
    <x v="0"/>
    <x v="0"/>
    <x v="0"/>
    <n v="18395.36"/>
    <n v="0"/>
    <n v="18395.36"/>
    <x v="0"/>
    <x v="0"/>
    <x v="0"/>
    <n v="18395.36"/>
    <n v="0"/>
    <n v="18395.36"/>
    <x v="0"/>
    <x v="0"/>
    <x v="0"/>
    <x v="0"/>
    <x v="0"/>
  </r>
  <r>
    <x v="1"/>
    <x v="0"/>
    <x v="0"/>
    <x v="0"/>
    <x v="0"/>
    <x v="2"/>
    <x v="2"/>
    <n v="19666"/>
    <s v="890903938"/>
    <s v="BANCOLOMBIA S.A."/>
    <s v="2019021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 CUOTA 26"/>
    <n v="304422"/>
    <n v="0"/>
    <n v="304422"/>
    <x v="0"/>
    <x v="0"/>
    <x v="0"/>
    <n v="304422"/>
    <n v="0"/>
    <n v="304422"/>
    <x v="0"/>
    <x v="0"/>
    <x v="0"/>
    <n v="304422"/>
    <n v="0"/>
    <n v="304422"/>
    <x v="0"/>
    <x v="0"/>
    <x v="0"/>
    <x v="0"/>
    <x v="0"/>
  </r>
  <r>
    <x v="1"/>
    <x v="0"/>
    <x v="0"/>
    <x v="0"/>
    <x v="0"/>
    <x v="12"/>
    <x v="12"/>
    <n v="6883"/>
    <s v="860035827"/>
    <s v="BANCO AV VILLAS"/>
    <s v="201902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002527366-7"/>
    <n v="9800"/>
    <n v="0"/>
    <n v="9800"/>
    <x v="0"/>
    <x v="0"/>
    <x v="0"/>
    <n v="9800"/>
    <n v="0"/>
    <n v="9800"/>
    <x v="0"/>
    <x v="0"/>
    <x v="0"/>
    <n v="9800"/>
    <n v="0"/>
    <n v="9800"/>
    <x v="0"/>
    <x v="0"/>
    <x v="0"/>
    <x v="0"/>
    <x v="0"/>
  </r>
  <r>
    <x v="1"/>
    <x v="0"/>
    <x v="0"/>
    <x v="0"/>
    <x v="0"/>
    <x v="2"/>
    <x v="2"/>
    <n v="19763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UOTA FEB CREDITO CESANTIAS -"/>
    <n v="31717.31"/>
    <n v="0"/>
    <n v="31717.31"/>
    <x v="0"/>
    <x v="0"/>
    <x v="0"/>
    <n v="31717.31"/>
    <n v="0"/>
    <n v="31717.31"/>
    <x v="0"/>
    <x v="0"/>
    <x v="0"/>
    <n v="31717.31"/>
    <n v="0"/>
    <n v="31717.31"/>
    <x v="0"/>
    <x v="0"/>
    <x v="0"/>
    <x v="0"/>
    <x v="0"/>
  </r>
  <r>
    <x v="1"/>
    <x v="0"/>
    <x v="0"/>
    <x v="0"/>
    <x v="0"/>
    <x v="2"/>
    <x v="2"/>
    <n v="19764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FEB CREDITO 9670084268"/>
    <n v="1006853"/>
    <n v="0"/>
    <n v="1006853"/>
    <x v="0"/>
    <x v="0"/>
    <x v="0"/>
    <n v="1006853"/>
    <n v="0"/>
    <n v="1006853"/>
    <x v="0"/>
    <x v="0"/>
    <x v="0"/>
    <n v="1006853"/>
    <n v="0"/>
    <n v="1006853"/>
    <x v="0"/>
    <x v="0"/>
    <x v="0"/>
    <x v="0"/>
    <x v="0"/>
  </r>
  <r>
    <x v="1"/>
    <x v="0"/>
    <x v="0"/>
    <x v="0"/>
    <x v="0"/>
    <x v="2"/>
    <x v="2"/>
    <n v="19774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662 - SE CORRIGEN CUENTAS CONTABLES"/>
    <n v="0"/>
    <n v="811915"/>
    <n v="-811915"/>
    <x v="0"/>
    <x v="0"/>
    <x v="0"/>
    <n v="0"/>
    <n v="811915"/>
    <n v="-811915"/>
    <x v="0"/>
    <x v="0"/>
    <x v="0"/>
    <n v="0"/>
    <n v="811915"/>
    <n v="-811915"/>
    <x v="0"/>
    <x v="0"/>
    <x v="0"/>
    <x v="0"/>
    <x v="0"/>
  </r>
  <r>
    <x v="1"/>
    <x v="0"/>
    <x v="0"/>
    <x v="0"/>
    <x v="0"/>
    <x v="2"/>
    <x v="2"/>
    <n v="19776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- FEB 2019"/>
    <n v="775198"/>
    <n v="0"/>
    <n v="775198"/>
    <x v="0"/>
    <x v="0"/>
    <x v="0"/>
    <n v="775198"/>
    <n v="0"/>
    <n v="775198"/>
    <x v="0"/>
    <x v="0"/>
    <x v="0"/>
    <n v="775198"/>
    <n v="0"/>
    <n v="775198"/>
    <x v="0"/>
    <x v="0"/>
    <x v="0"/>
    <x v="0"/>
    <x v="0"/>
  </r>
  <r>
    <x v="1"/>
    <x v="0"/>
    <x v="0"/>
    <x v="0"/>
    <x v="0"/>
    <x v="2"/>
    <x v="2"/>
    <n v="19777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LEASIGN 180-124073- FEB 2019"/>
    <n v="267844"/>
    <n v="0"/>
    <n v="267844"/>
    <x v="0"/>
    <x v="0"/>
    <x v="0"/>
    <n v="267844"/>
    <n v="0"/>
    <n v="267844"/>
    <x v="0"/>
    <x v="0"/>
    <x v="0"/>
    <n v="267844"/>
    <n v="0"/>
    <n v="267844"/>
    <x v="0"/>
    <x v="0"/>
    <x v="0"/>
    <x v="0"/>
    <x v="0"/>
  </r>
  <r>
    <x v="5"/>
    <x v="0"/>
    <x v="0"/>
    <x v="0"/>
    <x v="0"/>
    <x v="2"/>
    <x v="2"/>
    <n v="19804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957-8"/>
    <n v="728074"/>
    <n v="0"/>
    <n v="728074"/>
    <x v="0"/>
    <x v="0"/>
    <x v="0"/>
    <n v="728074"/>
    <n v="0"/>
    <n v="728074"/>
    <x v="0"/>
    <x v="0"/>
    <x v="0"/>
    <n v="728074"/>
    <n v="0"/>
    <n v="728074"/>
    <x v="0"/>
    <x v="0"/>
    <x v="0"/>
    <x v="0"/>
    <x v="0"/>
  </r>
  <r>
    <x v="6"/>
    <x v="0"/>
    <x v="0"/>
    <x v="0"/>
    <x v="0"/>
    <x v="11"/>
    <x v="11"/>
    <n v="26223"/>
    <s v="1036930909"/>
    <s v="ALZATE SANCHEZ NATACH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11"/>
    <x v="11"/>
    <n v="26224"/>
    <s v="1045717933"/>
    <s v="PALMA GUTIERREZ KETTY JANETH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2"/>
    <x v="2"/>
    <n v="20256"/>
    <s v="440000000330"/>
    <s v="BANCOLOMBIA CAYMAN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2019 (TRM 3357.82)"/>
    <n v="836097.18"/>
    <n v="0"/>
    <n v="836097.18"/>
    <x v="0"/>
    <x v="0"/>
    <x v="0"/>
    <n v="836097.18"/>
    <n v="0"/>
    <n v="836097.18"/>
    <x v="0"/>
    <x v="0"/>
    <x v="0"/>
    <n v="836097.18"/>
    <n v="0"/>
    <n v="836097.18"/>
    <x v="0"/>
    <x v="0"/>
    <x v="0"/>
    <x v="0"/>
    <x v="0"/>
  </r>
  <r>
    <x v="6"/>
    <x v="0"/>
    <x v="0"/>
    <x v="0"/>
    <x v="0"/>
    <x v="2"/>
    <x v="2"/>
    <n v="20257"/>
    <s v="444444477"/>
    <s v="EV4 LIMITED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PAYPAL  -PAGO FC SI-9109 EV4 LIMITED (USD 3515  - TRM 3464.18)  OCA 1466"/>
    <n v="608861"/>
    <n v="0"/>
    <n v="608861"/>
    <x v="0"/>
    <x v="0"/>
    <x v="0"/>
    <n v="608861"/>
    <n v="0"/>
    <n v="608861"/>
    <x v="0"/>
    <x v="0"/>
    <x v="0"/>
    <n v="608861"/>
    <n v="0"/>
    <n v="608861"/>
    <x v="0"/>
    <x v="0"/>
    <x v="0"/>
    <x v="0"/>
    <x v="0"/>
  </r>
  <r>
    <x v="0"/>
    <x v="0"/>
    <x v="0"/>
    <x v="0"/>
    <x v="0"/>
    <x v="2"/>
    <x v="2"/>
    <n v="19526"/>
    <s v="860002964"/>
    <s v="BANCO DE BOGOTA S.A."/>
    <s v="201901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 - PAGO CREDITO ROTATIVO"/>
    <n v="2578009.7200000002"/>
    <n v="0"/>
    <n v="2578009.7199999997"/>
    <x v="0"/>
    <x v="0"/>
    <x v="0"/>
    <n v="2578009.7200000002"/>
    <n v="0"/>
    <n v="2578009.7199999997"/>
    <x v="0"/>
    <x v="0"/>
    <x v="0"/>
    <n v="2578009.7200000002"/>
    <n v="0"/>
    <n v="2578009.7199999997"/>
    <x v="0"/>
    <x v="0"/>
    <x v="0"/>
    <x v="0"/>
    <x v="0"/>
  </r>
  <r>
    <x v="1"/>
    <x v="0"/>
    <x v="0"/>
    <x v="0"/>
    <x v="0"/>
    <x v="2"/>
    <x v="2"/>
    <n v="19636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8580  BANCO DE OCCIDENTE CUOTA 1 DE 36"/>
    <n v="278630"/>
    <n v="0"/>
    <n v="278630"/>
    <x v="0"/>
    <x v="0"/>
    <x v="0"/>
    <n v="278630"/>
    <n v="0"/>
    <n v="278630"/>
    <x v="0"/>
    <x v="0"/>
    <x v="0"/>
    <n v="278630"/>
    <n v="0"/>
    <n v="278630"/>
    <x v="0"/>
    <x v="0"/>
    <x v="0"/>
    <x v="0"/>
    <x v="0"/>
  </r>
  <r>
    <x v="1"/>
    <x v="0"/>
    <x v="0"/>
    <x v="0"/>
    <x v="0"/>
    <x v="2"/>
    <x v="2"/>
    <n v="19637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241-4  BANCO DE OCIDENTE"/>
    <n v="78490"/>
    <n v="0"/>
    <n v="78490"/>
    <x v="0"/>
    <x v="0"/>
    <x v="0"/>
    <n v="78490"/>
    <n v="0"/>
    <n v="78490"/>
    <x v="0"/>
    <x v="0"/>
    <x v="0"/>
    <n v="78490"/>
    <n v="0"/>
    <n v="78490"/>
    <x v="0"/>
    <x v="0"/>
    <x v="0"/>
    <x v="0"/>
    <x v="0"/>
  </r>
  <r>
    <x v="1"/>
    <x v="0"/>
    <x v="0"/>
    <x v="0"/>
    <x v="0"/>
    <x v="2"/>
    <x v="2"/>
    <n v="19638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231025"/>
    <n v="0"/>
    <n v="231025"/>
    <x v="0"/>
    <x v="0"/>
    <x v="0"/>
    <n v="231025"/>
    <n v="0"/>
    <n v="231025"/>
    <x v="0"/>
    <x v="0"/>
    <x v="0"/>
    <n v="231025"/>
    <n v="0"/>
    <n v="231025"/>
    <x v="0"/>
    <x v="0"/>
    <x v="0"/>
    <x v="0"/>
    <x v="0"/>
  </r>
  <r>
    <x v="1"/>
    <x v="0"/>
    <x v="0"/>
    <x v="0"/>
    <x v="0"/>
    <x v="2"/>
    <x v="2"/>
    <n v="19639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68019"/>
    <n v="0"/>
    <n v="68019"/>
    <x v="0"/>
    <x v="0"/>
    <x v="0"/>
    <n v="68019"/>
    <n v="0"/>
    <n v="68019"/>
    <x v="0"/>
    <x v="0"/>
    <x v="0"/>
    <n v="68019"/>
    <n v="0"/>
    <n v="68019"/>
    <x v="0"/>
    <x v="0"/>
    <x v="0"/>
    <x v="0"/>
    <x v="0"/>
  </r>
  <r>
    <x v="1"/>
    <x v="0"/>
    <x v="0"/>
    <x v="0"/>
    <x v="0"/>
    <x v="2"/>
    <x v="2"/>
    <n v="19716"/>
    <s v="860002964"/>
    <s v="BANCO DE BOGOTA S.A."/>
    <s v="201902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BOGOTA CUOTA FEBRERO"/>
    <n v="386815.36"/>
    <n v="0"/>
    <n v="386815.36"/>
    <x v="0"/>
    <x v="0"/>
    <x v="0"/>
    <n v="386815.36"/>
    <n v="0"/>
    <n v="386815.36"/>
    <x v="0"/>
    <x v="0"/>
    <x v="0"/>
    <n v="386815.36"/>
    <n v="0"/>
    <n v="386815.36"/>
    <x v="0"/>
    <x v="0"/>
    <x v="0"/>
    <x v="0"/>
    <x v="0"/>
  </r>
  <r>
    <x v="5"/>
    <x v="0"/>
    <x v="0"/>
    <x v="0"/>
    <x v="0"/>
    <x v="2"/>
    <x v="2"/>
    <n v="19795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59791-4"/>
    <n v="767761"/>
    <n v="0"/>
    <n v="767761"/>
    <x v="0"/>
    <x v="0"/>
    <x v="0"/>
    <n v="767761"/>
    <n v="0"/>
    <n v="767761"/>
    <x v="0"/>
    <x v="0"/>
    <x v="0"/>
    <n v="767761"/>
    <n v="0"/>
    <n v="767761"/>
    <x v="0"/>
    <x v="0"/>
    <x v="0"/>
    <x v="0"/>
    <x v="0"/>
  </r>
  <r>
    <x v="5"/>
    <x v="0"/>
    <x v="0"/>
    <x v="0"/>
    <x v="0"/>
    <x v="2"/>
    <x v="2"/>
    <n v="19796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565906-3"/>
    <n v="610745"/>
    <n v="0"/>
    <n v="610745"/>
    <x v="0"/>
    <x v="0"/>
    <x v="0"/>
    <n v="610745"/>
    <n v="0"/>
    <n v="610745"/>
    <x v="0"/>
    <x v="0"/>
    <x v="0"/>
    <n v="610745"/>
    <n v="0"/>
    <n v="610745"/>
    <x v="0"/>
    <x v="0"/>
    <x v="0"/>
    <x v="0"/>
    <x v="0"/>
  </r>
  <r>
    <x v="5"/>
    <x v="0"/>
    <x v="0"/>
    <x v="0"/>
    <x v="0"/>
    <x v="2"/>
    <x v="2"/>
    <n v="19797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60520-1"/>
    <n v="763089"/>
    <n v="0"/>
    <n v="763089"/>
    <x v="0"/>
    <x v="0"/>
    <x v="0"/>
    <n v="763089"/>
    <n v="0"/>
    <n v="763089"/>
    <x v="0"/>
    <x v="0"/>
    <x v="0"/>
    <n v="763089"/>
    <n v="0"/>
    <n v="763089"/>
    <x v="0"/>
    <x v="0"/>
    <x v="0"/>
    <x v="0"/>
    <x v="0"/>
  </r>
  <r>
    <x v="5"/>
    <x v="0"/>
    <x v="0"/>
    <x v="0"/>
    <x v="0"/>
    <x v="2"/>
    <x v="2"/>
    <n v="19798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943912"/>
    <n v="146026.43"/>
    <n v="0"/>
    <n v="146026.43"/>
    <x v="0"/>
    <x v="0"/>
    <x v="0"/>
    <n v="146026.43"/>
    <n v="0"/>
    <n v="146026.43"/>
    <x v="0"/>
    <x v="0"/>
    <x v="0"/>
    <n v="146026.43"/>
    <n v="0"/>
    <n v="146026.43"/>
    <x v="0"/>
    <x v="0"/>
    <x v="0"/>
    <x v="0"/>
    <x v="0"/>
  </r>
  <r>
    <x v="5"/>
    <x v="0"/>
    <x v="0"/>
    <x v="0"/>
    <x v="0"/>
    <x v="2"/>
    <x v="2"/>
    <n v="19799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659284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5"/>
    <x v="0"/>
    <x v="0"/>
    <x v="0"/>
    <x v="0"/>
    <x v="2"/>
    <x v="2"/>
    <n v="19800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422-1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5"/>
    <x v="0"/>
    <x v="0"/>
    <x v="0"/>
    <x v="0"/>
    <x v="2"/>
    <x v="2"/>
    <n v="19801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4073 CUOTA 9/36"/>
    <n v="216028"/>
    <n v="0"/>
    <n v="216028"/>
    <x v="0"/>
    <x v="0"/>
    <x v="0"/>
    <n v="216028"/>
    <n v="0"/>
    <n v="216028"/>
    <x v="0"/>
    <x v="0"/>
    <x v="0"/>
    <n v="216028"/>
    <n v="0"/>
    <n v="216028"/>
    <x v="0"/>
    <x v="0"/>
    <x v="0"/>
    <x v="0"/>
    <x v="0"/>
  </r>
  <r>
    <x v="5"/>
    <x v="0"/>
    <x v="0"/>
    <x v="0"/>
    <x v="0"/>
    <x v="2"/>
    <x v="2"/>
    <n v="19802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REDITO 13241-4"/>
    <n v="0"/>
    <n v="133529"/>
    <n v="-133529"/>
    <x v="0"/>
    <x v="0"/>
    <x v="0"/>
    <n v="0"/>
    <n v="133529"/>
    <n v="-133529"/>
    <x v="0"/>
    <x v="0"/>
    <x v="0"/>
    <n v="0"/>
    <n v="133529"/>
    <n v="-133529"/>
    <x v="0"/>
    <x v="0"/>
    <x v="0"/>
    <x v="0"/>
    <x v="0"/>
  </r>
  <r>
    <x v="5"/>
    <x v="0"/>
    <x v="0"/>
    <x v="0"/>
    <x v="0"/>
    <x v="2"/>
    <x v="2"/>
    <n v="19803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8580 CUOTA 2/36"/>
    <n v="272480"/>
    <n v="0"/>
    <n v="272480"/>
    <x v="0"/>
    <x v="0"/>
    <x v="0"/>
    <n v="272480"/>
    <n v="0"/>
    <n v="272480"/>
    <x v="0"/>
    <x v="0"/>
    <x v="0"/>
    <n v="272480"/>
    <n v="0"/>
    <n v="272480"/>
    <x v="0"/>
    <x v="0"/>
    <x v="0"/>
    <x v="0"/>
    <x v="0"/>
  </r>
  <r>
    <x v="0"/>
    <x v="0"/>
    <x v="0"/>
    <x v="0"/>
    <x v="0"/>
    <x v="2"/>
    <x v="2"/>
    <n v="19396"/>
    <s v="860035827"/>
    <s v="BANCO AV VILLAS"/>
    <s v="201901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OBLIG 78138-3 CUOTA MES DE ENERO 2019"/>
    <n v="76777"/>
    <n v="0"/>
    <n v="76777"/>
    <x v="0"/>
    <x v="0"/>
    <x v="0"/>
    <n v="76777"/>
    <n v="0"/>
    <n v="76777"/>
    <x v="0"/>
    <x v="0"/>
    <x v="0"/>
    <n v="76777"/>
    <n v="0"/>
    <n v="76777"/>
    <x v="0"/>
    <x v="0"/>
    <x v="0"/>
    <x v="0"/>
    <x v="0"/>
  </r>
  <r>
    <x v="5"/>
    <x v="0"/>
    <x v="0"/>
    <x v="0"/>
    <x v="0"/>
    <x v="2"/>
    <x v="2"/>
    <n v="19806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8263"/>
    <n v="2484725"/>
    <n v="0"/>
    <n v="2484725"/>
    <x v="0"/>
    <x v="0"/>
    <x v="0"/>
    <n v="2484725"/>
    <n v="0"/>
    <n v="2484725"/>
    <x v="0"/>
    <x v="0"/>
    <x v="0"/>
    <n v="2484725"/>
    <n v="0"/>
    <n v="2484725"/>
    <x v="0"/>
    <x v="0"/>
    <x v="0"/>
    <x v="0"/>
    <x v="0"/>
  </r>
  <r>
    <x v="5"/>
    <x v="0"/>
    <x v="0"/>
    <x v="0"/>
    <x v="0"/>
    <x v="2"/>
    <x v="2"/>
    <n v="19807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5738"/>
    <n v="413612"/>
    <n v="0"/>
    <n v="413612"/>
    <x v="0"/>
    <x v="0"/>
    <x v="0"/>
    <n v="413612"/>
    <n v="0"/>
    <n v="413612"/>
    <x v="0"/>
    <x v="0"/>
    <x v="0"/>
    <n v="413612"/>
    <n v="0"/>
    <n v="413612"/>
    <x v="0"/>
    <x v="0"/>
    <x v="0"/>
    <x v="0"/>
    <x v="0"/>
  </r>
  <r>
    <x v="5"/>
    <x v="0"/>
    <x v="0"/>
    <x v="0"/>
    <x v="0"/>
    <x v="2"/>
    <x v="2"/>
    <n v="19808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4268"/>
    <n v="957944"/>
    <n v="0"/>
    <n v="957944"/>
    <x v="0"/>
    <x v="0"/>
    <x v="0"/>
    <n v="957944"/>
    <n v="0"/>
    <n v="957944"/>
    <x v="0"/>
    <x v="0"/>
    <x v="0"/>
    <n v="957944"/>
    <n v="0"/>
    <n v="957944"/>
    <x v="0"/>
    <x v="0"/>
    <x v="0"/>
    <x v="0"/>
    <x v="0"/>
  </r>
  <r>
    <x v="5"/>
    <x v="0"/>
    <x v="0"/>
    <x v="0"/>
    <x v="0"/>
    <x v="2"/>
    <x v="2"/>
    <n v="19809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277483-7"/>
    <n v="3068251"/>
    <n v="0"/>
    <n v="3068251"/>
    <x v="0"/>
    <x v="0"/>
    <x v="0"/>
    <n v="3068251"/>
    <n v="0"/>
    <n v="3068251"/>
    <x v="0"/>
    <x v="0"/>
    <x v="0"/>
    <n v="3068251"/>
    <n v="0"/>
    <n v="3068251"/>
    <x v="0"/>
    <x v="0"/>
    <x v="0"/>
    <x v="0"/>
    <x v="0"/>
  </r>
  <r>
    <x v="5"/>
    <x v="0"/>
    <x v="0"/>
    <x v="0"/>
    <x v="0"/>
    <x v="2"/>
    <x v="2"/>
    <n v="19810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527366-7"/>
    <n v="1323134"/>
    <n v="0"/>
    <n v="1323134"/>
    <x v="0"/>
    <x v="0"/>
    <x v="0"/>
    <n v="1323134"/>
    <n v="0"/>
    <n v="1323134"/>
    <x v="0"/>
    <x v="0"/>
    <x v="0"/>
    <n v="1323134"/>
    <n v="0"/>
    <n v="1323134"/>
    <x v="0"/>
    <x v="0"/>
    <x v="0"/>
    <x v="0"/>
    <x v="0"/>
  </r>
  <r>
    <x v="5"/>
    <x v="0"/>
    <x v="0"/>
    <x v="0"/>
    <x v="0"/>
    <x v="2"/>
    <x v="2"/>
    <n v="19844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0  BANCOLOMBIA"/>
    <n v="223372"/>
    <n v="0"/>
    <n v="223372"/>
    <x v="0"/>
    <x v="0"/>
    <x v="0"/>
    <n v="223372"/>
    <n v="0"/>
    <n v="223372"/>
    <x v="0"/>
    <x v="0"/>
    <x v="0"/>
    <n v="223372"/>
    <n v="0"/>
    <n v="223372"/>
    <x v="0"/>
    <x v="0"/>
    <x v="0"/>
    <x v="0"/>
    <x v="0"/>
  </r>
  <r>
    <x v="5"/>
    <x v="0"/>
    <x v="0"/>
    <x v="0"/>
    <x v="0"/>
    <x v="2"/>
    <x v="2"/>
    <n v="19845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BANCOLOMBIA  CUOTA 35"/>
    <n v="64751"/>
    <n v="0"/>
    <n v="64751"/>
    <x v="0"/>
    <x v="0"/>
    <x v="0"/>
    <n v="64751"/>
    <n v="0"/>
    <n v="64751"/>
    <x v="0"/>
    <x v="0"/>
    <x v="0"/>
    <n v="64751"/>
    <n v="0"/>
    <n v="64751"/>
    <x v="0"/>
    <x v="0"/>
    <x v="0"/>
    <x v="0"/>
    <x v="0"/>
  </r>
  <r>
    <x v="5"/>
    <x v="0"/>
    <x v="0"/>
    <x v="0"/>
    <x v="0"/>
    <x v="2"/>
    <x v="2"/>
    <n v="19900"/>
    <s v="890903938"/>
    <s v="BANCOLOMBIA S.A."/>
    <s v="201903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27"/>
    <n v="293229"/>
    <n v="0"/>
    <n v="293229"/>
    <x v="0"/>
    <x v="0"/>
    <x v="0"/>
    <n v="293229"/>
    <n v="0"/>
    <n v="293229"/>
    <x v="0"/>
    <x v="0"/>
    <x v="0"/>
    <n v="293229"/>
    <n v="0"/>
    <n v="293229"/>
    <x v="0"/>
    <x v="0"/>
    <x v="0"/>
    <x v="0"/>
    <x v="0"/>
  </r>
  <r>
    <x v="5"/>
    <x v="0"/>
    <x v="0"/>
    <x v="0"/>
    <x v="0"/>
    <x v="2"/>
    <x v="2"/>
    <n v="19924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4"/>
    <x v="4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- PAGO DE ALOJAMIENTO CLUB 100"/>
    <n v="131130"/>
    <n v="0"/>
    <n v="131130"/>
    <x v="0"/>
    <x v="0"/>
    <x v="0"/>
    <n v="131130"/>
    <n v="0"/>
    <n v="131130"/>
    <x v="0"/>
    <x v="0"/>
    <x v="0"/>
    <n v="131130"/>
    <n v="0"/>
    <n v="131130"/>
    <x v="0"/>
    <x v="0"/>
    <x v="0"/>
    <x v="0"/>
    <x v="0"/>
  </r>
  <r>
    <x v="5"/>
    <x v="0"/>
    <x v="0"/>
    <x v="0"/>
    <x v="0"/>
    <x v="2"/>
    <x v="2"/>
    <n v="19927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BANCOLOMBIA 2581 DOLARES TARJETA DE CREDITO"/>
    <n v="4103.51"/>
    <n v="0"/>
    <n v="4103.51"/>
    <x v="0"/>
    <x v="0"/>
    <x v="0"/>
    <n v="4103.51"/>
    <n v="0"/>
    <n v="4103.51"/>
    <x v="0"/>
    <x v="0"/>
    <x v="0"/>
    <n v="4103.51"/>
    <n v="0"/>
    <n v="4103.51"/>
    <x v="0"/>
    <x v="0"/>
    <x v="0"/>
    <x v="0"/>
    <x v="0"/>
  </r>
  <r>
    <x v="5"/>
    <x v="0"/>
    <x v="0"/>
    <x v="0"/>
    <x v="0"/>
    <x v="2"/>
    <x v="2"/>
    <n v="19931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0"/>
    <n v="162828.67000000001"/>
    <n v="-162828.67000000001"/>
    <x v="0"/>
    <x v="0"/>
    <x v="0"/>
    <n v="0"/>
    <n v="162828.67000000001"/>
    <n v="-162828.67000000001"/>
    <x v="0"/>
    <x v="0"/>
    <x v="0"/>
    <n v="0"/>
    <n v="162828.67000000001"/>
    <n v="-162828.67000000001"/>
    <x v="0"/>
    <x v="0"/>
    <x v="0"/>
    <x v="0"/>
    <x v="0"/>
  </r>
  <r>
    <x v="7"/>
    <x v="0"/>
    <x v="0"/>
    <x v="0"/>
    <x v="0"/>
    <x v="2"/>
    <x v="2"/>
    <n v="19937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2997662"/>
    <n v="0"/>
    <n v="2997662"/>
    <x v="0"/>
    <x v="0"/>
    <x v="0"/>
    <n v="2997662"/>
    <n v="0"/>
    <n v="2997662"/>
    <x v="0"/>
    <x v="0"/>
    <x v="0"/>
    <n v="2997662"/>
    <n v="0"/>
    <n v="2997662"/>
    <x v="0"/>
    <x v="0"/>
    <x v="0"/>
    <x v="0"/>
    <x v="0"/>
  </r>
  <r>
    <x v="7"/>
    <x v="0"/>
    <x v="0"/>
    <x v="0"/>
    <x v="0"/>
    <x v="2"/>
    <x v="2"/>
    <n v="19938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66-7  AV VILLAS"/>
    <n v="1299742"/>
    <n v="0"/>
    <n v="1299742"/>
    <x v="0"/>
    <x v="0"/>
    <x v="0"/>
    <n v="1299742"/>
    <n v="0"/>
    <n v="1299742"/>
    <x v="0"/>
    <x v="0"/>
    <x v="0"/>
    <n v="1299742"/>
    <n v="0"/>
    <n v="1299742"/>
    <x v="0"/>
    <x v="0"/>
    <x v="0"/>
    <x v="0"/>
    <x v="0"/>
  </r>
  <r>
    <x v="7"/>
    <x v="0"/>
    <x v="0"/>
    <x v="0"/>
    <x v="0"/>
    <x v="13"/>
    <x v="13"/>
    <n v="135"/>
    <s v="29873536"/>
    <s v="ZUÑIGA CEBALLOS CLAUDIA MARIA"/>
    <s v="201904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-INTERESSES PRESTAMOS"/>
    <n v="6251"/>
    <n v="0"/>
    <n v="6251"/>
    <x v="0"/>
    <x v="0"/>
    <x v="0"/>
    <n v="6251"/>
    <n v="0"/>
    <n v="6251"/>
    <x v="0"/>
    <x v="0"/>
    <x v="0"/>
    <n v="6251"/>
    <n v="0"/>
    <n v="6251"/>
    <x v="0"/>
    <x v="0"/>
    <x v="0"/>
    <x v="0"/>
    <x v="0"/>
  </r>
  <r>
    <x v="7"/>
    <x v="0"/>
    <x v="0"/>
    <x v="0"/>
    <x v="0"/>
    <x v="2"/>
    <x v="2"/>
    <n v="19954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05450 BANCOLOMBIA CUOTA 16"/>
    <n v="226179"/>
    <n v="0"/>
    <n v="226179"/>
    <x v="0"/>
    <x v="0"/>
    <x v="0"/>
    <n v="226179"/>
    <n v="0"/>
    <n v="226179"/>
    <x v="0"/>
    <x v="0"/>
    <x v="0"/>
    <n v="226179"/>
    <n v="0"/>
    <n v="226179"/>
    <x v="0"/>
    <x v="0"/>
    <x v="0"/>
    <x v="0"/>
    <x v="0"/>
  </r>
  <r>
    <x v="7"/>
    <x v="0"/>
    <x v="0"/>
    <x v="0"/>
    <x v="0"/>
    <x v="2"/>
    <x v="2"/>
    <n v="19956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87498 BANCOLOMBIA CUOTA 36"/>
    <n v="61444"/>
    <n v="0"/>
    <n v="61444"/>
    <x v="0"/>
    <x v="0"/>
    <x v="0"/>
    <n v="61444"/>
    <n v="0"/>
    <n v="61444"/>
    <x v="0"/>
    <x v="0"/>
    <x v="0"/>
    <n v="61444"/>
    <n v="0"/>
    <n v="61444"/>
    <x v="0"/>
    <x v="0"/>
    <x v="0"/>
    <x v="0"/>
    <x v="0"/>
  </r>
  <r>
    <x v="7"/>
    <x v="0"/>
    <x v="0"/>
    <x v="0"/>
    <x v="0"/>
    <x v="2"/>
    <x v="2"/>
    <n v="19957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95962 BANCOLOMBIA CUOTA 28"/>
    <n v="281922"/>
    <n v="0"/>
    <n v="281922"/>
    <x v="0"/>
    <x v="0"/>
    <x v="0"/>
    <n v="281922"/>
    <n v="0"/>
    <n v="281922"/>
    <x v="0"/>
    <x v="0"/>
    <x v="0"/>
    <n v="281922"/>
    <n v="0"/>
    <n v="281922"/>
    <x v="0"/>
    <x v="0"/>
    <x v="0"/>
    <x v="0"/>
    <x v="0"/>
  </r>
  <r>
    <x v="7"/>
    <x v="0"/>
    <x v="0"/>
    <x v="0"/>
    <x v="0"/>
    <x v="2"/>
    <x v="2"/>
    <n v="19961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032798.28"/>
    <n v="0"/>
    <n v="1032798.28"/>
    <x v="0"/>
    <x v="0"/>
    <x v="0"/>
    <n v="1032798.28"/>
    <n v="0"/>
    <n v="1032798.28"/>
    <x v="0"/>
    <x v="0"/>
    <x v="0"/>
    <n v="1032798.28"/>
    <n v="0"/>
    <n v="1032798.28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45540.88"/>
    <n v="0"/>
    <n v="345540.88"/>
    <x v="0"/>
    <x v="0"/>
    <x v="0"/>
    <n v="345540.88"/>
    <n v="0"/>
    <n v="345540.88"/>
    <x v="0"/>
    <x v="0"/>
    <x v="0"/>
    <n v="345540.88"/>
    <n v="0"/>
    <n v="345540.88"/>
    <x v="0"/>
    <x v="0"/>
    <x v="0"/>
    <x v="0"/>
    <x v="0"/>
  </r>
  <r>
    <x v="7"/>
    <x v="0"/>
    <x v="0"/>
    <x v="0"/>
    <x v="0"/>
    <x v="2"/>
    <x v="2"/>
    <n v="19964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AV VILLAS"/>
    <n v="569638"/>
    <n v="0"/>
    <n v="569638"/>
    <x v="0"/>
    <x v="0"/>
    <x v="0"/>
    <n v="569638"/>
    <n v="0"/>
    <n v="569638"/>
    <x v="0"/>
    <x v="0"/>
    <x v="0"/>
    <n v="569638"/>
    <n v="0"/>
    <n v="569638"/>
    <x v="0"/>
    <x v="0"/>
    <x v="0"/>
    <x v="0"/>
    <x v="0"/>
  </r>
  <r>
    <x v="7"/>
    <x v="0"/>
    <x v="0"/>
    <x v="0"/>
    <x v="0"/>
    <x v="2"/>
    <x v="2"/>
    <n v="19965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AV VILLAS"/>
    <n v="728011"/>
    <n v="0"/>
    <n v="728011"/>
    <x v="0"/>
    <x v="0"/>
    <x v="0"/>
    <n v="728011"/>
    <n v="0"/>
    <n v="728011"/>
    <x v="0"/>
    <x v="0"/>
    <x v="0"/>
    <n v="728011"/>
    <n v="0"/>
    <n v="728011"/>
    <x v="0"/>
    <x v="0"/>
    <x v="0"/>
    <x v="0"/>
    <x v="0"/>
  </r>
  <r>
    <x v="7"/>
    <x v="0"/>
    <x v="0"/>
    <x v="0"/>
    <x v="0"/>
    <x v="2"/>
    <x v="2"/>
    <n v="19966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791-4 AV VILLAS"/>
    <n v="729437"/>
    <n v="0"/>
    <n v="729437"/>
    <x v="0"/>
    <x v="0"/>
    <x v="0"/>
    <n v="729437"/>
    <n v="0"/>
    <n v="729437"/>
    <x v="0"/>
    <x v="0"/>
    <x v="0"/>
    <n v="729437"/>
    <n v="0"/>
    <n v="729437"/>
    <x v="0"/>
    <x v="0"/>
    <x v="0"/>
    <x v="0"/>
    <x v="0"/>
  </r>
  <r>
    <x v="7"/>
    <x v="0"/>
    <x v="0"/>
    <x v="0"/>
    <x v="0"/>
    <x v="2"/>
    <x v="2"/>
    <n v="19969"/>
    <s v="890903938"/>
    <s v="BANCOLOMBIA S.A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2341075"/>
    <n v="0"/>
    <n v="2341075"/>
    <x v="0"/>
    <x v="0"/>
    <x v="0"/>
    <n v="2341075"/>
    <n v="0"/>
    <n v="2341075"/>
    <x v="0"/>
    <x v="0"/>
    <x v="0"/>
    <n v="2341075"/>
    <n v="0"/>
    <n v="2341075"/>
    <x v="0"/>
    <x v="0"/>
    <x v="0"/>
    <x v="0"/>
    <x v="0"/>
  </r>
  <r>
    <x v="7"/>
    <x v="0"/>
    <x v="0"/>
    <x v="0"/>
    <x v="0"/>
    <x v="2"/>
    <x v="2"/>
    <n v="19970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3422-1  BANCO DE OCCIDENTE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7"/>
    <x v="0"/>
    <x v="0"/>
    <x v="0"/>
    <x v="0"/>
    <x v="2"/>
    <x v="2"/>
    <n v="19972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28580 BANCO DE OCCIDENTE"/>
    <n v="266463"/>
    <n v="0"/>
    <n v="266463"/>
    <x v="0"/>
    <x v="0"/>
    <x v="0"/>
    <n v="266463"/>
    <n v="0"/>
    <n v="266463"/>
    <x v="0"/>
    <x v="0"/>
    <x v="0"/>
    <n v="266463"/>
    <n v="0"/>
    <n v="266463"/>
    <x v="0"/>
    <x v="0"/>
    <x v="0"/>
    <x v="0"/>
    <x v="0"/>
  </r>
  <r>
    <x v="7"/>
    <x v="0"/>
    <x v="0"/>
    <x v="0"/>
    <x v="0"/>
    <x v="2"/>
    <x v="2"/>
    <n v="19973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681427"/>
    <n v="0"/>
    <n v="681427"/>
    <x v="0"/>
    <x v="0"/>
    <x v="0"/>
    <n v="681427"/>
    <n v="0"/>
    <n v="681427"/>
    <x v="0"/>
    <x v="0"/>
    <x v="0"/>
    <n v="681427"/>
    <n v="0"/>
    <n v="681427"/>
    <x v="0"/>
    <x v="0"/>
    <x v="0"/>
    <x v="0"/>
    <x v="0"/>
  </r>
  <r>
    <x v="7"/>
    <x v="0"/>
    <x v="0"/>
    <x v="0"/>
    <x v="0"/>
    <x v="2"/>
    <x v="2"/>
    <n v="19974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0"/>
    <n v="146717"/>
    <n v="-146717"/>
    <x v="0"/>
    <x v="0"/>
    <x v="0"/>
    <n v="0"/>
    <n v="146717"/>
    <n v="-146717"/>
    <x v="0"/>
    <x v="0"/>
    <x v="0"/>
    <n v="0"/>
    <n v="146717"/>
    <n v="-146717"/>
    <x v="0"/>
    <x v="0"/>
    <x v="0"/>
    <x v="0"/>
    <x v="0"/>
  </r>
  <r>
    <x v="7"/>
    <x v="0"/>
    <x v="0"/>
    <x v="0"/>
    <x v="0"/>
    <x v="2"/>
    <x v="2"/>
    <n v="19975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117424"/>
    <n v="0"/>
    <n v="117424"/>
    <x v="0"/>
    <x v="0"/>
    <x v="0"/>
    <n v="117424"/>
    <n v="0"/>
    <n v="117424"/>
    <x v="0"/>
    <x v="0"/>
    <x v="0"/>
    <n v="117424"/>
    <n v="0"/>
    <n v="117424"/>
    <x v="0"/>
    <x v="0"/>
    <x v="0"/>
    <x v="0"/>
    <x v="0"/>
  </r>
  <r>
    <x v="7"/>
    <x v="0"/>
    <x v="0"/>
    <x v="0"/>
    <x v="0"/>
    <x v="2"/>
    <x v="2"/>
    <n v="20040"/>
    <s v="860007660"/>
    <s v="HELM BANK S.A."/>
    <s v="201904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 BANK- INTERES CREDITO ROTATIVO"/>
    <n v="1418552"/>
    <n v="0"/>
    <n v="1418552"/>
    <x v="0"/>
    <x v="0"/>
    <x v="0"/>
    <n v="1418552"/>
    <n v="0"/>
    <n v="1418552"/>
    <x v="0"/>
    <x v="0"/>
    <x v="0"/>
    <n v="1418552"/>
    <n v="0"/>
    <n v="1418552"/>
    <x v="0"/>
    <x v="0"/>
    <x v="0"/>
    <x v="0"/>
    <x v="0"/>
  </r>
  <r>
    <x v="7"/>
    <x v="0"/>
    <x v="0"/>
    <x v="0"/>
    <x v="0"/>
    <x v="2"/>
    <x v="2"/>
    <n v="20068"/>
    <s v="860007660"/>
    <s v="HELM BANK S.A."/>
    <s v="201904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A ROTATIVO HELM BANK"/>
    <n v="40690.379999999997"/>
    <n v="0"/>
    <n v="40690.379999999997"/>
    <x v="0"/>
    <x v="0"/>
    <x v="0"/>
    <n v="40690.379999999997"/>
    <n v="0"/>
    <n v="40690.379999999997"/>
    <x v="0"/>
    <x v="0"/>
    <x v="0"/>
    <n v="40690.379999999997"/>
    <n v="0"/>
    <n v="40690.379999999997"/>
    <x v="0"/>
    <x v="0"/>
    <x v="0"/>
    <x v="0"/>
    <x v="0"/>
  </r>
  <r>
    <x v="6"/>
    <x v="0"/>
    <x v="0"/>
    <x v="0"/>
    <x v="0"/>
    <x v="2"/>
    <x v="2"/>
    <n v="20095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 CUOTA 37"/>
    <n v="58430"/>
    <n v="0"/>
    <n v="58430"/>
    <x v="0"/>
    <x v="0"/>
    <x v="0"/>
    <n v="58430"/>
    <n v="0"/>
    <n v="58430"/>
    <x v="0"/>
    <x v="0"/>
    <x v="0"/>
    <n v="58430"/>
    <n v="0"/>
    <n v="58430"/>
    <x v="0"/>
    <x v="0"/>
    <x v="0"/>
    <x v="0"/>
    <x v="0"/>
  </r>
  <r>
    <x v="6"/>
    <x v="0"/>
    <x v="0"/>
    <x v="0"/>
    <x v="0"/>
    <x v="2"/>
    <x v="2"/>
    <n v="20096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 CUOTA 37"/>
    <n v="211250"/>
    <n v="0"/>
    <n v="211250"/>
    <x v="0"/>
    <x v="0"/>
    <x v="0"/>
    <n v="211250"/>
    <n v="0"/>
    <n v="211250"/>
    <x v="0"/>
    <x v="0"/>
    <x v="0"/>
    <n v="211250"/>
    <n v="0"/>
    <n v="211250"/>
    <x v="0"/>
    <x v="0"/>
    <x v="0"/>
    <x v="0"/>
    <x v="0"/>
  </r>
  <r>
    <x v="6"/>
    <x v="0"/>
    <x v="0"/>
    <x v="0"/>
    <x v="0"/>
    <x v="2"/>
    <x v="2"/>
    <n v="20097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5738  BANCOLOMBIA CUOTA 37"/>
    <n v="344173"/>
    <n v="0"/>
    <n v="344173"/>
    <x v="0"/>
    <x v="0"/>
    <x v="0"/>
    <n v="344173"/>
    <n v="0"/>
    <n v="344173"/>
    <x v="0"/>
    <x v="0"/>
    <x v="0"/>
    <n v="344173"/>
    <n v="0"/>
    <n v="344173"/>
    <x v="0"/>
    <x v="0"/>
    <x v="0"/>
    <x v="0"/>
    <x v="0"/>
  </r>
  <r>
    <x v="6"/>
    <x v="0"/>
    <x v="0"/>
    <x v="0"/>
    <x v="0"/>
    <x v="2"/>
    <x v="2"/>
    <n v="20098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BANCOLOMBIA CUOTA 37"/>
    <n v="857841"/>
    <n v="0"/>
    <n v="857841"/>
    <x v="0"/>
    <x v="0"/>
    <x v="0"/>
    <n v="857841"/>
    <n v="0"/>
    <n v="857841"/>
    <x v="0"/>
    <x v="0"/>
    <x v="0"/>
    <n v="857841"/>
    <n v="0"/>
    <n v="857841"/>
    <x v="0"/>
    <x v="0"/>
    <x v="0"/>
    <x v="0"/>
    <x v="0"/>
  </r>
  <r>
    <x v="6"/>
    <x v="0"/>
    <x v="0"/>
    <x v="0"/>
    <x v="0"/>
    <x v="2"/>
    <x v="2"/>
    <n v="20103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03722"/>
    <n v="0"/>
    <n v="203722"/>
    <x v="0"/>
    <x v="0"/>
    <x v="0"/>
    <n v="203722"/>
    <n v="0"/>
    <n v="203722"/>
    <x v="0"/>
    <x v="0"/>
    <x v="0"/>
    <n v="203722"/>
    <n v="0"/>
    <n v="203722"/>
    <x v="0"/>
    <x v="0"/>
    <x v="0"/>
    <x v="0"/>
    <x v="0"/>
  </r>
  <r>
    <x v="6"/>
    <x v="0"/>
    <x v="0"/>
    <x v="0"/>
    <x v="0"/>
    <x v="2"/>
    <x v="2"/>
    <n v="20104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60402"/>
    <n v="0"/>
    <n v="260402"/>
    <x v="0"/>
    <x v="0"/>
    <x v="0"/>
    <n v="260402"/>
    <n v="0"/>
    <n v="260402"/>
    <x v="0"/>
    <x v="0"/>
    <x v="0"/>
    <n v="260402"/>
    <n v="0"/>
    <n v="260402"/>
    <x v="0"/>
    <x v="0"/>
    <x v="0"/>
    <x v="0"/>
    <x v="0"/>
  </r>
  <r>
    <x v="6"/>
    <x v="0"/>
    <x v="0"/>
    <x v="0"/>
    <x v="0"/>
    <x v="2"/>
    <x v="2"/>
    <n v="20112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AV VILLAS"/>
    <n v="670238"/>
    <n v="0"/>
    <n v="670238"/>
    <x v="0"/>
    <x v="0"/>
    <x v="0"/>
    <n v="670238"/>
    <n v="0"/>
    <n v="670238"/>
    <x v="0"/>
    <x v="0"/>
    <x v="0"/>
    <n v="670238"/>
    <n v="0"/>
    <n v="670238"/>
    <x v="0"/>
    <x v="0"/>
    <x v="0"/>
    <x v="0"/>
    <x v="0"/>
  </r>
  <r>
    <x v="6"/>
    <x v="0"/>
    <x v="0"/>
    <x v="0"/>
    <x v="0"/>
    <x v="11"/>
    <x v="11"/>
    <n v="26218"/>
    <s v="1098657994"/>
    <s v="HERNANDEZ ROJAS JOHN EDISON"/>
    <s v="201905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3+ GASTOS BANCARIOS"/>
    <n v="6768"/>
    <n v="0"/>
    <n v="6768"/>
    <x v="0"/>
    <x v="0"/>
    <x v="0"/>
    <n v="6768"/>
    <n v="0"/>
    <n v="6768"/>
    <x v="0"/>
    <x v="0"/>
    <x v="0"/>
    <n v="6768"/>
    <n v="0"/>
    <n v="6768"/>
    <x v="0"/>
    <x v="0"/>
    <x v="0"/>
    <x v="0"/>
    <x v="0"/>
  </r>
  <r>
    <x v="7"/>
    <x v="0"/>
    <x v="0"/>
    <x v="0"/>
    <x v="0"/>
    <x v="2"/>
    <x v="2"/>
    <n v="19952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AI"/>
    <n v="917340"/>
    <n v="0"/>
    <n v="917340"/>
    <x v="0"/>
    <x v="0"/>
    <x v="0"/>
    <n v="917340"/>
    <n v="0"/>
    <n v="917340"/>
    <x v="0"/>
    <x v="0"/>
    <x v="0"/>
    <n v="917340"/>
    <n v="0"/>
    <n v="917340"/>
    <x v="0"/>
    <x v="0"/>
    <x v="0"/>
    <x v="0"/>
    <x v="0"/>
  </r>
  <r>
    <x v="7"/>
    <x v="0"/>
    <x v="0"/>
    <x v="0"/>
    <x v="0"/>
    <x v="2"/>
    <x v="2"/>
    <n v="19953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85738 BANCOLOMBIA"/>
    <n v="386396"/>
    <n v="0"/>
    <n v="386396"/>
    <x v="0"/>
    <x v="0"/>
    <x v="0"/>
    <n v="386396"/>
    <n v="0"/>
    <n v="386396"/>
    <x v="0"/>
    <x v="0"/>
    <x v="0"/>
    <n v="386396"/>
    <n v="0"/>
    <n v="386396"/>
    <x v="0"/>
    <x v="0"/>
    <x v="0"/>
    <x v="0"/>
    <x v="0"/>
  </r>
  <r>
    <x v="7"/>
    <x v="0"/>
    <x v="0"/>
    <x v="0"/>
    <x v="0"/>
    <x v="2"/>
    <x v="2"/>
    <n v="19990"/>
    <s v="860007660"/>
    <s v="HELM BANK S.A."/>
    <s v="201904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E CREDITO MES DE MARZO HELM"/>
    <n v="211023.33"/>
    <n v="0"/>
    <n v="211023.33000000002"/>
    <x v="0"/>
    <x v="0"/>
    <x v="0"/>
    <n v="211023.33"/>
    <n v="0"/>
    <n v="211023.33000000002"/>
    <x v="0"/>
    <x v="0"/>
    <x v="0"/>
    <n v="211023.33"/>
    <n v="0"/>
    <n v="211023.33000000002"/>
    <x v="0"/>
    <x v="0"/>
    <x v="0"/>
    <x v="0"/>
    <x v="0"/>
  </r>
  <r>
    <x v="6"/>
    <x v="0"/>
    <x v="0"/>
    <x v="0"/>
    <x v="0"/>
    <x v="2"/>
    <x v="2"/>
    <n v="20106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BANCO DE OCCIDENTE"/>
    <n v="640986"/>
    <n v="0"/>
    <n v="640986"/>
    <x v="0"/>
    <x v="0"/>
    <x v="0"/>
    <n v="640986"/>
    <n v="0"/>
    <n v="640986"/>
    <x v="0"/>
    <x v="0"/>
    <x v="0"/>
    <n v="640986"/>
    <n v="0"/>
    <n v="640986"/>
    <x v="0"/>
    <x v="0"/>
    <x v="0"/>
    <x v="0"/>
    <x v="0"/>
  </r>
  <r>
    <x v="6"/>
    <x v="0"/>
    <x v="0"/>
    <x v="0"/>
    <x v="0"/>
    <x v="2"/>
    <x v="2"/>
    <n v="20108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153224"/>
    <n v="0"/>
    <n v="153224"/>
    <x v="0"/>
    <x v="0"/>
    <x v="0"/>
    <n v="153224"/>
    <n v="0"/>
    <n v="153224"/>
    <x v="0"/>
    <x v="0"/>
    <x v="0"/>
    <n v="153224"/>
    <n v="0"/>
    <n v="153224"/>
    <x v="0"/>
    <x v="0"/>
    <x v="0"/>
    <x v="0"/>
    <x v="0"/>
  </r>
  <r>
    <x v="6"/>
    <x v="0"/>
    <x v="0"/>
    <x v="0"/>
    <x v="0"/>
    <x v="2"/>
    <x v="2"/>
    <n v="20109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25183"/>
    <n v="0"/>
    <n v="1225183"/>
    <x v="0"/>
    <x v="0"/>
    <x v="0"/>
    <n v="1225183"/>
    <n v="0"/>
    <n v="1225183"/>
    <x v="0"/>
    <x v="0"/>
    <x v="0"/>
    <n v="1225183"/>
    <n v="0"/>
    <n v="1225183"/>
    <x v="0"/>
    <x v="0"/>
    <x v="0"/>
    <x v="0"/>
    <x v="0"/>
  </r>
  <r>
    <x v="6"/>
    <x v="0"/>
    <x v="0"/>
    <x v="0"/>
    <x v="0"/>
    <x v="2"/>
    <x v="2"/>
    <n v="20110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73683"/>
    <n v="0"/>
    <n v="673683"/>
    <x v="0"/>
    <x v="0"/>
    <x v="0"/>
    <n v="673683"/>
    <n v="0"/>
    <n v="673683"/>
    <x v="0"/>
    <x v="0"/>
    <x v="0"/>
    <n v="673683"/>
    <n v="0"/>
    <n v="673683"/>
    <x v="0"/>
    <x v="0"/>
    <x v="0"/>
    <x v="0"/>
    <x v="0"/>
  </r>
  <r>
    <x v="6"/>
    <x v="0"/>
    <x v="0"/>
    <x v="0"/>
    <x v="0"/>
    <x v="2"/>
    <x v="2"/>
    <n v="20113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AV VILLAS"/>
    <n v="506107"/>
    <n v="0"/>
    <n v="506107"/>
    <x v="0"/>
    <x v="0"/>
    <x v="0"/>
    <n v="506107"/>
    <n v="0"/>
    <n v="506107"/>
    <x v="0"/>
    <x v="0"/>
    <x v="0"/>
    <n v="506107"/>
    <n v="0"/>
    <n v="506107"/>
    <x v="0"/>
    <x v="0"/>
    <x v="0"/>
    <x v="0"/>
    <x v="0"/>
  </r>
  <r>
    <x v="6"/>
    <x v="0"/>
    <x v="0"/>
    <x v="0"/>
    <x v="0"/>
    <x v="2"/>
    <x v="2"/>
    <n v="20115"/>
    <s v="860002964"/>
    <s v="BANCO DE BOGOT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13070.51"/>
    <n v="0"/>
    <n v="113070.51000000001"/>
    <x v="0"/>
    <x v="0"/>
    <x v="0"/>
    <n v="113070.51"/>
    <n v="0"/>
    <n v="113070.51000000001"/>
    <x v="0"/>
    <x v="0"/>
    <x v="0"/>
    <n v="113070.51"/>
    <n v="0"/>
    <n v="113070.51000000001"/>
    <x v="0"/>
    <x v="0"/>
    <x v="0"/>
    <x v="0"/>
    <x v="0"/>
  </r>
  <r>
    <x v="6"/>
    <x v="0"/>
    <x v="0"/>
    <x v="0"/>
    <x v="0"/>
    <x v="2"/>
    <x v="2"/>
    <n v="20159"/>
    <s v="890903938"/>
    <s v="BANCOLOMBIA S.A."/>
    <s v="201905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OBLIGACION 8263"/>
    <n v="2223174"/>
    <n v="0"/>
    <n v="2223174"/>
    <x v="0"/>
    <x v="0"/>
    <x v="0"/>
    <n v="2223174"/>
    <n v="0"/>
    <n v="2223174"/>
    <x v="0"/>
    <x v="0"/>
    <x v="0"/>
    <n v="2223174"/>
    <n v="0"/>
    <n v="2223174"/>
    <x v="0"/>
    <x v="0"/>
    <x v="0"/>
    <x v="0"/>
    <x v="0"/>
  </r>
  <r>
    <x v="6"/>
    <x v="0"/>
    <x v="0"/>
    <x v="0"/>
    <x v="0"/>
    <x v="2"/>
    <x v="2"/>
    <n v="20211"/>
    <s v="860002964"/>
    <s v="BANCO DE BOGOTA S.A."/>
    <s v="201905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659284   BANCO DE BOGOTA"/>
    <n v="328522.71999999997"/>
    <n v="0"/>
    <n v="328522.72000000003"/>
    <x v="0"/>
    <x v="0"/>
    <x v="0"/>
    <n v="328522.71999999997"/>
    <n v="0"/>
    <n v="328522.72000000003"/>
    <x v="0"/>
    <x v="0"/>
    <x v="0"/>
    <n v="328522.71999999997"/>
    <n v="0"/>
    <n v="328522.72000000003"/>
    <x v="0"/>
    <x v="0"/>
    <x v="0"/>
    <x v="0"/>
    <x v="0"/>
  </r>
  <r>
    <x v="6"/>
    <x v="0"/>
    <x v="0"/>
    <x v="0"/>
    <x v="0"/>
    <x v="2"/>
    <x v="2"/>
    <n v="20275"/>
    <s v="890903938"/>
    <s v="BANCOLOMBIA S.A."/>
    <s v="201905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195962- CUOTA 29"/>
    <n v="270500"/>
    <n v="0"/>
    <n v="270500"/>
    <x v="0"/>
    <x v="0"/>
    <x v="0"/>
    <n v="270500"/>
    <n v="0"/>
    <n v="270500"/>
    <x v="0"/>
    <x v="0"/>
    <x v="0"/>
    <n v="270500"/>
    <n v="0"/>
    <n v="270500"/>
    <x v="0"/>
    <x v="0"/>
    <x v="0"/>
    <x v="0"/>
    <x v="0"/>
  </r>
  <r>
    <x v="6"/>
    <x v="0"/>
    <x v="0"/>
    <x v="0"/>
    <x v="0"/>
    <x v="2"/>
    <x v="2"/>
    <n v="20235"/>
    <s v="890300279"/>
    <s v="BANCO DE OCCIDENTE."/>
    <s v="201905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58687"/>
    <n v="0"/>
    <n v="58687"/>
    <x v="0"/>
    <x v="0"/>
    <x v="0"/>
    <n v="58687"/>
    <n v="0"/>
    <n v="58687"/>
    <x v="0"/>
    <x v="0"/>
    <x v="0"/>
    <n v="58687"/>
    <n v="0"/>
    <n v="58687"/>
    <x v="0"/>
    <x v="0"/>
    <x v="0"/>
    <x v="0"/>
    <x v="0"/>
  </r>
  <r>
    <x v="2"/>
    <x v="0"/>
    <x v="0"/>
    <x v="0"/>
    <x v="0"/>
    <x v="2"/>
    <x v="2"/>
    <n v="20316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ON CUOTA DE BCO DE OCCIDENTE- PENDIENTES DE MARZO 2019"/>
    <n v="88038"/>
    <n v="0"/>
    <n v="88038"/>
    <x v="0"/>
    <x v="0"/>
    <x v="0"/>
    <n v="88038"/>
    <n v="0"/>
    <n v="88038"/>
    <x v="0"/>
    <x v="0"/>
    <x v="0"/>
    <n v="88038"/>
    <n v="0"/>
    <n v="88038"/>
    <x v="0"/>
    <x v="0"/>
    <x v="0"/>
    <x v="0"/>
    <x v="0"/>
  </r>
  <r>
    <x v="2"/>
    <x v="0"/>
    <x v="0"/>
    <x v="0"/>
    <x v="0"/>
    <x v="2"/>
    <x v="2"/>
    <n v="20323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VR ABONADO DE MAS EN CAPITAL SE LLEVA A INTERESES- LEASING OCCIDENTE 124073"/>
    <n v="0"/>
    <n v="399179"/>
    <n v="-399179"/>
    <x v="0"/>
    <x v="0"/>
    <x v="0"/>
    <n v="0"/>
    <n v="399179"/>
    <n v="-399179"/>
    <x v="0"/>
    <x v="0"/>
    <x v="0"/>
    <n v="0"/>
    <n v="399179"/>
    <n v="-399179"/>
    <x v="0"/>
    <x v="0"/>
    <x v="0"/>
    <x v="0"/>
    <x v="0"/>
  </r>
  <r>
    <x v="2"/>
    <x v="0"/>
    <x v="0"/>
    <x v="0"/>
    <x v="0"/>
    <x v="2"/>
    <x v="2"/>
    <n v="20272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52841"/>
    <n v="0"/>
    <n v="452841"/>
    <x v="0"/>
    <x v="0"/>
    <x v="0"/>
    <n v="452841"/>
    <n v="0"/>
    <n v="452841"/>
    <x v="0"/>
    <x v="0"/>
    <x v="0"/>
    <n v="452841"/>
    <n v="0"/>
    <n v="452841"/>
    <x v="0"/>
    <x v="0"/>
    <x v="0"/>
    <x v="0"/>
    <x v="0"/>
  </r>
  <r>
    <x v="2"/>
    <x v="0"/>
    <x v="0"/>
    <x v="0"/>
    <x v="0"/>
    <x v="2"/>
    <x v="2"/>
    <n v="20273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28013"/>
    <n v="0"/>
    <n v="628013"/>
    <x v="0"/>
    <x v="0"/>
    <x v="0"/>
    <n v="628013"/>
    <n v="0"/>
    <n v="628013"/>
    <x v="0"/>
    <x v="0"/>
    <x v="0"/>
    <n v="628013"/>
    <n v="0"/>
    <n v="628013"/>
    <x v="0"/>
    <x v="0"/>
    <x v="0"/>
    <x v="0"/>
    <x v="0"/>
  </r>
  <r>
    <x v="2"/>
    <x v="0"/>
    <x v="0"/>
    <x v="0"/>
    <x v="0"/>
    <x v="2"/>
    <x v="2"/>
    <n v="20274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 AV VILLAS"/>
    <n v="622874"/>
    <n v="0"/>
    <n v="622874"/>
    <x v="0"/>
    <x v="0"/>
    <x v="0"/>
    <n v="622874"/>
    <n v="0"/>
    <n v="622874"/>
    <x v="0"/>
    <x v="0"/>
    <x v="0"/>
    <n v="622874"/>
    <n v="0"/>
    <n v="622874"/>
    <x v="0"/>
    <x v="0"/>
    <x v="0"/>
    <x v="0"/>
    <x v="0"/>
  </r>
  <r>
    <x v="2"/>
    <x v="0"/>
    <x v="0"/>
    <x v="0"/>
    <x v="0"/>
    <x v="2"/>
    <x v="2"/>
    <n v="20302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AV VILLAS"/>
    <n v="70015"/>
    <n v="0"/>
    <n v="70015"/>
    <x v="0"/>
    <x v="0"/>
    <x v="0"/>
    <n v="70015"/>
    <n v="0"/>
    <n v="70015"/>
    <x v="0"/>
    <x v="0"/>
    <x v="0"/>
    <n v="70015"/>
    <n v="0"/>
    <n v="70015"/>
    <x v="0"/>
    <x v="0"/>
    <x v="0"/>
    <x v="0"/>
    <x v="0"/>
  </r>
  <r>
    <x v="2"/>
    <x v="0"/>
    <x v="0"/>
    <x v="0"/>
    <x v="0"/>
    <x v="2"/>
    <x v="2"/>
    <n v="20303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01197"/>
    <n v="0"/>
    <n v="1201197"/>
    <x v="0"/>
    <x v="0"/>
    <x v="0"/>
    <n v="1201197"/>
    <n v="0"/>
    <n v="1201197"/>
    <x v="0"/>
    <x v="0"/>
    <x v="0"/>
    <n v="1201197"/>
    <n v="0"/>
    <n v="1201197"/>
    <x v="0"/>
    <x v="0"/>
    <x v="0"/>
    <x v="0"/>
    <x v="0"/>
  </r>
  <r>
    <x v="2"/>
    <x v="0"/>
    <x v="0"/>
    <x v="0"/>
    <x v="0"/>
    <x v="2"/>
    <x v="2"/>
    <n v="20304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  AV VILLAS"/>
    <n v="309302"/>
    <n v="0"/>
    <n v="309302"/>
    <x v="0"/>
    <x v="0"/>
    <x v="0"/>
    <n v="309302"/>
    <n v="0"/>
    <n v="309302"/>
    <x v="0"/>
    <x v="0"/>
    <x v="0"/>
    <n v="309302"/>
    <n v="0"/>
    <n v="309302"/>
    <x v="0"/>
    <x v="0"/>
    <x v="0"/>
    <x v="0"/>
    <x v="0"/>
  </r>
  <r>
    <x v="2"/>
    <x v="0"/>
    <x v="0"/>
    <x v="0"/>
    <x v="0"/>
    <x v="2"/>
    <x v="2"/>
    <n v="20321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307194.63"/>
    <n v="0"/>
    <n v="307194.63"/>
    <x v="0"/>
    <x v="0"/>
    <x v="0"/>
    <n v="307194.63"/>
    <n v="0"/>
    <n v="307194.63"/>
    <x v="0"/>
    <x v="0"/>
    <x v="0"/>
    <n v="307194.63"/>
    <n v="0"/>
    <n v="307194.63"/>
    <x v="0"/>
    <x v="0"/>
    <x v="0"/>
    <x v="0"/>
    <x v="0"/>
  </r>
  <r>
    <x v="2"/>
    <x v="0"/>
    <x v="0"/>
    <x v="0"/>
    <x v="0"/>
    <x v="2"/>
    <x v="2"/>
    <n v="20324"/>
    <s v="860035827"/>
    <s v="BANCO AV VILLAS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VALORES NO APLICADOS EN OBLIGACION FINANCIERA-"/>
    <n v="0"/>
    <n v="5574045"/>
    <n v="-5574045"/>
    <x v="0"/>
    <x v="0"/>
    <x v="0"/>
    <n v="0"/>
    <n v="5574045"/>
    <n v="-5574045"/>
    <x v="0"/>
    <x v="0"/>
    <x v="0"/>
    <n v="0"/>
    <n v="5574045"/>
    <n v="-5574045"/>
    <x v="0"/>
    <x v="0"/>
    <x v="0"/>
    <x v="0"/>
    <x v="0"/>
  </r>
  <r>
    <x v="2"/>
    <x v="0"/>
    <x v="0"/>
    <x v="0"/>
    <x v="0"/>
    <x v="2"/>
    <x v="2"/>
    <n v="20325"/>
    <s v="860002964"/>
    <s v="BANCO DE BOGOTA S.A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9"/>
    <x v="9"/>
    <x v="2"/>
    <x v="2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CO BOGOTA- SE RECLASIFICA VR CUOTA E INTERES CUOTA OBLIGACION 9284"/>
    <n v="0"/>
    <n v="2083333"/>
    <n v="-2083333"/>
    <x v="0"/>
    <x v="0"/>
    <x v="0"/>
    <n v="0"/>
    <n v="2083333"/>
    <n v="-2083333"/>
    <x v="0"/>
    <x v="0"/>
    <x v="0"/>
    <n v="0"/>
    <n v="2083333"/>
    <n v="-2083333"/>
    <x v="0"/>
    <x v="0"/>
    <x v="0"/>
    <x v="0"/>
    <x v="0"/>
  </r>
  <r>
    <x v="2"/>
    <x v="0"/>
    <x v="0"/>
    <x v="0"/>
    <x v="0"/>
    <x v="2"/>
    <x v="2"/>
    <n v="20311"/>
    <s v="890903938"/>
    <s v="BANCOLOMBIA S.A."/>
    <s v="201906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0  BANCOLOMBIA"/>
    <n v="258959"/>
    <n v="0"/>
    <n v="258959"/>
    <x v="0"/>
    <x v="0"/>
    <x v="0"/>
    <n v="258959"/>
    <n v="0"/>
    <n v="258959"/>
    <x v="0"/>
    <x v="0"/>
    <x v="0"/>
    <n v="258959"/>
    <n v="0"/>
    <n v="258959"/>
    <x v="0"/>
    <x v="0"/>
    <x v="0"/>
    <x v="0"/>
    <x v="0"/>
  </r>
  <r>
    <x v="2"/>
    <x v="0"/>
    <x v="0"/>
    <x v="0"/>
    <x v="0"/>
    <x v="2"/>
    <x v="2"/>
    <n v="20317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   BANCO DE OCCIDENTE"/>
    <n v="29305"/>
    <n v="0"/>
    <n v="29305"/>
    <x v="0"/>
    <x v="0"/>
    <x v="0"/>
    <n v="29305"/>
    <n v="0"/>
    <n v="29305"/>
    <x v="0"/>
    <x v="0"/>
    <x v="0"/>
    <n v="29305"/>
    <n v="0"/>
    <n v="29305"/>
    <x v="0"/>
    <x v="0"/>
    <x v="0"/>
    <x v="0"/>
    <x v="0"/>
  </r>
  <r>
    <x v="2"/>
    <x v="0"/>
    <x v="0"/>
    <x v="0"/>
    <x v="0"/>
    <x v="2"/>
    <x v="2"/>
    <n v="20318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  BANCO DE OCCIDENTE"/>
    <n v="593576"/>
    <n v="0"/>
    <n v="593576"/>
    <x v="0"/>
    <x v="0"/>
    <x v="0"/>
    <n v="593576"/>
    <n v="0"/>
    <n v="593576"/>
    <x v="0"/>
    <x v="0"/>
    <x v="0"/>
    <n v="593576"/>
    <n v="0"/>
    <n v="593576"/>
    <x v="0"/>
    <x v="0"/>
    <x v="0"/>
    <x v="0"/>
    <x v="0"/>
  </r>
  <r>
    <x v="2"/>
    <x v="0"/>
    <x v="0"/>
    <x v="0"/>
    <x v="0"/>
    <x v="2"/>
    <x v="2"/>
    <n v="20320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96856.13"/>
    <n v="0"/>
    <n v="96856.13"/>
    <x v="0"/>
    <x v="0"/>
    <x v="0"/>
    <n v="96856.13"/>
    <n v="0"/>
    <n v="96856.13"/>
    <x v="0"/>
    <x v="0"/>
    <x v="0"/>
    <n v="96856.13"/>
    <n v="0"/>
    <n v="96856.13"/>
    <x v="0"/>
    <x v="0"/>
    <x v="0"/>
    <x v="0"/>
    <x v="0"/>
  </r>
  <r>
    <x v="2"/>
    <x v="0"/>
    <x v="0"/>
    <x v="0"/>
    <x v="0"/>
    <x v="2"/>
    <x v="2"/>
    <n v="20306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 BANCOLOMBIA"/>
    <n v="203317"/>
    <n v="0"/>
    <n v="203317"/>
    <x v="0"/>
    <x v="0"/>
    <x v="0"/>
    <n v="203317"/>
    <n v="0"/>
    <n v="203317"/>
    <x v="0"/>
    <x v="0"/>
    <x v="0"/>
    <n v="203317"/>
    <n v="0"/>
    <n v="203317"/>
    <x v="0"/>
    <x v="0"/>
    <x v="0"/>
    <x v="0"/>
    <x v="0"/>
  </r>
  <r>
    <x v="2"/>
    <x v="0"/>
    <x v="0"/>
    <x v="0"/>
    <x v="0"/>
    <x v="2"/>
    <x v="2"/>
    <n v="20307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 187498  BANCOLOMBIA"/>
    <n v="54724"/>
    <n v="0"/>
    <n v="54724"/>
    <x v="0"/>
    <x v="0"/>
    <x v="0"/>
    <n v="54724"/>
    <n v="0"/>
    <n v="54724"/>
    <x v="0"/>
    <x v="0"/>
    <x v="0"/>
    <n v="54724"/>
    <n v="0"/>
    <n v="54724"/>
    <x v="0"/>
    <x v="0"/>
    <x v="0"/>
    <x v="0"/>
    <x v="0"/>
  </r>
  <r>
    <x v="2"/>
    <x v="0"/>
    <x v="0"/>
    <x v="0"/>
    <x v="0"/>
    <x v="2"/>
    <x v="2"/>
    <n v="20308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4268 BANCOLOMBIA"/>
    <n v="809373"/>
    <n v="0"/>
    <n v="809373"/>
    <x v="0"/>
    <x v="0"/>
    <x v="0"/>
    <n v="809373"/>
    <n v="0"/>
    <n v="809373"/>
    <x v="0"/>
    <x v="0"/>
    <x v="0"/>
    <n v="809373"/>
    <n v="0"/>
    <n v="809373"/>
    <x v="0"/>
    <x v="0"/>
    <x v="0"/>
    <x v="0"/>
    <x v="0"/>
  </r>
  <r>
    <x v="2"/>
    <x v="0"/>
    <x v="0"/>
    <x v="0"/>
    <x v="0"/>
    <x v="2"/>
    <x v="2"/>
    <n v="20309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BANCOLOMBIA"/>
    <n v="2087823"/>
    <n v="0"/>
    <n v="2087823"/>
    <x v="0"/>
    <x v="0"/>
    <x v="0"/>
    <n v="2087823"/>
    <n v="0"/>
    <n v="2087823"/>
    <x v="0"/>
    <x v="0"/>
    <x v="0"/>
    <n v="2087823"/>
    <n v="0"/>
    <n v="2087823"/>
    <x v="0"/>
    <x v="0"/>
    <x v="0"/>
    <x v="0"/>
    <x v="0"/>
  </r>
  <r>
    <x v="2"/>
    <x v="0"/>
    <x v="0"/>
    <x v="0"/>
    <x v="0"/>
    <x v="2"/>
    <x v="2"/>
    <n v="20343"/>
    <s v="860007660"/>
    <s v="HELM BANK S.A."/>
    <s v="201906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ROTATIVO"/>
    <n v="1720095"/>
    <n v="0"/>
    <n v="1720095"/>
    <x v="0"/>
    <x v="0"/>
    <x v="0"/>
    <n v="1720095"/>
    <n v="0"/>
    <n v="1720095"/>
    <x v="0"/>
    <x v="0"/>
    <x v="0"/>
    <n v="1720095"/>
    <n v="0"/>
    <n v="1720095"/>
    <x v="0"/>
    <x v="0"/>
    <x v="0"/>
    <x v="0"/>
    <x v="0"/>
  </r>
  <r>
    <x v="2"/>
    <x v="0"/>
    <x v="0"/>
    <x v="0"/>
    <x v="0"/>
    <x v="2"/>
    <x v="2"/>
    <n v="20397"/>
    <s v="860007660"/>
    <s v="HELM BANK S.A."/>
    <s v="201906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TERES CREDITO ROTATIVO"/>
    <n v="593566.31999999995"/>
    <n v="0"/>
    <n v="593566.32000000007"/>
    <x v="0"/>
    <x v="0"/>
    <x v="0"/>
    <n v="593566.31999999995"/>
    <n v="0"/>
    <n v="593566.32000000007"/>
    <x v="0"/>
    <x v="0"/>
    <x v="0"/>
    <n v="593566.31999999995"/>
    <n v="0"/>
    <n v="593566.32000000007"/>
    <x v="0"/>
    <x v="0"/>
    <x v="0"/>
    <x v="0"/>
    <x v="0"/>
  </r>
  <r>
    <x v="3"/>
    <x v="0"/>
    <x v="0"/>
    <x v="0"/>
    <x v="0"/>
    <x v="2"/>
    <x v="2"/>
    <n v="20368"/>
    <s v="860002964"/>
    <s v="BANCO DE BOGOTA S.A."/>
    <s v="201907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3"/>
    <x v="0"/>
    <x v="0"/>
    <x v="0"/>
    <x v="0"/>
    <x v="2"/>
    <x v="2"/>
    <n v="20400"/>
    <s v="890903938"/>
    <s v="BANCOLOMBIA S.A."/>
    <s v="201907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205450 BANCOLOMBIA CUOTA 19"/>
    <n v="195056"/>
    <n v="0"/>
    <n v="195056"/>
    <x v="0"/>
    <x v="0"/>
    <x v="0"/>
    <n v="195056"/>
    <n v="0"/>
    <n v="195056"/>
    <x v="0"/>
    <x v="0"/>
    <x v="0"/>
    <n v="195056"/>
    <n v="0"/>
    <n v="195056"/>
    <x v="0"/>
    <x v="0"/>
    <x v="0"/>
    <x v="0"/>
    <x v="0"/>
  </r>
  <r>
    <x v="3"/>
    <x v="0"/>
    <x v="0"/>
    <x v="0"/>
    <x v="0"/>
    <x v="2"/>
    <x v="2"/>
    <n v="20449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63289"/>
    <n v="0"/>
    <n v="763289"/>
    <x v="0"/>
    <x v="0"/>
    <x v="0"/>
    <n v="763289"/>
    <n v="0"/>
    <n v="763289"/>
    <x v="0"/>
    <x v="0"/>
    <x v="0"/>
    <n v="763289"/>
    <n v="0"/>
    <n v="763289"/>
    <x v="0"/>
    <x v="0"/>
    <x v="0"/>
    <x v="0"/>
    <x v="0"/>
  </r>
  <r>
    <x v="3"/>
    <x v="0"/>
    <x v="0"/>
    <x v="0"/>
    <x v="0"/>
    <x v="2"/>
    <x v="2"/>
    <n v="20450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79393"/>
    <n v="0"/>
    <n v="279393"/>
    <x v="0"/>
    <x v="0"/>
    <x v="0"/>
    <n v="279393"/>
    <n v="0"/>
    <n v="279393"/>
    <x v="0"/>
    <x v="0"/>
    <x v="0"/>
    <n v="279393"/>
    <n v="0"/>
    <n v="279393"/>
    <x v="0"/>
    <x v="0"/>
    <x v="0"/>
    <x v="0"/>
    <x v="0"/>
  </r>
  <r>
    <x v="3"/>
    <x v="0"/>
    <x v="0"/>
    <x v="0"/>
    <x v="0"/>
    <x v="2"/>
    <x v="2"/>
    <n v="20451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950895"/>
    <n v="0"/>
    <n v="1950895"/>
    <x v="0"/>
    <x v="0"/>
    <x v="0"/>
    <n v="1950895"/>
    <n v="0"/>
    <n v="1950895"/>
    <x v="0"/>
    <x v="0"/>
    <x v="0"/>
    <n v="1950895"/>
    <n v="0"/>
    <n v="1950895"/>
    <x v="0"/>
    <x v="0"/>
    <x v="0"/>
    <x v="0"/>
    <x v="0"/>
  </r>
  <r>
    <x v="3"/>
    <x v="0"/>
    <x v="0"/>
    <x v="0"/>
    <x v="0"/>
    <x v="2"/>
    <x v="2"/>
    <n v="20453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80"/>
    <n v="246808"/>
    <n v="0"/>
    <n v="246808"/>
    <x v="0"/>
    <x v="0"/>
    <x v="0"/>
    <n v="246808"/>
    <n v="0"/>
    <n v="246808"/>
    <x v="0"/>
    <x v="0"/>
    <x v="0"/>
    <n v="246808"/>
    <n v="0"/>
    <n v="246808"/>
    <x v="0"/>
    <x v="0"/>
    <x v="0"/>
    <x v="0"/>
    <x v="0"/>
  </r>
  <r>
    <x v="3"/>
    <x v="0"/>
    <x v="0"/>
    <x v="0"/>
    <x v="0"/>
    <x v="2"/>
    <x v="2"/>
    <n v="20454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90552"/>
    <n v="0"/>
    <n v="590552"/>
    <x v="0"/>
    <x v="0"/>
    <x v="0"/>
    <n v="590552"/>
    <n v="0"/>
    <n v="590552"/>
    <x v="0"/>
    <x v="0"/>
    <x v="0"/>
    <n v="590552"/>
    <n v="0"/>
    <n v="590552"/>
    <x v="0"/>
    <x v="0"/>
    <x v="0"/>
    <x v="0"/>
    <x v="0"/>
  </r>
  <r>
    <x v="3"/>
    <x v="0"/>
    <x v="0"/>
    <x v="0"/>
    <x v="0"/>
    <x v="2"/>
    <x v="2"/>
    <n v="20456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07082"/>
    <n v="0"/>
    <n v="407082"/>
    <x v="0"/>
    <x v="0"/>
    <x v="0"/>
    <n v="407082"/>
    <n v="0"/>
    <n v="407082"/>
    <x v="0"/>
    <x v="0"/>
    <x v="0"/>
    <n v="407082"/>
    <n v="0"/>
    <n v="407082"/>
    <x v="0"/>
    <x v="0"/>
    <x v="0"/>
    <x v="0"/>
    <x v="0"/>
  </r>
  <r>
    <x v="3"/>
    <x v="0"/>
    <x v="0"/>
    <x v="0"/>
    <x v="0"/>
    <x v="2"/>
    <x v="2"/>
    <n v="20457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-8  OCCIDENTE"/>
    <n v="546835"/>
    <n v="0"/>
    <n v="546835"/>
    <x v="0"/>
    <x v="0"/>
    <x v="0"/>
    <n v="546835"/>
    <n v="0"/>
    <n v="546835"/>
    <x v="0"/>
    <x v="0"/>
    <x v="0"/>
    <n v="546835"/>
    <n v="0"/>
    <n v="546835"/>
    <x v="0"/>
    <x v="0"/>
    <x v="0"/>
    <x v="0"/>
    <x v="0"/>
  </r>
  <r>
    <x v="3"/>
    <x v="0"/>
    <x v="0"/>
    <x v="0"/>
    <x v="0"/>
    <x v="2"/>
    <x v="2"/>
    <n v="20464"/>
    <s v="860035827"/>
    <s v="BANCO AV VILLAS"/>
    <s v="201907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70968"/>
    <n v="0"/>
    <n v="1170968"/>
    <x v="0"/>
    <x v="0"/>
    <x v="0"/>
    <n v="1170968"/>
    <n v="0"/>
    <n v="1170968"/>
    <x v="0"/>
    <x v="0"/>
    <x v="0"/>
    <n v="1170968"/>
    <n v="0"/>
    <n v="1170968"/>
    <x v="0"/>
    <x v="0"/>
    <x v="0"/>
    <x v="0"/>
    <x v="0"/>
  </r>
  <r>
    <x v="3"/>
    <x v="0"/>
    <x v="0"/>
    <x v="0"/>
    <x v="0"/>
    <x v="2"/>
    <x v="2"/>
    <n v="20470"/>
    <s v="890300279"/>
    <s v="BANCO DE OCCIDENTE."/>
    <s v="201907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128580  DEL MES DE JUNIO ATRARZADA"/>
    <n v="254219"/>
    <n v="0"/>
    <n v="254219"/>
    <x v="0"/>
    <x v="0"/>
    <x v="0"/>
    <n v="254219"/>
    <n v="0"/>
    <n v="254219"/>
    <x v="0"/>
    <x v="0"/>
    <x v="0"/>
    <n v="254219"/>
    <n v="0"/>
    <n v="254219"/>
    <x v="0"/>
    <x v="0"/>
    <x v="0"/>
    <x v="0"/>
    <x v="0"/>
  </r>
  <r>
    <x v="3"/>
    <x v="0"/>
    <x v="0"/>
    <x v="0"/>
    <x v="0"/>
    <x v="2"/>
    <x v="2"/>
    <n v="20495"/>
    <s v="860002964"/>
    <s v="BANCO DE BOGOTA S.A."/>
    <s v="201907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 BOGOTA"/>
    <n v="286118.95"/>
    <n v="0"/>
    <n v="286118.95"/>
    <x v="0"/>
    <x v="0"/>
    <x v="0"/>
    <n v="286118.95"/>
    <n v="0"/>
    <n v="286118.95"/>
    <x v="0"/>
    <x v="0"/>
    <x v="0"/>
    <n v="286118.95"/>
    <n v="0"/>
    <n v="286118.95"/>
    <x v="0"/>
    <x v="0"/>
    <x v="0"/>
    <x v="0"/>
    <x v="0"/>
  </r>
  <r>
    <x v="3"/>
    <x v="0"/>
    <x v="0"/>
    <x v="0"/>
    <x v="0"/>
    <x v="2"/>
    <x v="2"/>
    <n v="20498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51613"/>
    <n v="0"/>
    <n v="51613"/>
    <x v="0"/>
    <x v="0"/>
    <x v="0"/>
    <n v="51613"/>
    <n v="0"/>
    <n v="51613"/>
    <x v="0"/>
    <x v="0"/>
    <x v="0"/>
    <n v="51613"/>
    <n v="0"/>
    <n v="51613"/>
    <x v="0"/>
    <x v="0"/>
    <x v="0"/>
    <x v="0"/>
    <x v="0"/>
  </r>
  <r>
    <x v="3"/>
    <x v="0"/>
    <x v="0"/>
    <x v="0"/>
    <x v="0"/>
    <x v="2"/>
    <x v="2"/>
    <n v="20499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"/>
    <n v="245087"/>
    <n v="0"/>
    <n v="245087"/>
    <x v="0"/>
    <x v="0"/>
    <x v="0"/>
    <n v="245087"/>
    <n v="0"/>
    <n v="245087"/>
    <x v="0"/>
    <x v="0"/>
    <x v="0"/>
    <n v="245087"/>
    <n v="0"/>
    <n v="245087"/>
    <x v="0"/>
    <x v="0"/>
    <x v="0"/>
    <x v="0"/>
    <x v="0"/>
  </r>
  <r>
    <x v="3"/>
    <x v="0"/>
    <x v="0"/>
    <x v="0"/>
    <x v="0"/>
    <x v="2"/>
    <x v="2"/>
    <n v="20594"/>
    <s v="860002964"/>
    <s v="BANCO DE BOGOTA S.A."/>
    <s v="201907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4"/>
    <x v="0"/>
    <x v="0"/>
    <x v="0"/>
    <x v="0"/>
    <x v="2"/>
    <x v="2"/>
    <n v="20578"/>
    <s v="860002964"/>
    <s v="BANCO DE BOGOT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CUOTA 21"/>
    <n v="64394.69"/>
    <n v="0"/>
    <n v="64394.69"/>
    <x v="0"/>
    <x v="0"/>
    <x v="0"/>
    <n v="64394.69"/>
    <n v="0"/>
    <n v="64394.69"/>
    <x v="0"/>
    <x v="0"/>
    <x v="0"/>
    <n v="64394.69"/>
    <n v="0"/>
    <n v="64394.69"/>
    <x v="0"/>
    <x v="0"/>
    <x v="0"/>
    <x v="0"/>
    <x v="0"/>
  </r>
  <r>
    <x v="4"/>
    <x v="0"/>
    <x v="0"/>
    <x v="0"/>
    <x v="0"/>
    <x v="2"/>
    <x v="2"/>
    <n v="20579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06599"/>
    <n v="0"/>
    <n v="1106599"/>
    <x v="0"/>
    <x v="0"/>
    <x v="0"/>
    <n v="1106599"/>
    <n v="0"/>
    <n v="1106599"/>
    <x v="0"/>
    <x v="0"/>
    <x v="0"/>
    <n v="1106599"/>
    <n v="0"/>
    <n v="1106599"/>
    <x v="0"/>
    <x v="0"/>
    <x v="0"/>
    <x v="0"/>
    <x v="0"/>
  </r>
  <r>
    <x v="4"/>
    <x v="0"/>
    <x v="0"/>
    <x v="0"/>
    <x v="0"/>
    <x v="2"/>
    <x v="2"/>
    <n v="20580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35809"/>
    <n v="0"/>
    <n v="535809"/>
    <x v="0"/>
    <x v="0"/>
    <x v="0"/>
    <n v="535809"/>
    <n v="0"/>
    <n v="535809"/>
    <x v="0"/>
    <x v="0"/>
    <x v="0"/>
    <n v="535809"/>
    <n v="0"/>
    <n v="535809"/>
    <x v="0"/>
    <x v="0"/>
    <x v="0"/>
    <x v="0"/>
    <x v="0"/>
  </r>
  <r>
    <x v="4"/>
    <x v="0"/>
    <x v="0"/>
    <x v="0"/>
    <x v="0"/>
    <x v="2"/>
    <x v="2"/>
    <n v="20581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 AV VILLAS"/>
    <n v="345776"/>
    <n v="0"/>
    <n v="345776"/>
    <x v="0"/>
    <x v="0"/>
    <x v="0"/>
    <n v="345776"/>
    <n v="0"/>
    <n v="345776"/>
    <x v="0"/>
    <x v="0"/>
    <x v="0"/>
    <n v="345776"/>
    <n v="0"/>
    <n v="345776"/>
    <x v="0"/>
    <x v="0"/>
    <x v="0"/>
    <x v="0"/>
    <x v="0"/>
  </r>
  <r>
    <x v="4"/>
    <x v="0"/>
    <x v="0"/>
    <x v="0"/>
    <x v="0"/>
    <x v="2"/>
    <x v="2"/>
    <n v="20584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259  mes de agosto del 2019"/>
    <n v="1494791"/>
    <n v="0"/>
    <n v="1494791"/>
    <x v="0"/>
    <x v="0"/>
    <x v="0"/>
    <n v="1494791"/>
    <n v="0"/>
    <n v="1494791"/>
    <x v="0"/>
    <x v="0"/>
    <x v="0"/>
    <n v="1494791"/>
    <n v="0"/>
    <n v="1494791"/>
    <x v="0"/>
    <x v="0"/>
    <x v="0"/>
    <x v="0"/>
    <x v="0"/>
  </r>
  <r>
    <x v="4"/>
    <x v="0"/>
    <x v="0"/>
    <x v="0"/>
    <x v="0"/>
    <x v="2"/>
    <x v="2"/>
    <n v="20585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39149"/>
    <n v="0"/>
    <n v="239149"/>
    <x v="0"/>
    <x v="0"/>
    <x v="0"/>
    <n v="239149"/>
    <n v="0"/>
    <n v="239149"/>
    <x v="0"/>
    <x v="0"/>
    <x v="0"/>
    <n v="239149"/>
    <n v="0"/>
    <n v="239149"/>
    <x v="0"/>
    <x v="0"/>
    <x v="0"/>
    <x v="0"/>
    <x v="0"/>
  </r>
  <r>
    <x v="4"/>
    <x v="0"/>
    <x v="0"/>
    <x v="0"/>
    <x v="0"/>
    <x v="2"/>
    <x v="2"/>
    <n v="20586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11278"/>
    <n v="0"/>
    <n v="711278"/>
    <x v="0"/>
    <x v="0"/>
    <x v="0"/>
    <n v="711278"/>
    <n v="0"/>
    <n v="711278"/>
    <x v="0"/>
    <x v="0"/>
    <x v="0"/>
    <n v="711278"/>
    <n v="0"/>
    <n v="711278"/>
    <x v="0"/>
    <x v="0"/>
    <x v="0"/>
    <x v="0"/>
    <x v="0"/>
  </r>
  <r>
    <x v="4"/>
    <x v="0"/>
    <x v="0"/>
    <x v="0"/>
    <x v="0"/>
    <x v="2"/>
    <x v="2"/>
    <n v="20587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 8"/>
    <n v="511070"/>
    <n v="0"/>
    <n v="511070"/>
    <x v="0"/>
    <x v="0"/>
    <x v="0"/>
    <n v="511070"/>
    <n v="0"/>
    <n v="511070"/>
    <x v="0"/>
    <x v="0"/>
    <x v="0"/>
    <n v="511070"/>
    <n v="0"/>
    <n v="511070"/>
    <x v="0"/>
    <x v="0"/>
    <x v="0"/>
    <x v="0"/>
    <x v="0"/>
  </r>
  <r>
    <x v="4"/>
    <x v="0"/>
    <x v="0"/>
    <x v="0"/>
    <x v="0"/>
    <x v="2"/>
    <x v="2"/>
    <n v="20596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0   BANCO DE OCCIDENTE"/>
    <n v="241159"/>
    <n v="0"/>
    <n v="241159"/>
    <x v="0"/>
    <x v="0"/>
    <x v="0"/>
    <n v="241159"/>
    <n v="0"/>
    <n v="241159"/>
    <x v="0"/>
    <x v="0"/>
    <x v="0"/>
    <n v="241159"/>
    <n v="0"/>
    <n v="241159"/>
    <x v="0"/>
    <x v="0"/>
    <x v="0"/>
    <x v="0"/>
    <x v="0"/>
  </r>
  <r>
    <x v="4"/>
    <x v="0"/>
    <x v="0"/>
    <x v="0"/>
    <x v="0"/>
    <x v="2"/>
    <x v="2"/>
    <n v="20608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186999"/>
    <n v="0"/>
    <n v="186999"/>
    <x v="0"/>
    <x v="0"/>
    <x v="0"/>
    <n v="186999"/>
    <n v="0"/>
    <n v="186999"/>
    <x v="0"/>
    <x v="0"/>
    <x v="0"/>
    <n v="186999"/>
    <n v="0"/>
    <n v="186999"/>
    <x v="0"/>
    <x v="0"/>
    <x v="0"/>
    <x v="0"/>
    <x v="0"/>
  </r>
  <r>
    <x v="4"/>
    <x v="0"/>
    <x v="0"/>
    <x v="0"/>
    <x v="0"/>
    <x v="2"/>
    <x v="2"/>
    <n v="20609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47840"/>
    <n v="0"/>
    <n v="47840"/>
    <x v="0"/>
    <x v="0"/>
    <x v="0"/>
    <n v="47840"/>
    <n v="0"/>
    <n v="47840"/>
    <x v="0"/>
    <x v="0"/>
    <x v="0"/>
    <n v="47840"/>
    <n v="0"/>
    <n v="47840"/>
    <x v="0"/>
    <x v="0"/>
    <x v="0"/>
    <x v="0"/>
    <x v="0"/>
  </r>
  <r>
    <x v="4"/>
    <x v="0"/>
    <x v="0"/>
    <x v="0"/>
    <x v="0"/>
    <x v="2"/>
    <x v="2"/>
    <n v="20611"/>
    <s v="860002964"/>
    <s v="BANCO DE BOGOTA S.A."/>
    <s v="201908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267816.62"/>
    <n v="0"/>
    <n v="267816.62"/>
    <x v="0"/>
    <x v="0"/>
    <x v="0"/>
    <n v="267816.62"/>
    <n v="0"/>
    <n v="267816.62"/>
    <x v="0"/>
    <x v="0"/>
    <x v="0"/>
    <n v="267816.62"/>
    <n v="0"/>
    <n v="267816.62"/>
    <x v="0"/>
    <x v="0"/>
    <x v="0"/>
    <x v="0"/>
    <x v="0"/>
  </r>
  <r>
    <x v="4"/>
    <x v="0"/>
    <x v="0"/>
    <x v="0"/>
    <x v="0"/>
    <x v="2"/>
    <x v="2"/>
    <n v="20641"/>
    <s v="860007660"/>
    <s v="HELM BANK S.A."/>
    <s v="201908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HELM BANK - CREDITO ROTATIVO"/>
    <n v="1676732.31"/>
    <n v="0"/>
    <n v="1676732.31"/>
    <x v="0"/>
    <x v="0"/>
    <x v="0"/>
    <n v="1676732.31"/>
    <n v="0"/>
    <n v="1676732.31"/>
    <x v="0"/>
    <x v="0"/>
    <x v="0"/>
    <n v="1676732.31"/>
    <n v="0"/>
    <n v="1676732.31"/>
    <x v="0"/>
    <x v="0"/>
    <x v="0"/>
    <x v="0"/>
    <x v="0"/>
  </r>
  <r>
    <x v="6"/>
    <x v="0"/>
    <x v="0"/>
    <x v="0"/>
    <x v="0"/>
    <x v="2"/>
    <x v="2"/>
    <n v="20184"/>
    <s v="800242106"/>
    <s v="SODIMAC COLOMBIA S.A."/>
    <s v="201905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98479.74"/>
    <n v="0"/>
    <n v="98479.74"/>
    <x v="0"/>
    <x v="0"/>
    <x v="0"/>
    <n v="98479.74"/>
    <n v="0"/>
    <n v="98479.74"/>
    <x v="0"/>
    <x v="0"/>
    <x v="0"/>
    <n v="98479.74"/>
    <n v="0"/>
    <n v="98479.74"/>
    <x v="0"/>
    <x v="0"/>
    <x v="0"/>
    <x v="0"/>
    <x v="0"/>
  </r>
  <r>
    <x v="6"/>
    <x v="0"/>
    <x v="0"/>
    <x v="0"/>
    <x v="0"/>
    <x v="11"/>
    <x v="11"/>
    <n v="26301"/>
    <s v="1036930909"/>
    <s v="ALZATE SANCHEZ NATACHA"/>
    <s v="201905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8+ GASTOS BANCARIOS"/>
    <n v="11677"/>
    <n v="0"/>
    <n v="11677"/>
    <x v="0"/>
    <x v="0"/>
    <x v="0"/>
    <n v="11677"/>
    <n v="0"/>
    <n v="11677"/>
    <x v="0"/>
    <x v="0"/>
    <x v="0"/>
    <n v="11677"/>
    <n v="0"/>
    <n v="11677"/>
    <x v="0"/>
    <x v="0"/>
    <x v="0"/>
    <x v="0"/>
    <x v="0"/>
  </r>
  <r>
    <x v="6"/>
    <x v="0"/>
    <x v="0"/>
    <x v="0"/>
    <x v="0"/>
    <x v="11"/>
    <x v="11"/>
    <n v="26311"/>
    <s v="1045717933"/>
    <s v="PALMA GUTIERREZ KETTY JANETH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6+ GASTOS BANCARIOS"/>
    <n v="4353"/>
    <n v="0"/>
    <n v="4353"/>
    <x v="0"/>
    <x v="0"/>
    <x v="0"/>
    <n v="4353"/>
    <n v="0"/>
    <n v="4353"/>
    <x v="0"/>
    <x v="0"/>
    <x v="0"/>
    <n v="4353"/>
    <n v="0"/>
    <n v="4353"/>
    <x v="0"/>
    <x v="0"/>
    <x v="0"/>
    <x v="0"/>
    <x v="0"/>
  </r>
  <r>
    <x v="6"/>
    <x v="0"/>
    <x v="0"/>
    <x v="0"/>
    <x v="0"/>
    <x v="11"/>
    <x v="11"/>
    <n v="26312"/>
    <s v="31908098"/>
    <s v="LOPEZ GARCIA MARIA DEL SOCORRO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3"/>
    <n v="7588"/>
    <n v="0"/>
    <n v="7588"/>
    <x v="0"/>
    <x v="0"/>
    <x v="0"/>
    <n v="7588"/>
    <n v="0"/>
    <n v="7588"/>
    <x v="0"/>
    <x v="0"/>
    <x v="0"/>
    <n v="7588"/>
    <n v="0"/>
    <n v="7588"/>
    <x v="0"/>
    <x v="0"/>
    <x v="0"/>
    <x v="0"/>
    <x v="0"/>
  </r>
  <r>
    <x v="6"/>
    <x v="0"/>
    <x v="0"/>
    <x v="0"/>
    <x v="0"/>
    <x v="11"/>
    <x v="11"/>
    <n v="26313"/>
    <s v="29873536"/>
    <s v="ZUÑIGA CEBALLOS CLAUDIA MARIA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6 + GASTOS BANCARIOS"/>
    <n v="7714"/>
    <n v="0"/>
    <n v="7714"/>
    <x v="0"/>
    <x v="0"/>
    <x v="0"/>
    <n v="7714"/>
    <n v="0"/>
    <n v="7714"/>
    <x v="0"/>
    <x v="0"/>
    <x v="0"/>
    <n v="7714"/>
    <n v="0"/>
    <n v="7714"/>
    <x v="0"/>
    <x v="0"/>
    <x v="0"/>
    <x v="0"/>
    <x v="0"/>
  </r>
  <r>
    <x v="4"/>
    <x v="0"/>
    <x v="0"/>
    <x v="0"/>
    <x v="0"/>
    <x v="2"/>
    <x v="2"/>
    <n v="20607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808800"/>
    <n v="0"/>
    <n v="1808800"/>
    <x v="0"/>
    <x v="0"/>
    <x v="0"/>
    <n v="1808800"/>
    <n v="0"/>
    <n v="1808800"/>
    <x v="0"/>
    <x v="0"/>
    <x v="0"/>
    <n v="1808800"/>
    <n v="0"/>
    <n v="1808800"/>
    <x v="0"/>
    <x v="0"/>
    <x v="0"/>
    <x v="0"/>
    <x v="0"/>
  </r>
  <r>
    <x v="4"/>
    <x v="0"/>
    <x v="0"/>
    <x v="0"/>
    <x v="0"/>
    <x v="2"/>
    <x v="2"/>
    <n v="20649"/>
    <s v="890903938"/>
    <s v="BANCOLOMBIA S.A."/>
    <s v="2019082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2"/>
    <n v="233412"/>
    <n v="0"/>
    <n v="233412"/>
    <x v="0"/>
    <x v="0"/>
    <x v="0"/>
    <n v="233412"/>
    <n v="0"/>
    <n v="233412"/>
    <x v="0"/>
    <x v="0"/>
    <x v="0"/>
    <n v="233412"/>
    <n v="0"/>
    <n v="233412"/>
    <x v="0"/>
    <x v="0"/>
    <x v="0"/>
    <x v="0"/>
    <x v="0"/>
  </r>
  <r>
    <x v="6"/>
    <x v="0"/>
    <x v="0"/>
    <x v="0"/>
    <x v="0"/>
    <x v="11"/>
    <x v="11"/>
    <n v="26349"/>
    <s v="1018441067"/>
    <s v="ALONSO GUTIERREZ YINNETH CATALINA"/>
    <s v="201905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9"/>
    <n v="12293"/>
    <n v="0"/>
    <n v="12293"/>
    <x v="0"/>
    <x v="0"/>
    <x v="0"/>
    <n v="12293"/>
    <n v="0"/>
    <n v="12293"/>
    <x v="0"/>
    <x v="0"/>
    <x v="0"/>
    <n v="12293"/>
    <n v="0"/>
    <n v="12293"/>
    <x v="0"/>
    <x v="0"/>
    <x v="0"/>
    <x v="0"/>
    <x v="0"/>
  </r>
  <r>
    <x v="6"/>
    <x v="0"/>
    <x v="0"/>
    <x v="0"/>
    <x v="0"/>
    <x v="11"/>
    <x v="11"/>
    <n v="26289"/>
    <s v="71631400"/>
    <s v="CARRASQUILLA PIZARRO MARCO ANTONIO"/>
    <s v="201905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6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11"/>
    <x v="11"/>
    <n v="26416"/>
    <s v="71631400"/>
    <s v="CARRASQUILLA PIZARRO MARCO ANTONIO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2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11"/>
    <x v="11"/>
    <n v="26417"/>
    <s v="1098657994"/>
    <s v="HERNANDEZ ROJAS JOHN EDISON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0+GAST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31199.03999999998"/>
    <n v="0"/>
    <n v="331199.03999999998"/>
    <x v="0"/>
    <x v="0"/>
    <x v="0"/>
    <n v="331199.03999999998"/>
    <n v="0"/>
    <n v="331199.03999999998"/>
    <x v="0"/>
    <x v="0"/>
    <x v="0"/>
    <n v="331199.03999999998"/>
    <n v="0"/>
    <n v="331199.03999999998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1054174"/>
    <n v="0"/>
    <n v="1054174"/>
    <x v="0"/>
    <x v="0"/>
    <x v="0"/>
    <n v="1054174"/>
    <n v="0"/>
    <n v="1054174"/>
    <x v="0"/>
    <x v="0"/>
    <x v="0"/>
    <n v="0"/>
    <n v="0"/>
    <n v="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306530"/>
    <n v="0"/>
    <n v="306530"/>
    <x v="0"/>
    <x v="0"/>
    <x v="0"/>
    <n v="306530"/>
    <n v="0"/>
    <n v="306530"/>
    <x v="0"/>
    <x v="0"/>
    <x v="0"/>
    <n v="306530"/>
    <n v="0"/>
    <n v="30653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0"/>
    <n v="0"/>
    <n v="0"/>
    <x v="0"/>
    <x v="0"/>
    <x v="0"/>
    <n v="147862"/>
    <n v="0"/>
    <n v="147862"/>
    <x v="0"/>
    <x v="0"/>
    <x v="0"/>
    <n v="0"/>
    <n v="0"/>
    <n v="0"/>
    <x v="0"/>
    <x v="0"/>
    <x v="0"/>
    <x v="0"/>
    <x v="0"/>
  </r>
  <r>
    <x v="0"/>
    <x v="0"/>
    <x v="0"/>
    <x v="0"/>
    <x v="0"/>
    <x v="2"/>
    <x v="2"/>
    <n v="19608"/>
    <s v="PME001013J84"/>
    <s v="PANAMSAT DE MEXICO S DE RL DE CV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ANAMSAT  - (USD 17586 ) TRM 3136.59"/>
    <n v="2891313.74"/>
    <n v="0"/>
    <n v="2891313.74"/>
    <x v="0"/>
    <x v="0"/>
    <x v="0"/>
    <n v="2891313.74"/>
    <n v="0"/>
    <n v="2891313.74"/>
    <x v="0"/>
    <x v="0"/>
    <x v="0"/>
    <n v="2891313.74"/>
    <n v="0"/>
    <n v="2891313.74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37586"/>
    <n v="0"/>
    <n v="37586"/>
    <x v="0"/>
    <x v="0"/>
    <x v="0"/>
    <n v="37586"/>
    <n v="0"/>
    <n v="37586"/>
    <x v="0"/>
    <x v="0"/>
    <x v="0"/>
    <n v="37586"/>
    <n v="0"/>
    <n v="37586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17214"/>
    <n v="0"/>
    <n v="1117214"/>
    <x v="0"/>
    <x v="0"/>
    <x v="0"/>
    <n v="1117214"/>
    <n v="0"/>
    <n v="1117214"/>
    <x v="0"/>
    <x v="0"/>
    <x v="0"/>
    <n v="0"/>
    <n v="0"/>
    <n v="0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0"/>
    <n v="0"/>
    <n v="0"/>
    <x v="0"/>
    <x v="0"/>
    <x v="0"/>
    <n v="156705"/>
    <n v="0"/>
    <n v="156705"/>
    <x v="0"/>
    <x v="0"/>
    <x v="0"/>
    <n v="0"/>
    <n v="0"/>
    <n v="0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440198"/>
    <n v="0"/>
    <n v="440198"/>
    <x v="0"/>
    <x v="0"/>
    <x v="0"/>
    <n v="440198"/>
    <n v="0"/>
    <n v="440198"/>
    <x v="0"/>
    <x v="0"/>
    <x v="0"/>
    <n v="440198"/>
    <n v="0"/>
    <n v="44019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8"/>
    <n v="0"/>
    <n v="1910268"/>
    <x v="0"/>
    <x v="0"/>
    <x v="0"/>
    <n v="1910268"/>
    <n v="0"/>
    <n v="1910268"/>
    <x v="0"/>
    <x v="0"/>
    <x v="0"/>
    <n v="1910268"/>
    <n v="0"/>
    <n v="191026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807488"/>
    <n v="0"/>
    <n v="1807488"/>
    <x v="0"/>
    <x v="0"/>
    <x v="0"/>
    <n v="1807488"/>
    <n v="0"/>
    <n v="1807488"/>
    <x v="0"/>
    <x v="0"/>
    <x v="0"/>
    <n v="1807488"/>
    <n v="0"/>
    <n v="180748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9"/>
    <n v="0"/>
    <n v="1910269"/>
    <x v="0"/>
    <x v="0"/>
    <x v="0"/>
    <n v="1910269"/>
    <n v="0"/>
    <n v="1910269"/>
    <x v="0"/>
    <x v="0"/>
    <x v="0"/>
    <n v="1910269"/>
    <n v="0"/>
    <n v="1910269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250793"/>
    <n v="0"/>
    <n v="250793"/>
    <x v="0"/>
    <x v="0"/>
    <x v="0"/>
    <n v="250793"/>
    <n v="0"/>
    <n v="250793"/>
    <x v="0"/>
    <x v="0"/>
    <x v="0"/>
    <n v="250793"/>
    <n v="0"/>
    <n v="250793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097936"/>
    <n v="0"/>
    <n v="1097936"/>
    <x v="0"/>
    <x v="0"/>
    <x v="0"/>
    <n v="1097936"/>
    <n v="0"/>
    <n v="1097936"/>
    <x v="0"/>
    <x v="0"/>
    <x v="0"/>
    <n v="1097936"/>
    <n v="0"/>
    <n v="109793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6"/>
    <x v="0"/>
    <x v="0"/>
    <x v="0"/>
    <x v="0"/>
    <x v="2"/>
    <x v="2"/>
    <n v="20253"/>
    <s v="PME001013J84"/>
    <s v="PANAMSAT DE MEXICO S DE RL DE CV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PANAMSAT - USD 18586 (TRM 3290.27)"/>
    <n v="790835.22"/>
    <n v="0"/>
    <n v="790835.22"/>
    <x v="0"/>
    <x v="0"/>
    <x v="0"/>
    <n v="790835.22"/>
    <n v="0"/>
    <n v="790835.22"/>
    <x v="0"/>
    <x v="0"/>
    <x v="0"/>
    <n v="790835.22"/>
    <n v="0"/>
    <n v="790835.22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9"/>
    <n v="0"/>
    <n v="2046319"/>
    <x v="0"/>
    <x v="0"/>
    <x v="0"/>
    <n v="2046319"/>
    <n v="0"/>
    <n v="2046319"/>
    <x v="0"/>
    <x v="0"/>
    <x v="0"/>
    <n v="2046319"/>
    <n v="0"/>
    <n v="2046319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8"/>
    <n v="0"/>
    <n v="2046318"/>
    <x v="0"/>
    <x v="0"/>
    <x v="0"/>
    <n v="2046318"/>
    <n v="0"/>
    <n v="2046318"/>
    <x v="0"/>
    <x v="0"/>
    <x v="0"/>
    <n v="2046318"/>
    <n v="0"/>
    <n v="2046318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117214"/>
    <n v="0"/>
    <n v="1117214"/>
    <x v="0"/>
    <x v="0"/>
    <x v="0"/>
    <n v="1117214"/>
    <n v="0"/>
    <n v="1117214"/>
    <x v="0"/>
    <x v="0"/>
    <x v="0"/>
    <n v="1117214"/>
    <n v="0"/>
    <n v="111721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054174"/>
    <n v="-1054174"/>
    <x v="0"/>
    <x v="0"/>
    <x v="0"/>
    <n v="0"/>
    <n v="1054174"/>
    <n v="-1054174"/>
    <x v="0"/>
    <x v="0"/>
    <x v="0"/>
    <n v="0"/>
    <n v="1054174"/>
    <n v="-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054174"/>
    <n v="0"/>
    <n v="1054174"/>
    <x v="0"/>
    <x v="0"/>
    <x v="0"/>
    <n v="1054174"/>
    <n v="0"/>
    <n v="1054174"/>
    <x v="0"/>
    <x v="0"/>
    <x v="0"/>
    <n v="1054174"/>
    <n v="0"/>
    <n v="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117214"/>
    <n v="-1117214"/>
    <x v="0"/>
    <x v="0"/>
    <x v="0"/>
    <n v="0"/>
    <n v="1117214"/>
    <n v="-1117214"/>
    <x v="0"/>
    <x v="0"/>
    <x v="0"/>
    <n v="0"/>
    <n v="1117214"/>
    <n v="-1117214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47862"/>
    <n v="-147862"/>
    <x v="0"/>
    <x v="0"/>
    <x v="0"/>
    <n v="0"/>
    <n v="0"/>
    <n v="0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56705"/>
    <n v="-156705"/>
    <x v="0"/>
    <x v="0"/>
    <x v="0"/>
    <n v="0"/>
    <n v="0"/>
    <n v="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90243"/>
    <n v="0"/>
    <n v="190243"/>
    <x v="0"/>
    <x v="0"/>
    <x v="0"/>
    <n v="190243"/>
    <n v="0"/>
    <n v="190243"/>
    <x v="0"/>
    <x v="0"/>
    <x v="0"/>
    <n v="190243"/>
    <n v="0"/>
    <n v="190243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858764"/>
    <n v="0"/>
    <n v="1858764"/>
    <x v="0"/>
    <x v="0"/>
    <x v="0"/>
    <n v="1858764"/>
    <n v="0"/>
    <n v="1858764"/>
    <x v="0"/>
    <x v="0"/>
    <x v="0"/>
    <n v="1858764"/>
    <n v="0"/>
    <n v="18587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0"/>
    <n v="0"/>
    <n v="0"/>
    <x v="0"/>
    <x v="0"/>
    <x v="0"/>
    <n v="721682"/>
    <n v="0"/>
    <n v="721682"/>
    <x v="0"/>
    <x v="0"/>
    <x v="0"/>
    <n v="0"/>
    <n v="0"/>
    <n v="0"/>
    <x v="0"/>
    <x v="0"/>
    <x v="0"/>
    <x v="0"/>
    <x v="0"/>
  </r>
  <r>
    <x v="3"/>
    <x v="0"/>
    <x v="0"/>
    <x v="0"/>
    <x v="0"/>
    <x v="2"/>
    <x v="2"/>
    <n v="20569"/>
    <s v="PME001013J84"/>
    <s v="PANAMSAT DE MEXICO S DE RL DE CV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ARZO (TRM 3199.72)"/>
    <n v="11209723.92"/>
    <n v="0"/>
    <n v="11209723.92"/>
    <x v="0"/>
    <x v="0"/>
    <x v="0"/>
    <n v="11209723.92"/>
    <n v="0"/>
    <n v="11209723.92"/>
    <x v="0"/>
    <x v="0"/>
    <x v="0"/>
    <n v="11209723.92"/>
    <n v="0"/>
    <n v="11209723.92"/>
    <x v="0"/>
    <x v="0"/>
    <x v="0"/>
    <x v="0"/>
    <x v="0"/>
  </r>
  <r>
    <x v="3"/>
    <x v="0"/>
    <x v="0"/>
    <x v="0"/>
    <x v="0"/>
    <x v="2"/>
    <x v="2"/>
    <n v="20560"/>
    <s v="900397145"/>
    <s v="TILETRADE S.A.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DIVIDENDOS CUOTA 04 (USD 3718.47   / TRM 3195)"/>
    <n v="8.65"/>
    <n v="0"/>
    <n v="8.65"/>
    <x v="0"/>
    <x v="0"/>
    <x v="0"/>
    <n v="8.65"/>
    <n v="0"/>
    <n v="8.65"/>
    <x v="0"/>
    <x v="0"/>
    <x v="0"/>
    <n v="8.65"/>
    <n v="0"/>
    <n v="8.65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2"/>
    <n v="0"/>
    <n v="1694672"/>
    <x v="0"/>
    <x v="0"/>
    <x v="0"/>
    <n v="1694672"/>
    <n v="0"/>
    <n v="1694672"/>
    <x v="0"/>
    <x v="0"/>
    <x v="0"/>
    <n v="1694672"/>
    <n v="0"/>
    <n v="1694672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479651"/>
    <n v="0"/>
    <n v="479651"/>
    <x v="0"/>
    <x v="0"/>
    <x v="0"/>
    <n v="479651"/>
    <n v="0"/>
    <n v="479651"/>
    <x v="0"/>
    <x v="0"/>
    <x v="0"/>
    <n v="479651"/>
    <n v="0"/>
    <n v="47965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0"/>
    <n v="0"/>
    <n v="0"/>
    <x v="0"/>
    <x v="0"/>
    <x v="0"/>
    <n v="0"/>
    <n v="0"/>
    <n v="0"/>
    <x v="0"/>
    <x v="0"/>
    <x v="0"/>
    <n v="1113914"/>
    <n v="0"/>
    <n v="1113914"/>
    <x v="0"/>
    <x v="0"/>
    <x v="0"/>
    <x v="0"/>
    <x v="0"/>
  </r>
  <r>
    <x v="4"/>
    <x v="0"/>
    <x v="0"/>
    <x v="0"/>
    <x v="0"/>
    <x v="2"/>
    <x v="2"/>
    <n v="20687"/>
    <s v="900397145"/>
    <s v="TILETRADE S.A.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435.77 - TRM 3457.89)"/>
    <n v="11.73"/>
    <n v="0"/>
    <n v="11.73"/>
    <x v="0"/>
    <x v="0"/>
    <x v="0"/>
    <n v="11.73"/>
    <n v="0"/>
    <n v="11.73"/>
    <x v="0"/>
    <x v="0"/>
    <x v="0"/>
    <n v="11.73"/>
    <n v="0"/>
    <n v="11.73"/>
    <x v="0"/>
    <x v="0"/>
    <x v="0"/>
    <x v="0"/>
    <x v="0"/>
  </r>
  <r>
    <x v="4"/>
    <x v="0"/>
    <x v="0"/>
    <x v="0"/>
    <x v="0"/>
    <x v="2"/>
    <x v="2"/>
    <n v="20690"/>
    <s v="440000000330"/>
    <s v="BANCOLOMBIA CAYMAN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1707136"/>
    <s v="CODINGTON TRADING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865.24 - TRM 3457.89)"/>
    <n v="347884.34"/>
    <n v="0"/>
    <n v="347884.34"/>
    <x v="0"/>
    <x v="0"/>
    <x v="0"/>
    <n v="347884.34"/>
    <n v="0"/>
    <n v="347884.34"/>
    <x v="0"/>
    <x v="0"/>
    <x v="0"/>
    <n v="347884.34"/>
    <n v="0"/>
    <n v="347884.34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0"/>
    <n v="0"/>
    <n v="0"/>
    <x v="0"/>
    <x v="0"/>
    <x v="0"/>
    <n v="0"/>
    <n v="0"/>
    <n v="0"/>
    <x v="0"/>
    <x v="0"/>
    <x v="0"/>
    <n v="1593541"/>
    <n v="0"/>
    <n v="159354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01518"/>
    <n v="0"/>
    <n v="501518"/>
    <x v="0"/>
    <x v="0"/>
    <x v="0"/>
    <n v="501518"/>
    <n v="0"/>
    <n v="501518"/>
    <x v="0"/>
    <x v="0"/>
    <x v="0"/>
    <n v="501518"/>
    <n v="0"/>
    <n v="50151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0360.100000000006"/>
    <n v="0"/>
    <n v="70360.100000000006"/>
    <x v="0"/>
    <x v="0"/>
    <x v="0"/>
    <n v="70360.100000000006"/>
    <n v="0"/>
    <n v="70360.100000000006"/>
    <x v="0"/>
    <x v="0"/>
    <x v="0"/>
    <n v="70360.100000000006"/>
    <n v="0"/>
    <n v="70360.10000000000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15589.04"/>
    <n v="-15589.04"/>
    <x v="0"/>
    <x v="0"/>
    <x v="0"/>
    <n v="0"/>
    <n v="15589.04"/>
    <n v="-15589.04"/>
    <x v="0"/>
    <x v="0"/>
    <x v="0"/>
    <n v="0"/>
    <n v="15589.04"/>
    <n v="-15589.04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6391.51"/>
    <n v="-6391.51"/>
    <x v="0"/>
    <x v="0"/>
    <x v="0"/>
    <n v="0"/>
    <n v="6391.51"/>
    <n v="-6391.51"/>
    <x v="0"/>
    <x v="0"/>
    <x v="0"/>
    <n v="0"/>
    <n v="6391.51"/>
    <n v="-6391.5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2"/>
    <x v="2"/>
    <n v="20281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COLOMBIA -SERVIDOR PANTALLAS"/>
    <n v="18119.080000000002"/>
    <n v="0"/>
    <n v="18119.080000000002"/>
    <x v="0"/>
    <x v="0"/>
    <x v="0"/>
    <n v="18119.080000000002"/>
    <n v="0"/>
    <n v="18119.080000000002"/>
    <x v="0"/>
    <x v="0"/>
    <x v="0"/>
    <n v="18119.080000000002"/>
    <n v="0"/>
    <n v="18119.080000000002"/>
    <x v="0"/>
    <x v="0"/>
    <x v="0"/>
    <x v="0"/>
    <x v="0"/>
  </r>
  <r>
    <x v="6"/>
    <x v="0"/>
    <x v="0"/>
    <x v="0"/>
    <x v="0"/>
    <x v="2"/>
    <x v="2"/>
    <n v="20285"/>
    <s v="444444464"/>
    <s v="DANQ ENVIRONMENTAL TECHNOLOGY Co., LTD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4444437"/>
    <s v="PAYP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BANCOLOMBIA"/>
    <n v="740191.07"/>
    <n v="0"/>
    <n v="740191.07000000007"/>
    <x v="0"/>
    <x v="0"/>
    <x v="0"/>
    <n v="740191.07"/>
    <n v="0"/>
    <n v="740191.07000000007"/>
    <x v="0"/>
    <x v="0"/>
    <x v="0"/>
    <n v="740191.07"/>
    <n v="0"/>
    <n v="740191.07000000007"/>
    <x v="0"/>
    <x v="0"/>
    <x v="0"/>
    <x v="0"/>
    <x v="0"/>
  </r>
  <r>
    <x v="2"/>
    <x v="0"/>
    <x v="0"/>
    <x v="0"/>
    <x v="0"/>
    <x v="11"/>
    <x v="11"/>
    <n v="26433"/>
    <s v="4519543"/>
    <s v="GARCIA CASTAÑO FREDY JHOVANNY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0_x000d__x000a_CJM 255_x000d__x000a_GASTOS BANCARIOS"/>
    <n v="7940"/>
    <n v="0"/>
    <n v="7940"/>
    <x v="0"/>
    <x v="0"/>
    <x v="0"/>
    <n v="7940"/>
    <n v="0"/>
    <n v="7940"/>
    <x v="0"/>
    <x v="0"/>
    <x v="0"/>
    <n v="7940"/>
    <n v="0"/>
    <n v="7940"/>
    <x v="0"/>
    <x v="0"/>
    <x v="0"/>
    <x v="0"/>
    <x v="0"/>
  </r>
  <r>
    <x v="2"/>
    <x v="0"/>
    <x v="0"/>
    <x v="0"/>
    <x v="0"/>
    <x v="11"/>
    <x v="11"/>
    <n v="26434"/>
    <s v="71631400"/>
    <s v="CARRASQUILLA PIZARRO MARCO ANTONIO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3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35"/>
    <s v="1045717933"/>
    <s v="PALMA GUTIERREZ KETTY JANETH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5"/>
    <s v="71631400"/>
    <s v="CARRASQUILLA PIZARRO MARCO ANTONIO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83 + GASTOS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0"/>
    <x v="0"/>
    <x v="11"/>
    <x v="11"/>
    <n v="26446"/>
    <s v="1045717933"/>
    <s v="PALMA GUTIERREZ KETTY JANETH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76 - LAN 193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7"/>
    <s v="1018441067"/>
    <s v="ALONSO GUTIERREZ YINNETH CATALINA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0+GASTOS BANCARIOS"/>
    <n v="11484"/>
    <n v="0"/>
    <n v="11484"/>
    <x v="0"/>
    <x v="0"/>
    <x v="0"/>
    <n v="11484"/>
    <n v="0"/>
    <n v="11484"/>
    <x v="0"/>
    <x v="0"/>
    <x v="0"/>
    <n v="11484"/>
    <n v="0"/>
    <n v="11484"/>
    <x v="0"/>
    <x v="0"/>
    <x v="0"/>
    <x v="0"/>
    <x v="0"/>
  </r>
  <r>
    <x v="2"/>
    <x v="0"/>
    <x v="0"/>
    <x v="0"/>
    <x v="0"/>
    <x v="11"/>
    <x v="11"/>
    <n v="26448"/>
    <s v="1098657994"/>
    <s v="HERNANDEZ ROJAS JOHN EDISON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4+ GASTOS BANCARIOS"/>
    <n v="6739"/>
    <n v="0"/>
    <n v="6739"/>
    <x v="0"/>
    <x v="0"/>
    <x v="0"/>
    <n v="6739"/>
    <n v="0"/>
    <n v="6739"/>
    <x v="0"/>
    <x v="0"/>
    <x v="0"/>
    <n v="6739"/>
    <n v="0"/>
    <n v="6739"/>
    <x v="0"/>
    <x v="0"/>
    <x v="0"/>
    <x v="0"/>
    <x v="0"/>
  </r>
  <r>
    <x v="2"/>
    <x v="0"/>
    <x v="0"/>
    <x v="0"/>
    <x v="0"/>
    <x v="2"/>
    <x v="2"/>
    <n v="20310"/>
    <s v="860002964"/>
    <s v="BANCO DE BOGOTA S.A.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84981.45"/>
    <n v="0"/>
    <n v="84981.45"/>
    <x v="0"/>
    <x v="0"/>
    <x v="0"/>
    <n v="84981.45"/>
    <n v="0"/>
    <n v="84981.45"/>
    <x v="0"/>
    <x v="0"/>
    <x v="0"/>
    <n v="84981.45"/>
    <n v="0"/>
    <n v="84981.45"/>
    <x v="0"/>
    <x v="0"/>
    <x v="0"/>
    <x v="0"/>
    <x v="0"/>
  </r>
  <r>
    <x v="2"/>
    <x v="0"/>
    <x v="0"/>
    <x v="0"/>
    <x v="0"/>
    <x v="2"/>
    <x v="2"/>
    <n v="20322"/>
    <s v="890300279"/>
    <s v="BANCO DE OCCIDENTE."/>
    <s v="201906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135874"/>
    <n v="0"/>
    <n v="135874"/>
    <x v="0"/>
    <x v="0"/>
    <x v="0"/>
    <n v="135874"/>
    <n v="0"/>
    <n v="135874"/>
    <x v="0"/>
    <x v="0"/>
    <x v="0"/>
    <n v="135874"/>
    <n v="0"/>
    <n v="135874"/>
    <x v="0"/>
    <x v="0"/>
    <x v="0"/>
    <x v="0"/>
    <x v="0"/>
  </r>
  <r>
    <x v="2"/>
    <x v="0"/>
    <x v="0"/>
    <x v="0"/>
    <x v="0"/>
    <x v="11"/>
    <x v="11"/>
    <n v="26519"/>
    <s v="71631400"/>
    <s v="CARRASQUILLA PIZARRO MARCO ANTONIO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7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2"/>
    <x v="0"/>
    <x v="0"/>
    <x v="0"/>
    <x v="0"/>
    <x v="11"/>
    <x v="11"/>
    <n v="26520"/>
    <s v="1045717933"/>
    <s v="PALMA GUTIERREZ KETTY JANETH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4"/>
    <n v="2400"/>
    <n v="0"/>
    <n v="2400"/>
    <x v="0"/>
    <x v="0"/>
    <x v="0"/>
    <n v="2400"/>
    <n v="0"/>
    <n v="2400"/>
    <x v="0"/>
    <x v="0"/>
    <x v="0"/>
    <n v="2400"/>
    <n v="0"/>
    <n v="2400"/>
    <x v="0"/>
    <x v="0"/>
    <x v="0"/>
    <x v="0"/>
    <x v="0"/>
  </r>
  <r>
    <x v="2"/>
    <x v="0"/>
    <x v="0"/>
    <x v="0"/>
    <x v="0"/>
    <x v="11"/>
    <x v="11"/>
    <n v="26608"/>
    <s v="1045717933"/>
    <s v="PALMA GUTIERREZ KETTY JANETH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609"/>
    <s v="1018441067"/>
    <s v="ALONSO GUTIERREZ YINNETH CATALIN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2"/>
    <n v="3754"/>
    <n v="0"/>
    <n v="3754"/>
    <x v="0"/>
    <x v="0"/>
    <x v="0"/>
    <n v="3754"/>
    <n v="0"/>
    <n v="3754"/>
    <x v="0"/>
    <x v="0"/>
    <x v="0"/>
    <n v="3754"/>
    <n v="0"/>
    <n v="3754"/>
    <x v="0"/>
    <x v="0"/>
    <x v="0"/>
    <x v="0"/>
    <x v="0"/>
  </r>
  <r>
    <x v="2"/>
    <x v="0"/>
    <x v="0"/>
    <x v="0"/>
    <x v="0"/>
    <x v="11"/>
    <x v="11"/>
    <n v="26610"/>
    <s v="1036930909"/>
    <s v="ALZATE SANCHEZ NATACH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9"/>
    <n v="8506"/>
    <n v="0"/>
    <n v="8506"/>
    <x v="0"/>
    <x v="0"/>
    <x v="0"/>
    <n v="8506"/>
    <n v="0"/>
    <n v="8506"/>
    <x v="0"/>
    <x v="0"/>
    <x v="0"/>
    <n v="8506"/>
    <n v="0"/>
    <n v="8506"/>
    <x v="0"/>
    <x v="0"/>
    <x v="0"/>
    <x v="0"/>
    <x v="0"/>
  </r>
  <r>
    <x v="2"/>
    <x v="0"/>
    <x v="0"/>
    <x v="0"/>
    <x v="0"/>
    <x v="2"/>
    <x v="2"/>
    <n v="20378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8655.7000000000007"/>
    <n v="0"/>
    <n v="8655.7000000000007"/>
    <x v="0"/>
    <x v="0"/>
    <x v="0"/>
    <n v="8655.7000000000007"/>
    <n v="0"/>
    <n v="8655.7000000000007"/>
    <x v="0"/>
    <x v="0"/>
    <x v="0"/>
    <n v="8655.7000000000007"/>
    <n v="0"/>
    <n v="8655.700000000000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2"/>
    <x v="0"/>
    <x v="0"/>
    <x v="0"/>
    <x v="0"/>
    <x v="11"/>
    <x v="11"/>
    <n v="26491"/>
    <s v="1045717933"/>
    <s v="PALMA GUTIERREZ KETTY JANETH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3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512"/>
    <s v="31908098"/>
    <s v="LOPEZ GARCIA MARIA DEL SOCORRO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4"/>
    <n v="11250"/>
    <n v="0"/>
    <n v="11250"/>
    <x v="0"/>
    <x v="0"/>
    <x v="0"/>
    <n v="11250"/>
    <n v="0"/>
    <n v="11250"/>
    <x v="0"/>
    <x v="0"/>
    <x v="0"/>
    <n v="11250"/>
    <n v="0"/>
    <n v="11250"/>
    <x v="0"/>
    <x v="0"/>
    <x v="0"/>
    <x v="0"/>
    <x v="0"/>
  </r>
  <r>
    <x v="2"/>
    <x v="0"/>
    <x v="0"/>
    <x v="0"/>
    <x v="0"/>
    <x v="11"/>
    <x v="11"/>
    <n v="26513"/>
    <s v="1018441067"/>
    <s v="ALONSO GUTIERREZ YINNETH CATALINA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1"/>
    <n v="7687.01"/>
    <n v="0"/>
    <n v="7687.01"/>
    <x v="0"/>
    <x v="0"/>
    <x v="0"/>
    <n v="7687.01"/>
    <n v="0"/>
    <n v="7687.01"/>
    <x v="0"/>
    <x v="0"/>
    <x v="0"/>
    <n v="7687.01"/>
    <n v="0"/>
    <n v="7687.01"/>
    <x v="0"/>
    <x v="0"/>
    <x v="0"/>
    <x v="0"/>
    <x v="0"/>
  </r>
  <r>
    <x v="2"/>
    <x v="0"/>
    <x v="0"/>
    <x v="0"/>
    <x v="0"/>
    <x v="11"/>
    <x v="11"/>
    <n v="26526"/>
    <s v="1045717933"/>
    <s v="PALMA GUTIERREZ KETTY JANETH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7+ GASTOS BANCARIOS"/>
    <n v="5158"/>
    <n v="0"/>
    <n v="5158"/>
    <x v="0"/>
    <x v="0"/>
    <x v="0"/>
    <n v="5158"/>
    <n v="0"/>
    <n v="5158"/>
    <x v="0"/>
    <x v="0"/>
    <x v="0"/>
    <n v="5158"/>
    <n v="0"/>
    <n v="5158"/>
    <x v="0"/>
    <x v="0"/>
    <x v="0"/>
    <x v="0"/>
    <x v="0"/>
  </r>
  <r>
    <x v="6"/>
    <x v="0"/>
    <x v="0"/>
    <x v="0"/>
    <x v="0"/>
    <x v="2"/>
    <x v="2"/>
    <n v="2026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-  CONCILIACION BANCOLOMBIA"/>
    <n v="153000"/>
    <n v="0"/>
    <n v="153000"/>
    <x v="0"/>
    <x v="0"/>
    <x v="0"/>
    <n v="153000"/>
    <n v="0"/>
    <n v="153000"/>
    <x v="0"/>
    <x v="0"/>
    <x v="0"/>
    <n v="153000"/>
    <n v="0"/>
    <n v="153000"/>
    <x v="0"/>
    <x v="0"/>
    <x v="0"/>
    <x v="0"/>
    <x v="0"/>
  </r>
  <r>
    <x v="2"/>
    <x v="0"/>
    <x v="0"/>
    <x v="0"/>
    <x v="0"/>
    <x v="11"/>
    <x v="11"/>
    <n v="26490"/>
    <s v="71631400"/>
    <s v="CARRASQUILLA PIZARRO MARCO ANTONIO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5 + GAST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2"/>
    <x v="0"/>
    <x v="0"/>
    <x v="0"/>
    <x v="0"/>
    <x v="11"/>
    <x v="11"/>
    <n v="26531"/>
    <s v="1098657994"/>
    <s v="HERNANDEZ ROJAS JOHN EDISON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69893.9"/>
    <n v="0"/>
    <n v="169893.9"/>
    <x v="0"/>
    <x v="0"/>
    <x v="0"/>
    <n v="169893.9"/>
    <n v="0"/>
    <n v="169893.9"/>
    <x v="0"/>
    <x v="0"/>
    <x v="0"/>
    <n v="169893.9"/>
    <n v="0"/>
    <n v="169893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60000"/>
    <n v="0"/>
    <n v="60000"/>
    <x v="0"/>
    <x v="0"/>
    <x v="0"/>
    <n v="60000"/>
    <n v="0"/>
    <n v="60000"/>
    <x v="0"/>
    <x v="0"/>
    <x v="0"/>
    <n v="60000"/>
    <n v="0"/>
    <n v="6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605224"/>
    <n v="0"/>
    <n v="605224"/>
    <x v="0"/>
    <x v="0"/>
    <x v="0"/>
    <n v="605224"/>
    <n v="0"/>
    <n v="605224"/>
    <x v="0"/>
    <x v="0"/>
    <x v="0"/>
    <n v="605224"/>
    <n v="0"/>
    <n v="60522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3.79999999999"/>
    <n v="0"/>
    <n v="159013.80000000002"/>
    <x v="0"/>
    <x v="0"/>
    <x v="0"/>
    <n v="159013.79999999999"/>
    <n v="0"/>
    <n v="159013.80000000002"/>
    <x v="0"/>
    <x v="0"/>
    <x v="0"/>
    <n v="159013.79999999999"/>
    <n v="0"/>
    <n v="159013.8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4750.45"/>
    <n v="0"/>
    <n v="4750.45"/>
    <x v="0"/>
    <x v="0"/>
    <x v="0"/>
    <n v="4750.45"/>
    <n v="0"/>
    <n v="4750.45"/>
    <x v="0"/>
    <x v="0"/>
    <x v="0"/>
    <n v="4750.45"/>
    <n v="0"/>
    <n v="4750.4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42088"/>
    <n v="0"/>
    <n v="342088"/>
    <x v="0"/>
    <x v="0"/>
    <x v="0"/>
    <n v="342088"/>
    <n v="0"/>
    <n v="342088"/>
    <x v="0"/>
    <x v="0"/>
    <x v="0"/>
    <n v="342088"/>
    <n v="0"/>
    <n v="34208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2"/>
    <x v="2"/>
    <n v="20405"/>
    <s v="900406150"/>
    <s v="BANCO COOMEV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 DE GASTOS BANCARIOS BANCOOMEVA"/>
    <n v="0"/>
    <n v="57110.080000000002"/>
    <n v="-57110.080000000002"/>
    <x v="0"/>
    <x v="0"/>
    <x v="0"/>
    <n v="0"/>
    <n v="57110.080000000002"/>
    <n v="-57110.080000000002"/>
    <x v="0"/>
    <x v="0"/>
    <x v="0"/>
    <n v="0"/>
    <n v="57110.080000000002"/>
    <n v="-57110.080000000002"/>
    <x v="0"/>
    <x v="0"/>
    <x v="0"/>
    <x v="0"/>
    <x v="0"/>
  </r>
  <r>
    <x v="3"/>
    <x v="0"/>
    <x v="0"/>
    <x v="0"/>
    <x v="0"/>
    <x v="11"/>
    <x v="11"/>
    <n v="26672"/>
    <s v="1036930909"/>
    <s v="ALZATE SANCHEZ NATACHA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7"/>
    <n v="41500"/>
    <n v="0"/>
    <n v="41500"/>
    <x v="0"/>
    <x v="0"/>
    <x v="0"/>
    <n v="41500"/>
    <n v="0"/>
    <n v="41500"/>
    <x v="0"/>
    <x v="0"/>
    <x v="0"/>
    <n v="41500"/>
    <n v="0"/>
    <n v="41500"/>
    <x v="0"/>
    <x v="0"/>
    <x v="0"/>
    <x v="0"/>
    <x v="0"/>
  </r>
  <r>
    <x v="3"/>
    <x v="0"/>
    <x v="0"/>
    <x v="0"/>
    <x v="0"/>
    <x v="11"/>
    <x v="11"/>
    <n v="26673"/>
    <s v="66915560"/>
    <s v="PEREZ ARCE GRETTY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2"/>
    <x v="2"/>
    <n v="20455"/>
    <s v="860035827"/>
    <s v="BANCO AV VILLAS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0520-1 AV VILLAS"/>
    <n v="573457"/>
    <n v="0"/>
    <n v="573457"/>
    <x v="0"/>
    <x v="0"/>
    <x v="0"/>
    <n v="573457"/>
    <n v="0"/>
    <n v="573457"/>
    <x v="0"/>
    <x v="0"/>
    <x v="0"/>
    <n v="573457"/>
    <n v="0"/>
    <n v="573457"/>
    <x v="0"/>
    <x v="0"/>
    <x v="0"/>
    <x v="0"/>
    <x v="0"/>
  </r>
  <r>
    <x v="3"/>
    <x v="0"/>
    <x v="0"/>
    <x v="0"/>
    <x v="0"/>
    <x v="11"/>
    <x v="11"/>
    <n v="26686"/>
    <s v="1045717933"/>
    <s v="PALMA GUTIERREZ KETTY JANETH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687"/>
    <s v="1098657994"/>
    <s v="HERNANDEZ ROJAS JOHN EDISON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5"/>
    <n v="7218"/>
    <n v="0"/>
    <n v="7218"/>
    <x v="0"/>
    <x v="0"/>
    <x v="0"/>
    <n v="7218"/>
    <n v="0"/>
    <n v="7218"/>
    <x v="0"/>
    <x v="0"/>
    <x v="0"/>
    <n v="7218"/>
    <n v="0"/>
    <n v="7218"/>
    <x v="0"/>
    <x v="0"/>
    <x v="0"/>
    <x v="0"/>
    <x v="0"/>
  </r>
  <r>
    <x v="3"/>
    <x v="0"/>
    <x v="0"/>
    <x v="0"/>
    <x v="0"/>
    <x v="11"/>
    <x v="11"/>
    <n v="26688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1"/>
    <n v="2224"/>
    <n v="0"/>
    <n v="2224"/>
    <x v="0"/>
    <x v="0"/>
    <x v="0"/>
    <n v="2224"/>
    <n v="0"/>
    <n v="2224"/>
    <x v="0"/>
    <x v="0"/>
    <x v="0"/>
    <n v="2224"/>
    <n v="0"/>
    <n v="2224"/>
    <x v="0"/>
    <x v="0"/>
    <x v="0"/>
    <x v="0"/>
    <x v="0"/>
  </r>
  <r>
    <x v="3"/>
    <x v="0"/>
    <x v="0"/>
    <x v="0"/>
    <x v="0"/>
    <x v="11"/>
    <x v="11"/>
    <n v="26689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7"/>
    <n v="2468"/>
    <n v="0"/>
    <n v="2468"/>
    <x v="0"/>
    <x v="0"/>
    <x v="0"/>
    <n v="2468"/>
    <n v="0"/>
    <n v="2468"/>
    <x v="0"/>
    <x v="0"/>
    <x v="0"/>
    <n v="2468"/>
    <n v="0"/>
    <n v="2468"/>
    <x v="0"/>
    <x v="0"/>
    <x v="0"/>
    <x v="0"/>
    <x v="0"/>
  </r>
  <r>
    <x v="3"/>
    <x v="0"/>
    <x v="0"/>
    <x v="0"/>
    <x v="0"/>
    <x v="2"/>
    <x v="2"/>
    <n v="20465"/>
    <s v="860035827"/>
    <s v="BANCO AV VILLAS"/>
    <s v="201907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 OBLIGACION 7366-7"/>
    <n v="184383"/>
    <n v="0"/>
    <n v="184383"/>
    <x v="0"/>
    <x v="0"/>
    <x v="0"/>
    <n v="184383"/>
    <n v="0"/>
    <n v="184383"/>
    <x v="0"/>
    <x v="0"/>
    <x v="0"/>
    <n v="184383"/>
    <n v="0"/>
    <n v="184383"/>
    <x v="0"/>
    <x v="0"/>
    <x v="0"/>
    <x v="0"/>
    <x v="0"/>
  </r>
  <r>
    <x v="3"/>
    <x v="0"/>
    <x v="0"/>
    <x v="0"/>
    <x v="0"/>
    <x v="2"/>
    <x v="2"/>
    <n v="20469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7666-7  18490 DEL MES DE JUNIO ATRARZADA"/>
    <n v="194576"/>
    <n v="0"/>
    <n v="194576"/>
    <x v="0"/>
    <x v="0"/>
    <x v="0"/>
    <n v="194576"/>
    <n v="0"/>
    <n v="194576"/>
    <x v="0"/>
    <x v="0"/>
    <x v="0"/>
    <n v="194576"/>
    <n v="0"/>
    <n v="194576"/>
    <x v="0"/>
    <x v="0"/>
    <x v="0"/>
    <x v="0"/>
    <x v="0"/>
  </r>
  <r>
    <x v="3"/>
    <x v="0"/>
    <x v="0"/>
    <x v="0"/>
    <x v="0"/>
    <x v="2"/>
    <x v="2"/>
    <n v="20471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NIO DEL 2019"/>
    <n v="71722"/>
    <n v="0"/>
    <n v="71722"/>
    <x v="0"/>
    <x v="0"/>
    <x v="0"/>
    <n v="71722"/>
    <n v="0"/>
    <n v="71722"/>
    <x v="0"/>
    <x v="0"/>
    <x v="0"/>
    <n v="71722"/>
    <n v="0"/>
    <n v="71722"/>
    <x v="0"/>
    <x v="0"/>
    <x v="0"/>
    <x v="0"/>
    <x v="0"/>
  </r>
  <r>
    <x v="3"/>
    <x v="0"/>
    <x v="0"/>
    <x v="0"/>
    <x v="0"/>
    <x v="11"/>
    <x v="11"/>
    <n v="26753"/>
    <s v="31908098"/>
    <s v="LOPEZ GARCIA MARIA DEL SOCORRO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"/>
    <n v="8503"/>
    <n v="0"/>
    <n v="8503"/>
    <x v="0"/>
    <x v="0"/>
    <x v="0"/>
    <n v="8503"/>
    <n v="0"/>
    <n v="8503"/>
    <x v="0"/>
    <x v="0"/>
    <x v="0"/>
    <n v="8503"/>
    <n v="0"/>
    <n v="8503"/>
    <x v="0"/>
    <x v="0"/>
    <x v="0"/>
    <x v="0"/>
    <x v="0"/>
  </r>
  <r>
    <x v="3"/>
    <x v="0"/>
    <x v="0"/>
    <x v="0"/>
    <x v="0"/>
    <x v="11"/>
    <x v="11"/>
    <n v="26658"/>
    <s v="1018441067"/>
    <s v="ALONSO GUTIERREZ YINNETH CATALINA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3"/>
    <n v="7410"/>
    <n v="0"/>
    <n v="7410"/>
    <x v="0"/>
    <x v="0"/>
    <x v="0"/>
    <n v="7410"/>
    <n v="0"/>
    <n v="7410"/>
    <x v="0"/>
    <x v="0"/>
    <x v="0"/>
    <n v="7410"/>
    <n v="0"/>
    <n v="7410"/>
    <x v="0"/>
    <x v="0"/>
    <x v="0"/>
    <x v="0"/>
    <x v="0"/>
  </r>
  <r>
    <x v="3"/>
    <x v="0"/>
    <x v="0"/>
    <x v="0"/>
    <x v="0"/>
    <x v="11"/>
    <x v="11"/>
    <n v="26659"/>
    <s v="31908098"/>
    <s v="LOPEZ GARCIA MARIA DEL SOCORR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235"/>
    <n v="7032"/>
    <n v="0"/>
    <n v="7032"/>
    <x v="0"/>
    <x v="0"/>
    <x v="0"/>
    <n v="7032"/>
    <n v="0"/>
    <n v="7032"/>
    <x v="0"/>
    <x v="0"/>
    <x v="0"/>
    <n v="7032"/>
    <n v="0"/>
    <n v="7032"/>
    <x v="0"/>
    <x v="0"/>
    <x v="0"/>
    <x v="0"/>
    <x v="0"/>
  </r>
  <r>
    <x v="3"/>
    <x v="0"/>
    <x v="0"/>
    <x v="0"/>
    <x v="0"/>
    <x v="11"/>
    <x v="11"/>
    <n v="26660"/>
    <s v="71631400"/>
    <s v="CARRASQUILLA PIZARRO MARCO ANTONI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8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27"/>
    <s v="71631400"/>
    <s v="CARRASQUILLA PIZARRO MARCO ANTONIO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3"/>
    <x v="0"/>
    <x v="0"/>
    <x v="0"/>
    <x v="0"/>
    <x v="11"/>
    <x v="11"/>
    <n v="26728"/>
    <s v="1045717933"/>
    <s v="PALMA GUTIERREZ KETTY JANETH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1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49"/>
    <s v="1098657994"/>
    <s v="HERNANDEZ ROJAS JOHN EDISON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2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750"/>
    <s v="4519543"/>
    <s v="GARCIA CASTAÑO FREDY JHOVANNY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4 _x000d__x000a_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51"/>
    <s v="1018441067"/>
    <s v="ALONSO GUTIERREZ YINNETH CATALINA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4_x000d__x000a_AE 752"/>
    <n v="10073"/>
    <n v="0"/>
    <n v="10073"/>
    <x v="0"/>
    <x v="0"/>
    <x v="0"/>
    <n v="10073"/>
    <n v="0"/>
    <n v="10073"/>
    <x v="0"/>
    <x v="0"/>
    <x v="0"/>
    <n v="10073"/>
    <n v="0"/>
    <n v="10073"/>
    <x v="0"/>
    <x v="0"/>
    <x v="0"/>
    <x v="0"/>
    <x v="0"/>
  </r>
  <r>
    <x v="3"/>
    <x v="0"/>
    <x v="0"/>
    <x v="0"/>
    <x v="0"/>
    <x v="11"/>
    <x v="11"/>
    <n v="26752"/>
    <s v="1045717933"/>
    <s v="PALMA GUTIERREZ KETTY JANETH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SN 199"/>
    <n v="3968"/>
    <n v="0"/>
    <n v="3968"/>
    <x v="0"/>
    <x v="0"/>
    <x v="0"/>
    <n v="3968"/>
    <n v="0"/>
    <n v="3968"/>
    <x v="0"/>
    <x v="0"/>
    <x v="0"/>
    <n v="3968"/>
    <n v="0"/>
    <n v="396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2"/>
    <x v="2"/>
    <n v="20493"/>
    <s v="IE9692928F"/>
    <s v="FACEBOOK IRELAND LIMITED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CK"/>
    <n v="5082.54"/>
    <n v="0"/>
    <n v="5082.54"/>
    <x v="0"/>
    <x v="0"/>
    <x v="0"/>
    <n v="5082.54"/>
    <n v="0"/>
    <n v="5082.54"/>
    <x v="0"/>
    <x v="0"/>
    <x v="0"/>
    <n v="5082.54"/>
    <n v="0"/>
    <n v="5082.54"/>
    <x v="0"/>
    <x v="0"/>
    <x v="0"/>
    <x v="0"/>
    <x v="0"/>
  </r>
  <r>
    <x v="3"/>
    <x v="0"/>
    <x v="0"/>
    <x v="0"/>
    <x v="0"/>
    <x v="12"/>
    <x v="12"/>
    <n v="6925"/>
    <s v="860035827"/>
    <s v="BANCO AV VILLAS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credito 002527366-7_x000d__x000a_saldo         credito  002277483-7"/>
    <n v="16319"/>
    <n v="0"/>
    <n v="16319"/>
    <x v="0"/>
    <x v="0"/>
    <x v="0"/>
    <n v="16319"/>
    <n v="0"/>
    <n v="16319"/>
    <x v="0"/>
    <x v="0"/>
    <x v="0"/>
    <n v="16319"/>
    <n v="0"/>
    <n v="16319"/>
    <x v="0"/>
    <x v="0"/>
    <x v="0"/>
    <x v="0"/>
    <x v="0"/>
  </r>
  <r>
    <x v="3"/>
    <x v="0"/>
    <x v="0"/>
    <x v="0"/>
    <x v="0"/>
    <x v="2"/>
    <x v="2"/>
    <n v="20494"/>
    <s v="860002964"/>
    <s v="BANCO DE BOGOTA S.A.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0349 BANCO DE BOGOTA"/>
    <n v="17493"/>
    <n v="0"/>
    <n v="17493"/>
    <x v="0"/>
    <x v="0"/>
    <x v="0"/>
    <n v="17493"/>
    <n v="0"/>
    <n v="17493"/>
    <x v="0"/>
    <x v="0"/>
    <x v="0"/>
    <n v="17493"/>
    <n v="0"/>
    <n v="17493"/>
    <x v="0"/>
    <x v="0"/>
    <x v="0"/>
    <x v="0"/>
    <x v="0"/>
  </r>
  <r>
    <x v="3"/>
    <x v="0"/>
    <x v="0"/>
    <x v="0"/>
    <x v="0"/>
    <x v="2"/>
    <x v="2"/>
    <n v="20501"/>
    <s v="860002964"/>
    <s v="BANCO DE BOGOTA S.A."/>
    <s v="201907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DE BANCARIOS BANCO DE BOGOTA  - MES DE JUNIO"/>
    <n v="103984.24"/>
    <n v="0"/>
    <n v="103984.24"/>
    <x v="0"/>
    <x v="0"/>
    <x v="0"/>
    <n v="103984.24"/>
    <n v="0"/>
    <n v="103984.24"/>
    <x v="0"/>
    <x v="0"/>
    <x v="0"/>
    <n v="103984.24"/>
    <n v="0"/>
    <n v="103984.24"/>
    <x v="0"/>
    <x v="0"/>
    <x v="0"/>
    <x v="0"/>
    <x v="0"/>
  </r>
  <r>
    <x v="3"/>
    <x v="0"/>
    <x v="0"/>
    <x v="0"/>
    <x v="0"/>
    <x v="11"/>
    <x v="11"/>
    <n v="26763"/>
    <s v="32896574"/>
    <s v="DE PAZ DIAZ JOHADYS ELENA"/>
    <s v="2019071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6"/>
    <n v="10607"/>
    <n v="0"/>
    <n v="10607"/>
    <x v="0"/>
    <x v="0"/>
    <x v="0"/>
    <n v="10607"/>
    <n v="0"/>
    <n v="10607"/>
    <x v="0"/>
    <x v="0"/>
    <x v="0"/>
    <n v="10607"/>
    <n v="0"/>
    <n v="10607"/>
    <x v="0"/>
    <x v="0"/>
    <x v="0"/>
    <x v="0"/>
    <x v="0"/>
  </r>
  <r>
    <x v="3"/>
    <x v="0"/>
    <x v="0"/>
    <x v="0"/>
    <x v="0"/>
    <x v="11"/>
    <x v="11"/>
    <n v="26764"/>
    <s v="71631400"/>
    <s v="CARRASQUILLA PIZARRO MARCO ANTONIO"/>
    <s v="201907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5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70"/>
    <s v="71631400"/>
    <s v="CARRASQUILLA PIZARRO MARCO ANTONIO"/>
    <s v="201907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589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3"/>
    <x v="0"/>
    <x v="0"/>
    <x v="0"/>
    <x v="0"/>
    <x v="11"/>
    <x v="11"/>
    <n v="26771"/>
    <s v="71631400"/>
    <s v="CARRASQUILLA PIZARRO MARCO ANTONIO"/>
    <s v="201907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"/>
    <n v="6000"/>
    <n v="0"/>
    <n v="6000"/>
    <x v="0"/>
    <x v="0"/>
    <x v="0"/>
    <n v="6000"/>
    <n v="0"/>
    <n v="6000"/>
    <x v="0"/>
    <x v="0"/>
    <x v="0"/>
    <n v="6000"/>
    <n v="0"/>
    <n v="6000"/>
    <x v="0"/>
    <x v="0"/>
    <x v="0"/>
    <x v="0"/>
    <x v="0"/>
  </r>
  <r>
    <x v="3"/>
    <x v="0"/>
    <x v="0"/>
    <x v="0"/>
    <x v="0"/>
    <x v="11"/>
    <x v="11"/>
    <n v="26887"/>
    <s v="1045717933"/>
    <s v="PALMA GUTIERREZ KETTY JANETH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888"/>
    <s v="4519543"/>
    <s v="GARCIA CASTAÑO FREDY JHOVANNY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8"/>
    <n v="2560"/>
    <n v="0"/>
    <n v="2560"/>
    <x v="0"/>
    <x v="0"/>
    <x v="0"/>
    <n v="2560"/>
    <n v="0"/>
    <n v="2560"/>
    <x v="0"/>
    <x v="0"/>
    <x v="0"/>
    <n v="2560"/>
    <n v="0"/>
    <n v="2560"/>
    <x v="0"/>
    <x v="0"/>
    <x v="0"/>
    <x v="0"/>
    <x v="0"/>
  </r>
  <r>
    <x v="3"/>
    <x v="0"/>
    <x v="0"/>
    <x v="0"/>
    <x v="0"/>
    <x v="11"/>
    <x v="11"/>
    <n v="26889"/>
    <s v="31908098"/>
    <s v="LOPEZ GARCIA MARIA DEL SOCORRO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"/>
    <n v="8557"/>
    <n v="0"/>
    <n v="8557"/>
    <x v="0"/>
    <x v="0"/>
    <x v="0"/>
    <n v="8557"/>
    <n v="0"/>
    <n v="8557"/>
    <x v="0"/>
    <x v="0"/>
    <x v="0"/>
    <n v="8557"/>
    <n v="0"/>
    <n v="8557"/>
    <x v="0"/>
    <x v="0"/>
    <x v="0"/>
    <x v="0"/>
    <x v="0"/>
  </r>
  <r>
    <x v="3"/>
    <x v="0"/>
    <x v="0"/>
    <x v="0"/>
    <x v="0"/>
    <x v="11"/>
    <x v="11"/>
    <n v="26890"/>
    <s v="1098657994"/>
    <s v="HERNANDEZ ROJAS JOHN EDISON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6"/>
    <n v="6596"/>
    <n v="0"/>
    <n v="6596"/>
    <x v="0"/>
    <x v="0"/>
    <x v="0"/>
    <n v="6596"/>
    <n v="0"/>
    <n v="6596"/>
    <x v="0"/>
    <x v="0"/>
    <x v="0"/>
    <n v="6596"/>
    <n v="0"/>
    <n v="6596"/>
    <x v="0"/>
    <x v="0"/>
    <x v="0"/>
    <x v="0"/>
    <x v="0"/>
  </r>
  <r>
    <x v="3"/>
    <x v="0"/>
    <x v="0"/>
    <x v="0"/>
    <x v="0"/>
    <x v="11"/>
    <x v="11"/>
    <n v="26891"/>
    <s v="1018441067"/>
    <s v="ALONSO GUTIERREZ YINNETH CATALINA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5"/>
    <n v="10938"/>
    <n v="0"/>
    <n v="10938"/>
    <x v="0"/>
    <x v="0"/>
    <x v="0"/>
    <n v="10938"/>
    <n v="0"/>
    <n v="10938"/>
    <x v="0"/>
    <x v="0"/>
    <x v="0"/>
    <n v="10938"/>
    <n v="0"/>
    <n v="10938"/>
    <x v="0"/>
    <x v="0"/>
    <x v="0"/>
    <x v="0"/>
    <x v="0"/>
  </r>
  <r>
    <x v="3"/>
    <x v="0"/>
    <x v="0"/>
    <x v="0"/>
    <x v="0"/>
    <x v="2"/>
    <x v="2"/>
    <n v="20590"/>
    <s v="890300279"/>
    <s v="BANCO DE OCCIDENTE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141400.89000000001"/>
    <n v="0"/>
    <n v="141400.89000000001"/>
    <x v="0"/>
    <x v="0"/>
    <x v="0"/>
    <n v="141400.89000000001"/>
    <n v="0"/>
    <n v="141400.89000000001"/>
    <x v="0"/>
    <x v="0"/>
    <x v="0"/>
    <n v="141400.89000000001"/>
    <n v="0"/>
    <n v="141400.89000000001"/>
    <x v="0"/>
    <x v="0"/>
    <x v="0"/>
    <x v="0"/>
    <x v="0"/>
  </r>
  <r>
    <x v="3"/>
    <x v="0"/>
    <x v="0"/>
    <x v="0"/>
    <x v="0"/>
    <x v="2"/>
    <x v="2"/>
    <n v="20595"/>
    <s v="860002964"/>
    <s v="BANCO DE BOGOT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87363.27"/>
    <n v="0"/>
    <n v="87363.27"/>
    <x v="0"/>
    <x v="0"/>
    <x v="0"/>
    <n v="87363.27"/>
    <n v="0"/>
    <n v="87363.27"/>
    <x v="0"/>
    <x v="0"/>
    <x v="0"/>
    <n v="87363.27"/>
    <n v="0"/>
    <n v="87363.2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81282"/>
    <n v="0"/>
    <n v="381282"/>
    <x v="0"/>
    <x v="0"/>
    <x v="0"/>
    <n v="381282"/>
    <n v="0"/>
    <n v="381282"/>
    <x v="0"/>
    <x v="0"/>
    <x v="0"/>
    <n v="381282"/>
    <n v="0"/>
    <n v="381282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7999.88"/>
    <n v="0"/>
    <n v="17999.88"/>
    <x v="0"/>
    <x v="0"/>
    <x v="0"/>
    <n v="17999.88"/>
    <n v="0"/>
    <n v="17999.88"/>
    <x v="0"/>
    <x v="0"/>
    <x v="0"/>
    <n v="17999.88"/>
    <n v="0"/>
    <n v="1799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36906"/>
    <n v="0"/>
    <n v="436906"/>
    <x v="0"/>
    <x v="0"/>
    <x v="0"/>
    <n v="436906"/>
    <n v="0"/>
    <n v="436906"/>
    <x v="0"/>
    <x v="0"/>
    <x v="0"/>
    <n v="436906"/>
    <n v="0"/>
    <n v="4369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5508.399999999994"/>
    <n v="0"/>
    <n v="75508.400000000009"/>
    <x v="0"/>
    <x v="0"/>
    <x v="0"/>
    <n v="75508.399999999994"/>
    <n v="0"/>
    <n v="75508.400000000009"/>
    <x v="0"/>
    <x v="0"/>
    <x v="0"/>
    <n v="75508.399999999994"/>
    <n v="0"/>
    <n v="75508.4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403.68"/>
    <n v="0"/>
    <n v="50403.68"/>
    <x v="0"/>
    <x v="0"/>
    <x v="0"/>
    <n v="50403.68"/>
    <n v="0"/>
    <n v="50403.68"/>
    <x v="0"/>
    <x v="0"/>
    <x v="0"/>
    <n v="50403.68"/>
    <n v="0"/>
    <n v="50403.68"/>
    <x v="0"/>
    <x v="0"/>
    <x v="0"/>
    <x v="0"/>
    <x v="0"/>
  </r>
  <r>
    <x v="4"/>
    <x v="0"/>
    <x v="0"/>
    <x v="0"/>
    <x v="0"/>
    <x v="1"/>
    <x v="1"/>
    <n v="2439"/>
    <s v="900466196"/>
    <s v="BLUEFIELDS FINANCIAL COLOMBIA"/>
    <s v="2019080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66196"/>
    <s v="BLUEFIELDS FINANCIAL COLOM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VALOR PAGADO DOBLE A PROVEEDOR, ESTE SE HABIA PAGADO CON TC_x000d__x000a_(PEL 26239 - NI 20407)"/>
    <n v="6783"/>
    <n v="0"/>
    <n v="6783"/>
    <x v="0"/>
    <x v="0"/>
    <x v="0"/>
    <n v="6783"/>
    <n v="0"/>
    <n v="6783"/>
    <x v="0"/>
    <x v="0"/>
    <x v="0"/>
    <n v="6783"/>
    <n v="0"/>
    <n v="6783"/>
    <x v="0"/>
    <x v="0"/>
    <x v="0"/>
    <x v="0"/>
    <x v="0"/>
  </r>
  <r>
    <x v="4"/>
    <x v="0"/>
    <x v="0"/>
    <x v="0"/>
    <x v="0"/>
    <x v="11"/>
    <x v="11"/>
    <n v="26911"/>
    <s v="1045717933"/>
    <s v="PALMA GUTIERREZ KETTY JANETH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8"/>
    <n v="6877"/>
    <n v="0"/>
    <n v="6877"/>
    <x v="0"/>
    <x v="0"/>
    <x v="0"/>
    <n v="6877"/>
    <n v="0"/>
    <n v="6877"/>
    <x v="0"/>
    <x v="0"/>
    <x v="0"/>
    <n v="6877"/>
    <n v="0"/>
    <n v="6877"/>
    <x v="0"/>
    <x v="0"/>
    <x v="0"/>
    <x v="0"/>
    <x v="0"/>
  </r>
  <r>
    <x v="4"/>
    <x v="0"/>
    <x v="0"/>
    <x v="0"/>
    <x v="0"/>
    <x v="11"/>
    <x v="11"/>
    <n v="26912"/>
    <s v="1036930909"/>
    <s v="ALZATE SANCHEZ NATACHA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0"/>
    <n v="11603"/>
    <n v="0"/>
    <n v="11603"/>
    <x v="0"/>
    <x v="0"/>
    <x v="0"/>
    <n v="11603"/>
    <n v="0"/>
    <n v="11603"/>
    <x v="0"/>
    <x v="0"/>
    <x v="0"/>
    <n v="11603"/>
    <n v="0"/>
    <n v="11603"/>
    <x v="0"/>
    <x v="0"/>
    <x v="0"/>
    <x v="0"/>
    <x v="0"/>
  </r>
  <r>
    <x v="4"/>
    <x v="0"/>
    <x v="0"/>
    <x v="0"/>
    <x v="0"/>
    <x v="11"/>
    <x v="11"/>
    <n v="26913"/>
    <s v="4519543"/>
    <s v="GARCIA CASTAÑO FREDY JHOVANNY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8"/>
    <n v="6515.88"/>
    <n v="0"/>
    <n v="6515.88"/>
    <x v="0"/>
    <x v="0"/>
    <x v="0"/>
    <n v="6515.88"/>
    <n v="0"/>
    <n v="6515.88"/>
    <x v="0"/>
    <x v="0"/>
    <x v="0"/>
    <n v="6515.88"/>
    <n v="0"/>
    <n v="6515.88"/>
    <x v="0"/>
    <x v="0"/>
    <x v="0"/>
    <x v="0"/>
    <x v="0"/>
  </r>
  <r>
    <x v="4"/>
    <x v="0"/>
    <x v="0"/>
    <x v="0"/>
    <x v="0"/>
    <x v="11"/>
    <x v="11"/>
    <n v="26914"/>
    <s v="71631400"/>
    <s v="CARRASQUILLA PIZARRO MARCO ANTONIO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91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2"/>
    <x v="2"/>
    <n v="20582"/>
    <s v="860035827"/>
    <s v="BANCO AV VILLAS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 AV VILLAS"/>
    <n v="516768"/>
    <n v="0"/>
    <n v="516768"/>
    <x v="0"/>
    <x v="0"/>
    <x v="0"/>
    <n v="516768"/>
    <n v="0"/>
    <n v="516768"/>
    <x v="0"/>
    <x v="0"/>
    <x v="0"/>
    <n v="516768"/>
    <n v="0"/>
    <n v="516768"/>
    <x v="0"/>
    <x v="0"/>
    <x v="0"/>
    <x v="0"/>
    <x v="0"/>
  </r>
  <r>
    <x v="4"/>
    <x v="0"/>
    <x v="0"/>
    <x v="0"/>
    <x v="0"/>
    <x v="13"/>
    <x v="13"/>
    <n v="138"/>
    <s v="29873536"/>
    <s v="ZUÑIGA CEBALLOS CLAUDIA MARIA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V VILLAS - FALTANTE EN ULTIMA CUOTA CREDITO 22774837"/>
    <n v="13962"/>
    <n v="0"/>
    <n v="13962"/>
    <x v="0"/>
    <x v="0"/>
    <x v="0"/>
    <n v="13962"/>
    <n v="0"/>
    <n v="13962"/>
    <x v="0"/>
    <x v="0"/>
    <x v="0"/>
    <n v="13962"/>
    <n v="0"/>
    <n v="13962"/>
    <x v="0"/>
    <x v="0"/>
    <x v="0"/>
    <x v="0"/>
    <x v="0"/>
  </r>
  <r>
    <x v="4"/>
    <x v="0"/>
    <x v="0"/>
    <x v="0"/>
    <x v="0"/>
    <x v="2"/>
    <x v="2"/>
    <n v="20618"/>
    <s v="890300279"/>
    <s v="BANCO DE OCCIDENTE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ACION DE CUENTA BANCO DE OCCIDENTE PAGO DE OBLIGACION"/>
    <n v="215451.21"/>
    <n v="0"/>
    <n v="215451.21"/>
    <x v="0"/>
    <x v="0"/>
    <x v="0"/>
    <n v="215451.21"/>
    <n v="0"/>
    <n v="215451.21"/>
    <x v="0"/>
    <x v="0"/>
    <x v="0"/>
    <n v="215451.21"/>
    <n v="0"/>
    <n v="215451.21"/>
    <x v="0"/>
    <x v="0"/>
    <x v="0"/>
    <x v="0"/>
    <x v="0"/>
  </r>
  <r>
    <x v="4"/>
    <x v="0"/>
    <x v="0"/>
    <x v="0"/>
    <x v="0"/>
    <x v="2"/>
    <x v="2"/>
    <n v="20619"/>
    <s v="900406150"/>
    <s v="BANCO COOMEV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 JULIO BANCOOMEVA"/>
    <n v="69668"/>
    <n v="0"/>
    <n v="69668"/>
    <x v="0"/>
    <x v="0"/>
    <x v="0"/>
    <n v="69668"/>
    <n v="0"/>
    <n v="69668"/>
    <x v="0"/>
    <x v="0"/>
    <x v="0"/>
    <n v="69668"/>
    <n v="0"/>
    <n v="69668"/>
    <x v="0"/>
    <x v="0"/>
    <x v="0"/>
    <x v="0"/>
    <x v="0"/>
  </r>
  <r>
    <x v="4"/>
    <x v="0"/>
    <x v="0"/>
    <x v="0"/>
    <x v="0"/>
    <x v="2"/>
    <x v="2"/>
    <n v="20620"/>
    <s v="890903938"/>
    <s v="BANCOLOMBI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JULIO 9028"/>
    <n v="0"/>
    <n v="438.82"/>
    <n v="-438.82"/>
    <x v="0"/>
    <x v="0"/>
    <x v="0"/>
    <n v="0"/>
    <n v="438.82"/>
    <n v="-438.82"/>
    <x v="0"/>
    <x v="0"/>
    <x v="0"/>
    <n v="0"/>
    <n v="438.82"/>
    <n v="-438.82"/>
    <x v="0"/>
    <x v="0"/>
    <x v="0"/>
    <x v="0"/>
    <x v="0"/>
  </r>
  <r>
    <x v="4"/>
    <x v="0"/>
    <x v="0"/>
    <x v="0"/>
    <x v="0"/>
    <x v="11"/>
    <x v="11"/>
    <n v="27010"/>
    <s v="1018441067"/>
    <s v="ALONSO GUTIERREZ YINNETH CATALINA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1_x000d__x000a_CJM 246"/>
    <n v="15981"/>
    <n v="0"/>
    <n v="15981"/>
    <x v="0"/>
    <x v="0"/>
    <x v="0"/>
    <n v="15981"/>
    <n v="0"/>
    <n v="15981"/>
    <x v="0"/>
    <x v="0"/>
    <x v="0"/>
    <n v="15981"/>
    <n v="0"/>
    <n v="15981"/>
    <x v="0"/>
    <x v="0"/>
    <x v="0"/>
    <x v="0"/>
    <x v="0"/>
  </r>
  <r>
    <x v="4"/>
    <x v="0"/>
    <x v="0"/>
    <x v="0"/>
    <x v="0"/>
    <x v="2"/>
    <x v="2"/>
    <n v="20648"/>
    <s v="860007660"/>
    <s v="HELM BANK S.A.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115174.86"/>
    <n v="0"/>
    <n v="115174.86"/>
    <x v="0"/>
    <x v="0"/>
    <x v="0"/>
    <n v="115174.86"/>
    <n v="0"/>
    <n v="115174.86"/>
    <x v="0"/>
    <x v="0"/>
    <x v="0"/>
    <n v="115174.86"/>
    <n v="0"/>
    <n v="115174.86"/>
    <x v="0"/>
    <x v="0"/>
    <x v="0"/>
    <x v="0"/>
    <x v="0"/>
  </r>
  <r>
    <x v="4"/>
    <x v="0"/>
    <x v="0"/>
    <x v="0"/>
    <x v="0"/>
    <x v="11"/>
    <x v="11"/>
    <n v="27042"/>
    <s v="1045717933"/>
    <s v="PALMA GUTIERREZ KETTY JANETH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85"/>
    <n v="3420"/>
    <n v="0"/>
    <n v="3420"/>
    <x v="0"/>
    <x v="0"/>
    <x v="0"/>
    <n v="3420"/>
    <n v="0"/>
    <n v="3420"/>
    <x v="0"/>
    <x v="0"/>
    <x v="0"/>
    <n v="3420"/>
    <n v="0"/>
    <n v="3420"/>
    <x v="0"/>
    <x v="0"/>
    <x v="0"/>
    <x v="0"/>
    <x v="0"/>
  </r>
  <r>
    <x v="4"/>
    <x v="0"/>
    <x v="0"/>
    <x v="0"/>
    <x v="0"/>
    <x v="11"/>
    <x v="11"/>
    <n v="27043"/>
    <s v="4519543"/>
    <s v="GARCIA CASTAÑO FREDY JHOVANNY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AN 106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11"/>
    <x v="11"/>
    <n v="27044"/>
    <s v="1098657994"/>
    <s v="HERNANDEZ ROJAS JOHN EDISON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4_x000d__x000a_CJM 187"/>
    <n v="9356"/>
    <n v="0"/>
    <n v="9356"/>
    <x v="0"/>
    <x v="0"/>
    <x v="0"/>
    <n v="9356"/>
    <n v="0"/>
    <n v="9356"/>
    <x v="0"/>
    <x v="0"/>
    <x v="0"/>
    <n v="9356"/>
    <n v="0"/>
    <n v="9356"/>
    <x v="0"/>
    <x v="0"/>
    <x v="0"/>
    <x v="0"/>
    <x v="0"/>
  </r>
  <r>
    <x v="4"/>
    <x v="0"/>
    <x v="0"/>
    <x v="0"/>
    <x v="0"/>
    <x v="2"/>
    <x v="2"/>
    <n v="20689"/>
    <s v="440000000330"/>
    <s v="BANCOLOMBIA CAYMAN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GOSTO 2019  (TR 3427.29)"/>
    <n v="373403.25"/>
    <n v="0"/>
    <n v="373403.25"/>
    <x v="0"/>
    <x v="0"/>
    <x v="0"/>
    <n v="373403.25"/>
    <n v="0"/>
    <n v="373403.25"/>
    <x v="0"/>
    <x v="0"/>
    <x v="0"/>
    <n v="373403.25"/>
    <n v="0"/>
    <n v="373403.25"/>
    <x v="0"/>
    <x v="0"/>
    <x v="0"/>
    <x v="0"/>
    <x v="0"/>
  </r>
  <r>
    <x v="4"/>
    <x v="0"/>
    <x v="0"/>
    <x v="0"/>
    <x v="0"/>
    <x v="2"/>
    <x v="2"/>
    <n v="20740"/>
    <s v="860002964"/>
    <s v="BANCO DE BOGOT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BOGOTA MES DE AGOSTO DEL 2019"/>
    <n v="102214.69"/>
    <n v="0"/>
    <n v="102214.69"/>
    <x v="0"/>
    <x v="0"/>
    <x v="0"/>
    <n v="102214.69"/>
    <n v="0"/>
    <n v="102214.69"/>
    <x v="0"/>
    <x v="0"/>
    <x v="0"/>
    <n v="102214.69"/>
    <n v="0"/>
    <n v="102214.69"/>
    <x v="0"/>
    <x v="0"/>
    <x v="0"/>
    <x v="0"/>
    <x v="0"/>
  </r>
  <r>
    <x v="4"/>
    <x v="0"/>
    <x v="0"/>
    <x v="0"/>
    <x v="0"/>
    <x v="2"/>
    <x v="2"/>
    <n v="20729"/>
    <s v="900406150"/>
    <s v="BANCO COOMEV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A  GASTOS BANCARIOS MES DE AGOSTOS DEL 2019"/>
    <n v="0"/>
    <n v="23104"/>
    <n v="-23104"/>
    <x v="0"/>
    <x v="0"/>
    <x v="0"/>
    <n v="0"/>
    <n v="23104"/>
    <n v="-23104"/>
    <x v="0"/>
    <x v="0"/>
    <x v="0"/>
    <n v="0"/>
    <n v="23104"/>
    <n v="-23104"/>
    <x v="0"/>
    <x v="0"/>
    <x v="0"/>
    <x v="0"/>
    <x v="0"/>
  </r>
  <r>
    <x v="4"/>
    <x v="0"/>
    <x v="0"/>
    <x v="0"/>
    <x v="0"/>
    <x v="2"/>
    <x v="2"/>
    <n v="20730"/>
    <s v="890300279"/>
    <s v="BANCO DE OCCIDENTE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OS MES DE AGOSTO DEL 2019"/>
    <n v="31134.66"/>
    <n v="0"/>
    <n v="31134.66"/>
    <x v="0"/>
    <x v="0"/>
    <x v="0"/>
    <n v="31134.66"/>
    <n v="0"/>
    <n v="31134.66"/>
    <x v="0"/>
    <x v="0"/>
    <x v="0"/>
    <n v="31134.66"/>
    <n v="0"/>
    <n v="31134.66"/>
    <x v="0"/>
    <x v="0"/>
    <x v="0"/>
    <x v="0"/>
    <x v="0"/>
  </r>
  <r>
    <x v="4"/>
    <x v="0"/>
    <x v="0"/>
    <x v="0"/>
    <x v="0"/>
    <x v="2"/>
    <x v="2"/>
    <n v="20696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TARJETA DE CREDITO EN PESOS BANCOLOMBIA"/>
    <n v="3211.06"/>
    <n v="0"/>
    <n v="3211.06"/>
    <x v="0"/>
    <x v="0"/>
    <x v="0"/>
    <n v="3211.06"/>
    <n v="0"/>
    <n v="3211.06"/>
    <x v="0"/>
    <x v="0"/>
    <x v="0"/>
    <n v="3211.06"/>
    <n v="0"/>
    <n v="3211.06"/>
    <x v="0"/>
    <x v="0"/>
    <x v="0"/>
    <x v="0"/>
    <x v="0"/>
  </r>
  <r>
    <x v="4"/>
    <x v="0"/>
    <x v="0"/>
    <x v="0"/>
    <x v="0"/>
    <x v="2"/>
    <x v="2"/>
    <n v="20697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DE VALORES Y GASTOS BANCARIOS EN CONCILIACION DE AGOSTO DE 2019"/>
    <n v="62810"/>
    <n v="0"/>
    <n v="62810"/>
    <x v="0"/>
    <x v="0"/>
    <x v="0"/>
    <n v="62810"/>
    <n v="0"/>
    <n v="62810"/>
    <x v="0"/>
    <x v="0"/>
    <x v="0"/>
    <n v="62810"/>
    <n v="0"/>
    <n v="6281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1309.66"/>
    <n v="0"/>
    <n v="111309.66"/>
    <x v="0"/>
    <x v="0"/>
    <x v="0"/>
    <n v="111309.66"/>
    <n v="0"/>
    <n v="111309.66"/>
    <x v="0"/>
    <x v="0"/>
    <x v="0"/>
    <n v="111309.66"/>
    <n v="0"/>
    <n v="111309.6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11"/>
    <x v="11"/>
    <n v="26930"/>
    <s v="1098657994"/>
    <s v="HERNANDEZ ROJAS JOHN EDISON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4"/>
    <x v="0"/>
    <x v="0"/>
    <x v="0"/>
    <x v="0"/>
    <x v="11"/>
    <x v="11"/>
    <n v="26997"/>
    <s v="29873536"/>
    <s v="ZUÑIGA CEBALLOS CLAUDIA MARIA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7"/>
    <n v="10202"/>
    <n v="0"/>
    <n v="10202"/>
    <x v="0"/>
    <x v="0"/>
    <x v="0"/>
    <n v="10202"/>
    <n v="0"/>
    <n v="10202"/>
    <x v="0"/>
    <x v="0"/>
    <x v="0"/>
    <n v="10202"/>
    <n v="0"/>
    <n v="10202"/>
    <x v="0"/>
    <x v="0"/>
    <x v="0"/>
    <x v="0"/>
    <x v="0"/>
  </r>
  <r>
    <x v="4"/>
    <x v="0"/>
    <x v="0"/>
    <x v="0"/>
    <x v="0"/>
    <x v="11"/>
    <x v="11"/>
    <n v="26998"/>
    <s v="31908098"/>
    <s v="LOPEZ GARCIA MARIA DEL SOCORRO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"/>
    <n v="10749"/>
    <n v="0"/>
    <n v="10749"/>
    <x v="0"/>
    <x v="0"/>
    <x v="0"/>
    <n v="10749"/>
    <n v="0"/>
    <n v="10749"/>
    <x v="0"/>
    <x v="0"/>
    <x v="0"/>
    <n v="10749"/>
    <n v="0"/>
    <n v="10749"/>
    <x v="0"/>
    <x v="0"/>
    <x v="0"/>
    <x v="0"/>
    <x v="0"/>
  </r>
  <r>
    <x v="4"/>
    <x v="0"/>
    <x v="0"/>
    <x v="0"/>
    <x v="0"/>
    <x v="11"/>
    <x v="11"/>
    <n v="27089"/>
    <s v="71631400"/>
    <s v="CARRASQUILLA PIZARRO MARCO ANTONIO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2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37218"/>
    <n v="0"/>
    <n v="537218"/>
    <x v="0"/>
    <x v="0"/>
    <x v="0"/>
    <n v="537218"/>
    <n v="0"/>
    <n v="537218"/>
    <x v="0"/>
    <x v="0"/>
    <x v="0"/>
    <n v="537218"/>
    <n v="0"/>
    <n v="5372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7754.199999999997"/>
    <n v="0"/>
    <n v="37754.200000000004"/>
    <x v="0"/>
    <x v="0"/>
    <x v="0"/>
    <n v="37754.199999999997"/>
    <n v="0"/>
    <n v="37754.200000000004"/>
    <x v="0"/>
    <x v="0"/>
    <x v="0"/>
    <n v="37754.199999999997"/>
    <n v="0"/>
    <n v="37754.2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3495.7"/>
    <n v="0"/>
    <n v="63495.700000000004"/>
    <x v="0"/>
    <x v="0"/>
    <x v="0"/>
    <n v="63495.7"/>
    <n v="0"/>
    <n v="63495.700000000004"/>
    <x v="0"/>
    <x v="0"/>
    <x v="0"/>
    <n v="63495.7"/>
    <n v="0"/>
    <n v="63495.7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426756"/>
    <n v="0"/>
    <n v="426756"/>
    <x v="0"/>
    <x v="0"/>
    <x v="0"/>
    <n v="426756"/>
    <n v="0"/>
    <n v="426756"/>
    <x v="0"/>
    <x v="0"/>
    <x v="0"/>
    <n v="426756"/>
    <n v="0"/>
    <n v="426756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1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0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1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0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1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0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  <r>
    <x v="0"/>
    <x v="0"/>
    <x v="0"/>
    <x v="1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DC91D3-44AC-4AFE-BB19-B7E9102D40DB}" name="UnoBiable: SmartZoom 000 en ctas" cacheId="0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C187:D195" firstHeaderRow="2" firstDataRow="2" firstDataCol="1"/>
  <pivotFields count="31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7">
        <item x="1"/>
        <item x="2"/>
        <item x="4"/>
        <item x="0"/>
        <item x="3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VALOR_PRESUPUESTO" fld="30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2B716C-2AD1-4706-A20F-18F22B03D530}" name="UnoBiable: SmartZoom 001 en ctas" cacheId="1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126:G129" firstHeaderRow="2" firstDataRow="2" firstDataCol="2"/>
  <pivotFields count="10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0">
        <item x="9"/>
        <item h="1" x="1"/>
        <item h="1" x="0"/>
        <item h="1" x="6"/>
        <item h="1" x="4"/>
        <item h="1" x="7"/>
        <item h="1" x="3"/>
        <item h="1" x="2"/>
        <item h="1" x="8"/>
        <item h="1" x="5"/>
      </items>
    </pivotField>
    <pivotField axis="axisRow" compact="0" outline="0" showAll="0">
      <items count="11">
        <item x="1"/>
        <item x="5"/>
        <item x="2"/>
        <item x="4"/>
        <item x="7"/>
        <item x="0"/>
        <item x="8"/>
        <item x="6"/>
        <item x="3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31"/>
    <field x="32"/>
  </rowFields>
  <rowItems count="2">
    <i>
      <x/>
      <x v="9"/>
    </i>
    <i t="grand">
      <x/>
    </i>
  </rowItems>
  <colItems count="1">
    <i/>
  </colItems>
  <dataFields count="1">
    <dataField name="Suma de MOVTO_LIBRO2" fld="96" baseField="0" baseItem="0" numFmtId="41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030EA4-664B-478A-A147-05B15911DD80}" name="UnoBiable: SmartZoom 002 en ctas" cacheId="2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542:G547" firstHeaderRow="2" firstDataRow="2" firstDataCol="2" rowPageCount="1" colPageCount="1"/>
  <pivotFields count="33">
    <pivotField axis="axisPage" compact="0" outline="0" showAll="0">
      <items count="2">
        <item x="0"/>
        <item t="default"/>
      </items>
    </pivotField>
    <pivotField compact="0" outline="0" showAll="0"/>
    <pivotField compact="0" outline="0" showAll="0">
      <items count="2">
        <item x="0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3">
        <item x="0"/>
        <item x="1"/>
        <item x="2"/>
      </items>
    </pivotField>
    <pivotField axis="axisRow" compact="0" outline="0" showAll="0">
      <items count="4"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2">
    <field x="5"/>
    <field x="6"/>
  </rowFields>
  <rowItems count="4">
    <i>
      <x/>
      <x/>
    </i>
    <i>
      <x v="1"/>
      <x v="1"/>
    </i>
    <i>
      <x v="2"/>
      <x v="2"/>
    </i>
    <i t="grand">
      <x/>
    </i>
  </rowItems>
  <colItems count="1">
    <i/>
  </colItems>
  <pageFields count="1">
    <pageField fld="0" hier="-1"/>
  </pageFields>
  <dataFields count="1">
    <dataField name="Suma de Valor Presupuesto" fld="32" baseField="0" baseItem="0" numFmtId="41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B0A9F-943E-4B63-AEB3-4E37E426FB94}">
  <dimension ref="A1:AL44"/>
  <sheetViews>
    <sheetView topLeftCell="M3" zoomScale="78" zoomScaleNormal="78" workbookViewId="0">
      <selection activeCell="Y11" sqref="Y11"/>
    </sheetView>
  </sheetViews>
  <sheetFormatPr baseColWidth="10" defaultRowHeight="15" x14ac:dyDescent="0.25"/>
  <cols>
    <col min="1" max="1" width="10" style="35" customWidth="1"/>
    <col min="2" max="2" width="13.28515625" style="9" customWidth="1"/>
    <col min="3" max="3" width="36.42578125" style="10" customWidth="1"/>
    <col min="4" max="4" width="16.42578125" style="10" customWidth="1"/>
    <col min="5" max="5" width="7" style="10" customWidth="1"/>
    <col min="6" max="6" width="13" style="12" customWidth="1"/>
    <col min="7" max="7" width="7" style="10" customWidth="1"/>
    <col min="8" max="8" width="12.5703125" style="10" customWidth="1"/>
    <col min="9" max="9" width="10.85546875" style="10" customWidth="1"/>
    <col min="10" max="10" width="7" style="10" customWidth="1"/>
    <col min="11" max="11" width="9.85546875" style="10" customWidth="1"/>
    <col min="12" max="12" width="14.7109375" style="10" customWidth="1"/>
    <col min="13" max="13" width="7" style="10" customWidth="1"/>
    <col min="14" max="14" width="12.5703125" style="10" customWidth="1"/>
    <col min="15" max="15" width="7" style="10" customWidth="1"/>
    <col min="16" max="16" width="12.28515625" style="10" customWidth="1"/>
    <col min="17" max="18" width="7" style="10" customWidth="1"/>
    <col min="19" max="19" width="8" style="10" customWidth="1"/>
    <col min="20" max="21" width="8.42578125" style="13" customWidth="1"/>
    <col min="22" max="22" width="15" style="13" customWidth="1"/>
    <col min="23" max="23" width="27.85546875" style="10" customWidth="1"/>
    <col min="24" max="24" width="15.85546875" style="10" customWidth="1"/>
    <col min="25" max="25" width="14" style="10" customWidth="1"/>
    <col min="26" max="26" width="11.42578125" style="10"/>
    <col min="27" max="27" width="11.7109375" style="10" customWidth="1"/>
    <col min="28" max="28" width="12.5703125" style="10" customWidth="1"/>
    <col min="29" max="29" width="13.28515625" style="10" customWidth="1"/>
    <col min="30" max="30" width="11.85546875" style="10" customWidth="1"/>
    <col min="31" max="31" width="8.7109375" style="10" customWidth="1"/>
    <col min="32" max="32" width="7.5703125" style="10" customWidth="1"/>
    <col min="33" max="36" width="13.140625" style="15" customWidth="1"/>
    <col min="37" max="37" width="16.7109375" style="10" customWidth="1"/>
    <col min="38" max="16384" width="11.42578125" style="10"/>
  </cols>
  <sheetData>
    <row r="1" spans="1:38" s="4" customFormat="1" ht="30" hidden="1" x14ac:dyDescent="0.25">
      <c r="A1" s="1"/>
      <c r="B1" s="2"/>
      <c r="C1" s="3" t="s">
        <v>0</v>
      </c>
      <c r="D1" s="4" t="s">
        <v>1</v>
      </c>
      <c r="F1" s="5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6" t="s">
        <v>5</v>
      </c>
      <c r="U1" s="6" t="s">
        <v>6</v>
      </c>
      <c r="V1" s="6" t="s">
        <v>7</v>
      </c>
      <c r="AG1" s="7"/>
      <c r="AH1" s="7"/>
      <c r="AI1" s="7"/>
      <c r="AJ1" s="8"/>
    </row>
    <row r="2" spans="1:38" ht="27" hidden="1" x14ac:dyDescent="0.3">
      <c r="A2" s="1" t="s">
        <v>8</v>
      </c>
      <c r="B2" s="9">
        <v>201401</v>
      </c>
      <c r="D2" s="11">
        <f>B2</f>
        <v>201401</v>
      </c>
      <c r="F2" s="12" t="str">
        <f>CONCATENATE(LEFT(B2,4)-1,RIGHT(B2,2))</f>
        <v>201301</v>
      </c>
      <c r="H2" s="10">
        <f>B2</f>
        <v>201401</v>
      </c>
      <c r="L2" s="11" t="str">
        <f>CONCATENATE(LEFT(D2,4),"01")</f>
        <v>201401</v>
      </c>
      <c r="N2" s="10" t="str">
        <f>+F2</f>
        <v>201301</v>
      </c>
      <c r="P2" s="10">
        <f>D2</f>
        <v>201401</v>
      </c>
      <c r="T2" s="13" t="s">
        <v>9</v>
      </c>
      <c r="U2" s="13" t="s">
        <v>10</v>
      </c>
      <c r="V2" s="13">
        <v>201401</v>
      </c>
      <c r="Z2" s="14"/>
      <c r="AA2" s="14"/>
      <c r="AB2" s="14"/>
      <c r="AC2" s="14"/>
    </row>
    <row r="3" spans="1:38" ht="19.5" thickBot="1" x14ac:dyDescent="0.35">
      <c r="A3" s="9">
        <v>202101</v>
      </c>
      <c r="B3" s="16">
        <v>202201</v>
      </c>
      <c r="C3" s="17" t="s">
        <v>11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V3" s="18"/>
      <c r="W3" s="19" t="str">
        <f>+C3</f>
        <v>MUSICAR S.A. COLOMBIA</v>
      </c>
      <c r="X3" s="19"/>
      <c r="Y3" s="19"/>
      <c r="Z3" s="19"/>
      <c r="AA3" s="19"/>
      <c r="AB3" s="19"/>
      <c r="AC3" s="19"/>
      <c r="AD3" s="19"/>
      <c r="AE3" s="19"/>
      <c r="AF3" s="19"/>
      <c r="AG3" s="20"/>
      <c r="AH3" s="20"/>
      <c r="AI3" s="20"/>
      <c r="AJ3" s="20"/>
      <c r="AK3" s="15"/>
      <c r="AL3" s="15"/>
    </row>
    <row r="4" spans="1:38" ht="19.5" thickBot="1" x14ac:dyDescent="0.35">
      <c r="A4" s="9">
        <v>202104</v>
      </c>
      <c r="B4" s="16">
        <v>202204</v>
      </c>
      <c r="C4" s="21"/>
      <c r="D4" s="22" t="s">
        <v>12</v>
      </c>
      <c r="E4" s="23"/>
      <c r="F4" s="23"/>
      <c r="G4" s="23"/>
      <c r="H4" s="23"/>
      <c r="I4" s="23"/>
      <c r="J4" s="23"/>
      <c r="K4" s="24"/>
      <c r="L4" s="25" t="s">
        <v>13</v>
      </c>
      <c r="M4" s="26"/>
      <c r="N4" s="26"/>
      <c r="O4" s="26"/>
      <c r="P4" s="27"/>
      <c r="Q4" s="27"/>
      <c r="R4" s="27"/>
      <c r="S4" s="28"/>
      <c r="T4" s="29" t="s">
        <v>13</v>
      </c>
      <c r="U4" s="29"/>
      <c r="V4" s="29"/>
      <c r="W4" s="14"/>
      <c r="X4" s="30" t="s">
        <v>14</v>
      </c>
      <c r="Y4" s="31"/>
      <c r="Z4" s="31"/>
      <c r="AA4" s="32" t="str">
        <f>"ACUM"&amp;"  "&amp;X4</f>
        <v>ACUM  ABRIL</v>
      </c>
      <c r="AB4" s="33"/>
      <c r="AC4" s="34"/>
      <c r="AG4" s="20" t="s">
        <v>15</v>
      </c>
      <c r="AH4" s="20"/>
      <c r="AI4" s="20"/>
      <c r="AJ4" s="20"/>
      <c r="AK4" s="15"/>
      <c r="AL4" s="15"/>
    </row>
    <row r="5" spans="1:38" ht="15.75" customHeight="1" thickBot="1" x14ac:dyDescent="0.3">
      <c r="B5" s="16">
        <f>+B4-1</f>
        <v>202203</v>
      </c>
      <c r="C5" s="36" t="s">
        <v>16</v>
      </c>
      <c r="D5" s="37" t="s">
        <v>17</v>
      </c>
      <c r="E5" s="38"/>
      <c r="F5" s="37" t="s">
        <v>18</v>
      </c>
      <c r="G5" s="38"/>
      <c r="H5" s="37" t="s">
        <v>19</v>
      </c>
      <c r="I5" s="38"/>
      <c r="J5" s="39" t="s">
        <v>20</v>
      </c>
      <c r="K5" s="40" t="s">
        <v>21</v>
      </c>
      <c r="L5" s="37" t="str">
        <f>+D5</f>
        <v>Ppto 2022</v>
      </c>
      <c r="M5" s="38"/>
      <c r="N5" s="37" t="str">
        <f>+F5</f>
        <v>Real 2021</v>
      </c>
      <c r="O5" s="38"/>
      <c r="P5" s="37" t="str">
        <f>+H5</f>
        <v>real 2022</v>
      </c>
      <c r="Q5" s="38"/>
      <c r="R5" s="39" t="s">
        <v>20</v>
      </c>
      <c r="S5" s="41" t="s">
        <v>21</v>
      </c>
      <c r="T5" s="29" t="s">
        <v>22</v>
      </c>
      <c r="U5" s="29" t="s">
        <v>23</v>
      </c>
      <c r="V5" s="29"/>
      <c r="W5" s="42" t="s">
        <v>16</v>
      </c>
      <c r="X5" s="43" t="str">
        <f>+D5</f>
        <v>Ppto 2022</v>
      </c>
      <c r="Y5" s="43" t="str">
        <f>+F5</f>
        <v>Real 2021</v>
      </c>
      <c r="Z5" s="44" t="str">
        <f>+P5</f>
        <v>real 2022</v>
      </c>
      <c r="AA5" s="45" t="str">
        <f>+X5</f>
        <v>Ppto 2022</v>
      </c>
      <c r="AB5" s="43" t="str">
        <f>+Y5</f>
        <v>Real 2021</v>
      </c>
      <c r="AC5" s="46" t="str">
        <f>+Z5</f>
        <v>real 2022</v>
      </c>
      <c r="AD5" s="47" t="s">
        <v>24</v>
      </c>
      <c r="AE5" s="47" t="s">
        <v>20</v>
      </c>
      <c r="AF5" s="47" t="s">
        <v>21</v>
      </c>
      <c r="AG5" s="48" t="str">
        <f>+AA5</f>
        <v>Ppto 2022</v>
      </c>
      <c r="AH5" s="48" t="str">
        <f t="shared" ref="AH5:AI5" si="0">+AB5</f>
        <v>Real 2021</v>
      </c>
      <c r="AI5" s="48" t="str">
        <f t="shared" si="0"/>
        <v>real 2022</v>
      </c>
      <c r="AJ5" s="20"/>
      <c r="AK5" s="15"/>
      <c r="AL5" s="15"/>
    </row>
    <row r="6" spans="1:38" ht="15.75" thickBot="1" x14ac:dyDescent="0.3">
      <c r="B6" s="49" t="s">
        <v>25</v>
      </c>
      <c r="C6" s="50" t="s">
        <v>26</v>
      </c>
      <c r="D6" s="51" t="s">
        <v>27</v>
      </c>
      <c r="E6" s="52" t="s">
        <v>28</v>
      </c>
      <c r="F6" s="51" t="s">
        <v>27</v>
      </c>
      <c r="G6" s="53" t="s">
        <v>28</v>
      </c>
      <c r="H6" s="51" t="s">
        <v>27</v>
      </c>
      <c r="I6" s="54" t="s">
        <v>28</v>
      </c>
      <c r="J6" s="55" t="s">
        <v>29</v>
      </c>
      <c r="K6" s="52" t="s">
        <v>29</v>
      </c>
      <c r="L6" s="51" t="s">
        <v>27</v>
      </c>
      <c r="M6" s="52" t="s">
        <v>28</v>
      </c>
      <c r="N6" s="51" t="s">
        <v>27</v>
      </c>
      <c r="O6" s="52" t="s">
        <v>28</v>
      </c>
      <c r="P6" s="51" t="s">
        <v>27</v>
      </c>
      <c r="Q6" s="54" t="s">
        <v>28</v>
      </c>
      <c r="R6" s="55" t="s">
        <v>29</v>
      </c>
      <c r="S6" s="56" t="s">
        <v>29</v>
      </c>
      <c r="T6" s="29" t="s">
        <v>27</v>
      </c>
      <c r="U6" s="29" t="s">
        <v>27</v>
      </c>
      <c r="V6" s="29"/>
      <c r="W6" s="57" t="s">
        <v>30</v>
      </c>
      <c r="X6" s="58"/>
      <c r="Y6" s="58"/>
      <c r="Z6" s="59"/>
      <c r="AA6" s="60" t="s">
        <v>31</v>
      </c>
      <c r="AB6" s="58"/>
      <c r="AC6" s="61" t="s">
        <v>31</v>
      </c>
      <c r="AD6" s="62" t="s">
        <v>32</v>
      </c>
      <c r="AE6" s="63" t="s">
        <v>29</v>
      </c>
      <c r="AF6" s="63" t="s">
        <v>29</v>
      </c>
      <c r="AG6" s="48" t="s">
        <v>31</v>
      </c>
      <c r="AH6" s="48"/>
      <c r="AI6" s="48" t="s">
        <v>31</v>
      </c>
      <c r="AJ6" s="20"/>
      <c r="AK6" s="15"/>
      <c r="AL6" s="15"/>
    </row>
    <row r="7" spans="1:38" ht="15.75" thickBot="1" x14ac:dyDescent="0.3">
      <c r="B7" s="64" t="s">
        <v>33</v>
      </c>
      <c r="C7" s="65" t="s">
        <v>34</v>
      </c>
      <c r="D7" s="66">
        <v>395065</v>
      </c>
      <c r="E7" s="67">
        <f t="shared" ref="E7:E12" si="1">+D7/$D$17</f>
        <v>0.43649684392888594</v>
      </c>
      <c r="F7" s="66">
        <v>375569.288</v>
      </c>
      <c r="G7" s="67">
        <f t="shared" ref="G7:G15" si="2">+F7/$F$17</f>
        <v>0.48154638713510017</v>
      </c>
      <c r="H7" s="66">
        <v>364646.89799999999</v>
      </c>
      <c r="I7" s="68">
        <f t="shared" ref="I7:I34" si="3">+H7/$H$17</f>
        <v>0.43090859049718672</v>
      </c>
      <c r="J7" s="69">
        <f>IF(D7=0,"",(H7-D7)/ABS(D7)+1)</f>
        <v>0.92300481692885983</v>
      </c>
      <c r="K7" s="69">
        <f>IF(F7=0,"",(H7-F7)/ABS(F7))</f>
        <v>-2.9082223570954007E-2</v>
      </c>
      <c r="L7" s="66">
        <v>1466600</v>
      </c>
      <c r="M7" s="67">
        <f t="shared" ref="M7:M34" si="4">+L7/$L$17</f>
        <v>0.42706918602348676</v>
      </c>
      <c r="N7" s="66">
        <v>1402856.3359999999</v>
      </c>
      <c r="O7" s="67">
        <f t="shared" ref="O7:O34" si="5">+N7/$N$17</f>
        <v>0.45075268835402232</v>
      </c>
      <c r="P7" s="66">
        <v>1453271.2490000001</v>
      </c>
      <c r="Q7" s="68">
        <f t="shared" ref="Q7:Q34" si="6">+P7/$P$17</f>
        <v>0.43479772218254853</v>
      </c>
      <c r="R7" s="69">
        <f>IF(L7=0,"",(P7-L7)/ABS(L7)+1)</f>
        <v>0.99091180212736951</v>
      </c>
      <c r="S7" s="70">
        <f>IF(N7=0,"",(P7-N7)/ABS(N7))</f>
        <v>3.5937331361919428E-2</v>
      </c>
      <c r="T7" s="71">
        <v>4870625</v>
      </c>
      <c r="U7" s="71">
        <v>4762038.2980000004</v>
      </c>
      <c r="V7" s="72"/>
      <c r="W7" s="73" t="s">
        <v>35</v>
      </c>
      <c r="X7" s="74">
        <v>22254</v>
      </c>
      <c r="Y7" s="75">
        <v>681689</v>
      </c>
      <c r="Z7" s="74">
        <v>78252.153630000001</v>
      </c>
      <c r="AA7" s="74">
        <v>484392</v>
      </c>
      <c r="AB7" s="75">
        <v>590525</v>
      </c>
      <c r="AC7" s="74">
        <v>484392</v>
      </c>
      <c r="AD7" s="76">
        <f>+AC7-AA7</f>
        <v>0</v>
      </c>
      <c r="AE7" s="77">
        <f>IF(AA7=0,"",(AC7-AA7)/ABS(AA7)+1)</f>
        <v>1</v>
      </c>
      <c r="AF7" s="77">
        <f>IF(Y7=0,"",(AC7-AB7)/ABS(AB7))</f>
        <v>-0.17972651454214469</v>
      </c>
      <c r="AG7" s="78"/>
      <c r="AH7" s="78"/>
      <c r="AI7" s="78"/>
      <c r="AJ7" s="20"/>
      <c r="AK7" s="79">
        <v>-16916</v>
      </c>
      <c r="AL7" s="15"/>
    </row>
    <row r="8" spans="1:38" x14ac:dyDescent="0.25">
      <c r="B8" s="80" t="s">
        <v>36</v>
      </c>
      <c r="C8" s="65" t="s">
        <v>37</v>
      </c>
      <c r="D8" s="66">
        <v>43582</v>
      </c>
      <c r="E8" s="67">
        <f t="shared" si="1"/>
        <v>4.8152596286962161E-2</v>
      </c>
      <c r="F8" s="66">
        <v>13879.722</v>
      </c>
      <c r="G8" s="67">
        <f t="shared" si="2"/>
        <v>1.7796263424871863E-2</v>
      </c>
      <c r="H8" s="66">
        <v>20664.773000000001</v>
      </c>
      <c r="I8" s="68">
        <f t="shared" si="3"/>
        <v>2.441986550609385E-2</v>
      </c>
      <c r="J8" s="69">
        <f t="shared" ref="J8:J34" si="7">IF(D8=0,"",(H8-D8)/ABS(D8)+1)</f>
        <v>0.47415843696939108</v>
      </c>
      <c r="K8" s="69">
        <f t="shared" ref="K8:K34" si="8">IF(F8=0,"",(H8-F8)/ABS(F8))</f>
        <v>0.48884631839167969</v>
      </c>
      <c r="L8" s="66">
        <v>141639</v>
      </c>
      <c r="M8" s="67">
        <f t="shared" si="4"/>
        <v>4.1244819609423597E-2</v>
      </c>
      <c r="N8" s="66">
        <v>140315.26500000001</v>
      </c>
      <c r="O8" s="67">
        <f t="shared" si="5"/>
        <v>4.5084789719948247E-2</v>
      </c>
      <c r="P8" s="66">
        <v>115540.90399999999</v>
      </c>
      <c r="Q8" s="68">
        <f t="shared" si="6"/>
        <v>3.4568166068571625E-2</v>
      </c>
      <c r="R8" s="69">
        <f t="shared" ref="R8:R34" si="9">IF(L8=0,"",(P8-L8)/ABS(L8)+1)</f>
        <v>0.81574216141034595</v>
      </c>
      <c r="S8" s="70">
        <f t="shared" ref="S8:S34" si="10">IF(N8=0,"",(P8-N8)/ABS(N8))</f>
        <v>-0.17656212244619299</v>
      </c>
      <c r="T8" s="71">
        <v>800000</v>
      </c>
      <c r="U8" s="71">
        <v>665244.33900000004</v>
      </c>
      <c r="V8" s="72"/>
      <c r="W8" s="81" t="s">
        <v>38</v>
      </c>
      <c r="X8" s="82">
        <v>1019208</v>
      </c>
      <c r="Y8" s="83">
        <v>766153.91020000004</v>
      </c>
      <c r="Z8" s="83">
        <v>964809.17712999997</v>
      </c>
      <c r="AA8" s="84">
        <v>3781028</v>
      </c>
      <c r="AB8" s="83">
        <v>3557030.1444200003</v>
      </c>
      <c r="AC8" s="83">
        <v>3903063.17741</v>
      </c>
      <c r="AD8" s="85">
        <f>+AC8-AA8</f>
        <v>122035.17741</v>
      </c>
      <c r="AE8" s="86">
        <f>IF(AA8=0,"",(AC8-AA8)/ABS(AA8)+1)</f>
        <v>1.032275660854667</v>
      </c>
      <c r="AF8" s="86">
        <f>IF(AB8=0,"",(AC8-AB8)/ABS(AB8))</f>
        <v>9.7281445177750378E-2</v>
      </c>
      <c r="AG8" s="78"/>
      <c r="AH8" s="78"/>
      <c r="AI8" s="78"/>
      <c r="AJ8" s="78"/>
      <c r="AK8" s="79">
        <v>9245892.2922799997</v>
      </c>
      <c r="AL8" s="87"/>
    </row>
    <row r="9" spans="1:38" x14ac:dyDescent="0.25">
      <c r="B9" s="80" t="s">
        <v>39</v>
      </c>
      <c r="C9" s="65" t="s">
        <v>40</v>
      </c>
      <c r="D9" s="66">
        <v>86697</v>
      </c>
      <c r="E9" s="67">
        <f t="shared" si="1"/>
        <v>9.5789216655746828E-2</v>
      </c>
      <c r="F9" s="66">
        <v>111912.4574</v>
      </c>
      <c r="G9" s="67">
        <f t="shared" si="2"/>
        <v>0.14349160396837563</v>
      </c>
      <c r="H9" s="66">
        <v>102596.82220000001</v>
      </c>
      <c r="I9" s="68">
        <f t="shared" si="3"/>
        <v>0.12124017038448105</v>
      </c>
      <c r="J9" s="69">
        <f t="shared" si="7"/>
        <v>1.1833952985685781</v>
      </c>
      <c r="K9" s="69">
        <f t="shared" si="8"/>
        <v>-8.3240377491701739E-2</v>
      </c>
      <c r="L9" s="66">
        <v>351345</v>
      </c>
      <c r="M9" s="67">
        <f t="shared" si="4"/>
        <v>0.10231052990823808</v>
      </c>
      <c r="N9" s="66">
        <v>421868.05339999998</v>
      </c>
      <c r="O9" s="67">
        <f t="shared" si="5"/>
        <v>0.13555070061053512</v>
      </c>
      <c r="P9" s="66">
        <v>383590.7452</v>
      </c>
      <c r="Q9" s="68">
        <f t="shared" si="6"/>
        <v>0.11476479864170654</v>
      </c>
      <c r="R9" s="69">
        <f t="shared" si="9"/>
        <v>1.091778010787118</v>
      </c>
      <c r="S9" s="70">
        <f t="shared" si="10"/>
        <v>-9.073289122394583E-2</v>
      </c>
      <c r="T9" s="71">
        <v>2258175</v>
      </c>
      <c r="U9" s="71">
        <v>2403071.6514000003</v>
      </c>
      <c r="V9" s="72"/>
      <c r="W9" s="81" t="s">
        <v>41</v>
      </c>
      <c r="X9" s="82">
        <v>118025</v>
      </c>
      <c r="Y9" s="82">
        <v>104077.12851000001</v>
      </c>
      <c r="Z9" s="83">
        <v>73032.076000000001</v>
      </c>
      <c r="AA9" s="88">
        <v>515663</v>
      </c>
      <c r="AB9" s="82">
        <v>591775.05154999997</v>
      </c>
      <c r="AC9" s="83">
        <v>513777.09182999999</v>
      </c>
      <c r="AD9" s="85">
        <f>+AA9-AC9</f>
        <v>1885.9081700000097</v>
      </c>
      <c r="AE9" s="86">
        <f>IF(AA9=0,"",(AC9-AA9)/ABS(AA9)+1)</f>
        <v>0.99634275065304279</v>
      </c>
      <c r="AF9" s="86">
        <f t="shared" ref="AF9:AF22" si="11">IF(AB9=0,"",(AC9-AB9)/ABS(AB9))</f>
        <v>-0.13180339305569697</v>
      </c>
      <c r="AG9" s="78"/>
      <c r="AH9" s="78"/>
      <c r="AI9" s="78"/>
      <c r="AJ9" s="78"/>
      <c r="AK9" s="79">
        <v>1823160.5619300001</v>
      </c>
      <c r="AL9" s="87"/>
    </row>
    <row r="10" spans="1:38" x14ac:dyDescent="0.25">
      <c r="B10" s="80" t="s">
        <v>42</v>
      </c>
      <c r="C10" s="89" t="s">
        <v>43</v>
      </c>
      <c r="D10" s="66">
        <v>88704</v>
      </c>
      <c r="E10" s="67">
        <f t="shared" si="1"/>
        <v>9.8006697743074925E-2</v>
      </c>
      <c r="F10" s="66">
        <v>39373.923999999999</v>
      </c>
      <c r="G10" s="67">
        <f t="shared" si="2"/>
        <v>5.0484348575200885E-2</v>
      </c>
      <c r="H10" s="66">
        <v>61251.985000000001</v>
      </c>
      <c r="I10" s="68">
        <f t="shared" si="3"/>
        <v>7.2382369536857616E-2</v>
      </c>
      <c r="J10" s="69">
        <f t="shared" si="7"/>
        <v>0.69052111516955272</v>
      </c>
      <c r="K10" s="69">
        <f t="shared" si="8"/>
        <v>0.55564847943527296</v>
      </c>
      <c r="L10" s="66">
        <v>324352</v>
      </c>
      <c r="M10" s="67">
        <f t="shared" si="4"/>
        <v>9.4450255437808522E-2</v>
      </c>
      <c r="N10" s="66">
        <v>194628.87</v>
      </c>
      <c r="O10" s="67">
        <f t="shared" si="5"/>
        <v>6.2536329724218839E-2</v>
      </c>
      <c r="P10" s="66">
        <v>233929.79699999999</v>
      </c>
      <c r="Q10" s="68">
        <f t="shared" si="6"/>
        <v>6.9988409222445147E-2</v>
      </c>
      <c r="R10" s="69">
        <f t="shared" si="9"/>
        <v>0.72122199647296759</v>
      </c>
      <c r="S10" s="70">
        <f t="shared" si="10"/>
        <v>0.2019275300730051</v>
      </c>
      <c r="T10" s="71">
        <v>1300000</v>
      </c>
      <c r="U10" s="71">
        <v>808584.92299999995</v>
      </c>
      <c r="V10" s="72"/>
      <c r="W10" s="81" t="s">
        <v>44</v>
      </c>
      <c r="X10" s="82">
        <v>8353</v>
      </c>
      <c r="Y10" s="82">
        <v>7493.2209999999995</v>
      </c>
      <c r="Z10" s="83">
        <v>9535.0849999999991</v>
      </c>
      <c r="AA10" s="88">
        <v>33412</v>
      </c>
      <c r="AB10" s="82">
        <v>29467.489000000001</v>
      </c>
      <c r="AC10" s="83">
        <v>37212.35</v>
      </c>
      <c r="AD10" s="85">
        <f>+AA10-AC10</f>
        <v>-3800.3499999999985</v>
      </c>
      <c r="AE10" s="86">
        <f t="shared" ref="AE10:AE21" si="12">IF(AA10=0,"",(AC10-AA10)/ABS(AA10)+1)</f>
        <v>1.1137420687178259</v>
      </c>
      <c r="AF10" s="86">
        <f t="shared" si="11"/>
        <v>0.26282731453636909</v>
      </c>
      <c r="AG10" s="78"/>
      <c r="AH10" s="78"/>
      <c r="AI10" s="78"/>
      <c r="AJ10" s="78"/>
      <c r="AK10" s="79">
        <v>56676.659</v>
      </c>
      <c r="AL10" s="87"/>
    </row>
    <row r="11" spans="1:38" x14ac:dyDescent="0.25">
      <c r="B11" s="80">
        <v>4170250500</v>
      </c>
      <c r="C11" s="89" t="s">
        <v>45</v>
      </c>
      <c r="D11" s="66">
        <v>0</v>
      </c>
      <c r="E11" s="67">
        <f t="shared" si="1"/>
        <v>0</v>
      </c>
      <c r="F11" s="66">
        <v>0</v>
      </c>
      <c r="G11" s="67">
        <f t="shared" si="2"/>
        <v>0</v>
      </c>
      <c r="H11" s="66">
        <v>0</v>
      </c>
      <c r="I11" s="68">
        <f t="shared" si="3"/>
        <v>0</v>
      </c>
      <c r="J11" s="69" t="str">
        <f t="shared" si="7"/>
        <v/>
      </c>
      <c r="K11" s="69" t="e">
        <f t="shared" si="8"/>
        <v>#DIV/0!</v>
      </c>
      <c r="L11" s="66">
        <v>0</v>
      </c>
      <c r="M11" s="67">
        <f t="shared" si="4"/>
        <v>0</v>
      </c>
      <c r="N11" s="66">
        <v>0</v>
      </c>
      <c r="O11" s="67">
        <f t="shared" si="5"/>
        <v>0</v>
      </c>
      <c r="P11" s="66">
        <v>0</v>
      </c>
      <c r="Q11" s="68">
        <f t="shared" si="6"/>
        <v>0</v>
      </c>
      <c r="R11" s="69" t="str">
        <f>IF(L11=0,"",(P11-L11)/ABS(L11)+1)</f>
        <v/>
      </c>
      <c r="S11" s="70" t="str">
        <f>IF(N11=0,"",(P11-N11)/ABS(N11))</f>
        <v/>
      </c>
      <c r="T11" s="71">
        <v>122400</v>
      </c>
      <c r="U11" s="71">
        <v>122400</v>
      </c>
      <c r="V11" s="72"/>
      <c r="W11" s="81" t="s">
        <v>46</v>
      </c>
      <c r="X11" s="82">
        <v>348665</v>
      </c>
      <c r="Y11" s="82">
        <v>318657.72200000001</v>
      </c>
      <c r="Z11" s="83">
        <v>364235.84700000001</v>
      </c>
      <c r="AA11" s="88">
        <v>1600564</v>
      </c>
      <c r="AB11" s="82">
        <v>1321879.2390000001</v>
      </c>
      <c r="AC11" s="83">
        <v>1603448.31528</v>
      </c>
      <c r="AD11" s="85">
        <f>+AA11-AC11</f>
        <v>-2884.3152799999807</v>
      </c>
      <c r="AE11" s="86">
        <f t="shared" si="12"/>
        <v>1.0018020618232073</v>
      </c>
      <c r="AF11" s="86">
        <f t="shared" si="11"/>
        <v>0.21300665595823001</v>
      </c>
      <c r="AG11" s="78"/>
      <c r="AH11" s="78"/>
      <c r="AI11" s="78"/>
      <c r="AJ11" s="78"/>
      <c r="AK11" s="79">
        <v>3440743.0529999998</v>
      </c>
      <c r="AL11" s="87"/>
    </row>
    <row r="12" spans="1:38" x14ac:dyDescent="0.25">
      <c r="B12" s="80" t="s">
        <v>47</v>
      </c>
      <c r="C12" s="65" t="s">
        <v>48</v>
      </c>
      <c r="D12" s="66">
        <v>121816</v>
      </c>
      <c r="E12" s="67">
        <f t="shared" si="1"/>
        <v>0.13459126862678589</v>
      </c>
      <c r="F12" s="66">
        <v>116473.086</v>
      </c>
      <c r="G12" s="67">
        <f t="shared" si="2"/>
        <v>0.14933913808675381</v>
      </c>
      <c r="H12" s="66">
        <v>121192.83</v>
      </c>
      <c r="I12" s="68">
        <f t="shared" si="3"/>
        <v>0.14321534569496097</v>
      </c>
      <c r="J12" s="69">
        <f t="shared" si="7"/>
        <v>0.99488433374926122</v>
      </c>
      <c r="K12" s="69">
        <f t="shared" si="8"/>
        <v>4.0522185528766762E-2</v>
      </c>
      <c r="L12" s="66">
        <v>496011</v>
      </c>
      <c r="M12" s="67">
        <f t="shared" si="4"/>
        <v>0.14443680214693555</v>
      </c>
      <c r="N12" s="66">
        <v>464428.33500000002</v>
      </c>
      <c r="O12" s="67">
        <f t="shared" si="5"/>
        <v>0.14922577257335956</v>
      </c>
      <c r="P12" s="66">
        <v>488237.28399999999</v>
      </c>
      <c r="Q12" s="68">
        <f t="shared" si="6"/>
        <v>0.14607352833400342</v>
      </c>
      <c r="R12" s="69">
        <f>IF(L12=0,"",(P12-L12)/ABS(L12)+1)</f>
        <v>0.98432753305874265</v>
      </c>
      <c r="S12" s="70">
        <f>IF(N12=0,"",(P12-N12)/ABS(N12))</f>
        <v>5.1265065470219348E-2</v>
      </c>
      <c r="T12" s="71">
        <v>1313421</v>
      </c>
      <c r="U12" s="71">
        <v>1247469.0090000001</v>
      </c>
      <c r="V12" s="71">
        <v>1289770.996</v>
      </c>
      <c r="W12" s="81" t="s">
        <v>49</v>
      </c>
      <c r="X12" s="82">
        <v>250692</v>
      </c>
      <c r="Y12" s="82">
        <v>140986.52883000002</v>
      </c>
      <c r="Z12" s="83">
        <v>264432.27750000003</v>
      </c>
      <c r="AA12" s="88">
        <v>1030857</v>
      </c>
      <c r="AB12" s="82">
        <v>627830.51286999998</v>
      </c>
      <c r="AC12" s="83">
        <v>1064451.2620599999</v>
      </c>
      <c r="AD12" s="85">
        <f>+AA12-AC12</f>
        <v>-33594.262059999863</v>
      </c>
      <c r="AE12" s="86">
        <f t="shared" si="12"/>
        <v>1.0325886733659468</v>
      </c>
      <c r="AF12" s="86">
        <f t="shared" si="11"/>
        <v>0.69544365913991113</v>
      </c>
      <c r="AG12" s="78"/>
      <c r="AH12" s="78"/>
      <c r="AI12" s="78"/>
      <c r="AJ12" s="78"/>
      <c r="AK12" s="79">
        <v>1914185.67771</v>
      </c>
      <c r="AL12" s="87"/>
    </row>
    <row r="13" spans="1:38" ht="15.75" thickBot="1" x14ac:dyDescent="0.3">
      <c r="B13" s="80">
        <v>4155951000</v>
      </c>
      <c r="C13" s="89" t="s">
        <v>50</v>
      </c>
      <c r="D13" s="66">
        <v>0</v>
      </c>
      <c r="E13" s="67"/>
      <c r="F13" s="66">
        <v>0</v>
      </c>
      <c r="G13" s="67">
        <f t="shared" si="2"/>
        <v>0</v>
      </c>
      <c r="H13" s="66">
        <v>0</v>
      </c>
      <c r="I13" s="68">
        <f t="shared" si="3"/>
        <v>0</v>
      </c>
      <c r="J13" s="69" t="str">
        <f t="shared" si="7"/>
        <v/>
      </c>
      <c r="K13" s="69" t="e">
        <f t="shared" si="8"/>
        <v>#DIV/0!</v>
      </c>
      <c r="L13" s="66">
        <v>0</v>
      </c>
      <c r="M13" s="67">
        <f t="shared" si="4"/>
        <v>0</v>
      </c>
      <c r="N13" s="66">
        <v>0</v>
      </c>
      <c r="O13" s="67">
        <f t="shared" si="5"/>
        <v>0</v>
      </c>
      <c r="P13" s="66">
        <v>0</v>
      </c>
      <c r="Q13" s="68">
        <f t="shared" si="6"/>
        <v>0</v>
      </c>
      <c r="R13" s="69" t="str">
        <f>IF(L13=0,"",(P13-L13)/ABS(L13)+1)</f>
        <v/>
      </c>
      <c r="S13" s="70" t="str">
        <f>IF(N13=0,"",(P13-N13)/ABS(N13))</f>
        <v/>
      </c>
      <c r="T13" s="71">
        <v>11280</v>
      </c>
      <c r="U13" s="71">
        <v>0</v>
      </c>
      <c r="V13" s="71">
        <v>11215.516</v>
      </c>
      <c r="W13" s="81" t="s">
        <v>51</v>
      </c>
      <c r="X13" s="90">
        <f t="shared" ref="X13:AC13" si="13">SUM(X9:X12)</f>
        <v>725735</v>
      </c>
      <c r="Y13" s="90">
        <f t="shared" si="13"/>
        <v>571214.60034000012</v>
      </c>
      <c r="Z13" s="91">
        <f t="shared" si="13"/>
        <v>711235.2855</v>
      </c>
      <c r="AA13" s="88">
        <f t="shared" si="13"/>
        <v>3180496</v>
      </c>
      <c r="AB13" s="90">
        <f t="shared" si="13"/>
        <v>2570952.2924199998</v>
      </c>
      <c r="AC13" s="92">
        <f t="shared" si="13"/>
        <v>3218889.0191700002</v>
      </c>
      <c r="AD13" s="85">
        <f>+AC13-AA13</f>
        <v>38393.019170000218</v>
      </c>
      <c r="AE13" s="86">
        <f t="shared" si="12"/>
        <v>1.0120713936348293</v>
      </c>
      <c r="AF13" s="86">
        <f t="shared" si="11"/>
        <v>0.25202207316733483</v>
      </c>
      <c r="AG13" s="78"/>
      <c r="AH13" s="78"/>
      <c r="AI13" s="78"/>
      <c r="AJ13" s="78"/>
      <c r="AK13" s="79">
        <v>7234765.9516400006</v>
      </c>
      <c r="AL13" s="87"/>
    </row>
    <row r="14" spans="1:38" ht="15.75" thickBot="1" x14ac:dyDescent="0.3">
      <c r="B14" s="80">
        <v>4155951500</v>
      </c>
      <c r="C14" s="89" t="s">
        <v>52</v>
      </c>
      <c r="D14" s="66">
        <v>17723</v>
      </c>
      <c r="E14" s="67">
        <f>+D14/$D$17</f>
        <v>1.9581672800555974E-2</v>
      </c>
      <c r="F14" s="66">
        <v>12092.731</v>
      </c>
      <c r="G14" s="67">
        <f t="shared" si="2"/>
        <v>1.5505024265047537E-2</v>
      </c>
      <c r="H14" s="66">
        <v>12787.558999999999</v>
      </c>
      <c r="I14" s="68">
        <f t="shared" si="3"/>
        <v>1.5111246125531596E-2</v>
      </c>
      <c r="J14" s="69">
        <f t="shared" si="7"/>
        <v>0.72152338768831459</v>
      </c>
      <c r="K14" s="69">
        <f t="shared" si="8"/>
        <v>5.7458319382114723E-2</v>
      </c>
      <c r="L14" s="66">
        <v>58666</v>
      </c>
      <c r="M14" s="67">
        <f t="shared" si="4"/>
        <v>1.7083349834483754E-2</v>
      </c>
      <c r="N14" s="66">
        <v>59681.120999999999</v>
      </c>
      <c r="O14" s="67">
        <f t="shared" si="5"/>
        <v>1.917618008657709E-2</v>
      </c>
      <c r="P14" s="66">
        <v>51192.499000000003</v>
      </c>
      <c r="Q14" s="68">
        <f t="shared" si="6"/>
        <v>1.53160547099163E-2</v>
      </c>
      <c r="R14" s="69">
        <f>IF(L14=0,"",(P14-L14)/ABS(L14)+1)</f>
        <v>0.87260933078784997</v>
      </c>
      <c r="S14" s="70">
        <f>IF(N14=0,"",(P14-N14)/ABS(N14))</f>
        <v>-0.14223295169003269</v>
      </c>
      <c r="T14" s="71">
        <v>374878</v>
      </c>
      <c r="U14" s="71">
        <v>158023.12700000001</v>
      </c>
      <c r="V14" s="71">
        <v>293210.766</v>
      </c>
      <c r="W14" s="73" t="s">
        <v>53</v>
      </c>
      <c r="X14" s="75">
        <f t="shared" ref="X14:AC14" si="14">X8-X13</f>
        <v>293473</v>
      </c>
      <c r="Y14" s="75">
        <f t="shared" si="14"/>
        <v>194939.30985999992</v>
      </c>
      <c r="Z14" s="74">
        <f>Z8-Z13</f>
        <v>253573.89162999997</v>
      </c>
      <c r="AA14" s="93">
        <f t="shared" si="14"/>
        <v>600532</v>
      </c>
      <c r="AB14" s="75">
        <f t="shared" si="14"/>
        <v>986077.85200000042</v>
      </c>
      <c r="AC14" s="94">
        <f t="shared" si="14"/>
        <v>684174.15823999979</v>
      </c>
      <c r="AD14" s="95">
        <f>+AC14-AA14</f>
        <v>83642.158239999786</v>
      </c>
      <c r="AE14" s="77">
        <f t="shared" si="12"/>
        <v>1.1392801020428549</v>
      </c>
      <c r="AF14" s="77">
        <f t="shared" si="11"/>
        <v>-0.3061661846959326</v>
      </c>
      <c r="AG14" s="78"/>
      <c r="AH14" s="78"/>
      <c r="AI14" s="78"/>
      <c r="AJ14" s="78"/>
      <c r="AK14" s="79">
        <v>2011126.3406399991</v>
      </c>
      <c r="AL14" s="87"/>
    </row>
    <row r="15" spans="1:38" ht="15.75" thickBot="1" x14ac:dyDescent="0.3">
      <c r="B15" s="80" t="s">
        <v>54</v>
      </c>
      <c r="C15" s="89" t="s">
        <v>55</v>
      </c>
      <c r="D15" s="66">
        <v>106784</v>
      </c>
      <c r="E15" s="96">
        <f t="shared" ref="E15:E34" si="15">+D15/$D$17</f>
        <v>0.11798281037829764</v>
      </c>
      <c r="F15" s="66">
        <v>76612.232999999993</v>
      </c>
      <c r="G15" s="67">
        <f t="shared" si="2"/>
        <v>9.8230460238012046E-2</v>
      </c>
      <c r="H15" s="66">
        <v>110647.531</v>
      </c>
      <c r="I15" s="68">
        <f t="shared" si="3"/>
        <v>0.13075381111620968</v>
      </c>
      <c r="J15" s="69">
        <f t="shared" si="7"/>
        <v>1.0361808042403358</v>
      </c>
      <c r="K15" s="69">
        <f t="shared" si="8"/>
        <v>0.44425409190200754</v>
      </c>
      <c r="L15" s="66">
        <v>423757</v>
      </c>
      <c r="M15" s="67">
        <f t="shared" si="4"/>
        <v>0.12339667057258603</v>
      </c>
      <c r="N15" s="66">
        <v>293063.35100000002</v>
      </c>
      <c r="O15" s="67">
        <f t="shared" si="5"/>
        <v>9.4164377300348504E-2</v>
      </c>
      <c r="P15" s="66">
        <v>408081.70699999999</v>
      </c>
      <c r="Q15" s="68">
        <f t="shared" si="6"/>
        <v>0.12209213991542069</v>
      </c>
      <c r="R15" s="69">
        <f>IF(L15=0,"",(P15-L15)/ABS(L15)+1)</f>
        <v>0.96300876917667433</v>
      </c>
      <c r="S15" s="70">
        <f>IF(N15=0,"",(P15-N15)/ABS(N15))</f>
        <v>0.39246925829357615</v>
      </c>
      <c r="T15" s="71">
        <v>18229</v>
      </c>
      <c r="U15" s="71">
        <v>0</v>
      </c>
      <c r="V15" s="71">
        <v>111976.204</v>
      </c>
      <c r="W15" s="89"/>
      <c r="X15" s="97"/>
      <c r="Y15" s="97"/>
      <c r="Z15" s="98"/>
      <c r="AA15" s="99"/>
      <c r="AB15" s="97"/>
      <c r="AC15" s="100"/>
      <c r="AD15" s="101"/>
      <c r="AE15" s="102"/>
      <c r="AF15" s="102"/>
      <c r="AG15" s="78"/>
      <c r="AH15" s="78"/>
      <c r="AI15" s="78"/>
      <c r="AJ15" s="78"/>
      <c r="AK15" s="79"/>
      <c r="AL15" s="87"/>
    </row>
    <row r="16" spans="1:38" ht="15.75" thickBot="1" x14ac:dyDescent="0.3">
      <c r="B16" s="9" t="s">
        <v>56</v>
      </c>
      <c r="C16" s="89" t="s">
        <v>57</v>
      </c>
      <c r="D16" s="66">
        <v>44710</v>
      </c>
      <c r="E16" s="67">
        <f t="shared" si="15"/>
        <v>4.9398893579690656E-2</v>
      </c>
      <c r="F16" s="66">
        <v>34009.942999999999</v>
      </c>
      <c r="G16" s="67"/>
      <c r="H16" s="66">
        <v>52439.563000000002</v>
      </c>
      <c r="I16" s="68">
        <f t="shared" si="3"/>
        <v>6.1968601138678622E-2</v>
      </c>
      <c r="J16" s="69">
        <f t="shared" si="7"/>
        <v>1.1728821963766496</v>
      </c>
      <c r="K16" s="69">
        <f t="shared" si="8"/>
        <v>0.54188917635057499</v>
      </c>
      <c r="L16" s="66">
        <v>171734</v>
      </c>
      <c r="M16" s="67">
        <f t="shared" si="4"/>
        <v>5.0008386467037688E-2</v>
      </c>
      <c r="N16" s="66">
        <v>135411.51199999999</v>
      </c>
      <c r="O16" s="67">
        <f t="shared" si="5"/>
        <v>4.3509161630990383E-2</v>
      </c>
      <c r="P16" s="66">
        <v>208563.50200000001</v>
      </c>
      <c r="Q16" s="68">
        <f t="shared" si="6"/>
        <v>6.2399180925387869E-2</v>
      </c>
      <c r="R16" s="69"/>
      <c r="S16" s="70"/>
      <c r="T16" s="71"/>
      <c r="U16" s="71"/>
      <c r="V16" s="71"/>
      <c r="W16" s="89"/>
      <c r="X16" s="97"/>
      <c r="Y16" s="97"/>
      <c r="Z16" s="98"/>
      <c r="AA16" s="99"/>
      <c r="AB16" s="97"/>
      <c r="AC16" s="100"/>
      <c r="AD16" s="103"/>
      <c r="AE16" s="102"/>
      <c r="AF16" s="102" t="str">
        <f t="shared" si="11"/>
        <v/>
      </c>
      <c r="AG16" s="78"/>
      <c r="AH16" s="78"/>
      <c r="AI16" s="78"/>
      <c r="AJ16" s="78"/>
      <c r="AK16" s="79"/>
      <c r="AL16" s="15"/>
    </row>
    <row r="17" spans="1:38" x14ac:dyDescent="0.25">
      <c r="C17" s="104" t="s">
        <v>58</v>
      </c>
      <c r="D17" s="105">
        <f>SUM(D7:D16)</f>
        <v>905081</v>
      </c>
      <c r="E17" s="106">
        <f t="shared" si="15"/>
        <v>1</v>
      </c>
      <c r="F17" s="105">
        <f>SUM(F7:F16)</f>
        <v>779923.3844000001</v>
      </c>
      <c r="G17" s="106">
        <f>+F18/$F$18</f>
        <v>1</v>
      </c>
      <c r="H17" s="105">
        <f>SUM(H7:H16)</f>
        <v>846227.9611999999</v>
      </c>
      <c r="I17" s="107">
        <f t="shared" si="3"/>
        <v>1</v>
      </c>
      <c r="J17" s="108">
        <f t="shared" si="7"/>
        <v>0.93497483783219393</v>
      </c>
      <c r="K17" s="108">
        <f t="shared" si="8"/>
        <v>8.5014218224791827E-2</v>
      </c>
      <c r="L17" s="105">
        <f>SUM(L7:L16)</f>
        <v>3434104</v>
      </c>
      <c r="M17" s="106">
        <f t="shared" si="4"/>
        <v>1</v>
      </c>
      <c r="N17" s="105">
        <f>SUM(N7:N16)</f>
        <v>3112252.8433999997</v>
      </c>
      <c r="O17" s="106">
        <f t="shared" si="5"/>
        <v>1</v>
      </c>
      <c r="P17" s="105">
        <f>SUM(P7:P16)</f>
        <v>3342407.6871999996</v>
      </c>
      <c r="Q17" s="107">
        <f t="shared" si="6"/>
        <v>1</v>
      </c>
      <c r="R17" s="108">
        <f t="shared" si="9"/>
        <v>0.97329832969531482</v>
      </c>
      <c r="S17" s="109">
        <f t="shared" si="10"/>
        <v>7.3951203639536514E-2</v>
      </c>
      <c r="T17" s="71">
        <v>11069008</v>
      </c>
      <c r="U17" s="71">
        <v>10166831.3474</v>
      </c>
      <c r="V17" s="71">
        <v>10301725.519300001</v>
      </c>
      <c r="W17" s="81" t="s">
        <v>59</v>
      </c>
      <c r="X17" s="82">
        <f t="shared" ref="X17:AC17" si="16">+X7+X14</f>
        <v>315727</v>
      </c>
      <c r="Y17" s="82">
        <f t="shared" si="16"/>
        <v>876628.30985999992</v>
      </c>
      <c r="Z17" s="83">
        <f t="shared" si="16"/>
        <v>331826.04525999998</v>
      </c>
      <c r="AA17" s="88">
        <f t="shared" si="16"/>
        <v>1084924</v>
      </c>
      <c r="AB17" s="110">
        <f t="shared" si="16"/>
        <v>1576602.8520000004</v>
      </c>
      <c r="AC17" s="110">
        <f t="shared" si="16"/>
        <v>1168566.1582399998</v>
      </c>
      <c r="AD17" s="85">
        <f>+AC17-AA17</f>
        <v>83642.158239999786</v>
      </c>
      <c r="AE17" s="86">
        <f t="shared" si="12"/>
        <v>1.0770949469640267</v>
      </c>
      <c r="AF17" s="86">
        <f t="shared" si="11"/>
        <v>-0.25880753243747179</v>
      </c>
      <c r="AG17" s="78"/>
      <c r="AH17" s="78"/>
      <c r="AI17" s="78"/>
      <c r="AJ17" s="78"/>
      <c r="AK17" s="79">
        <v>1994210.3406399991</v>
      </c>
      <c r="AL17" s="87"/>
    </row>
    <row r="18" spans="1:38" x14ac:dyDescent="0.25">
      <c r="B18" s="111"/>
      <c r="C18" s="112" t="s">
        <v>60</v>
      </c>
      <c r="D18" s="83">
        <v>70238</v>
      </c>
      <c r="E18" s="113">
        <f t="shared" si="15"/>
        <v>7.7604103942078118E-2</v>
      </c>
      <c r="F18" s="114">
        <v>37480.975079999997</v>
      </c>
      <c r="G18" s="113">
        <f t="shared" ref="G18:G34" si="17">+F18/$F$17</f>
        <v>4.8057252583642358E-2</v>
      </c>
      <c r="H18" s="83">
        <v>76902.480030000006</v>
      </c>
      <c r="I18" s="115">
        <f t="shared" si="3"/>
        <v>9.087678918213464E-2</v>
      </c>
      <c r="J18" s="116">
        <f t="shared" si="7"/>
        <v>1.0948842511176287</v>
      </c>
      <c r="K18" s="116">
        <f t="shared" si="8"/>
        <v>1.0517737296283811</v>
      </c>
      <c r="L18" s="117">
        <v>255773</v>
      </c>
      <c r="M18" s="113">
        <f t="shared" si="4"/>
        <v>7.4480272001080927E-2</v>
      </c>
      <c r="N18" s="83">
        <v>160616.79456000001</v>
      </c>
      <c r="O18" s="113">
        <f t="shared" si="5"/>
        <v>5.1607887482732026E-2</v>
      </c>
      <c r="P18" s="83">
        <v>236592.69962</v>
      </c>
      <c r="Q18" s="115">
        <f t="shared" si="6"/>
        <v>7.0785111141902127E-2</v>
      </c>
      <c r="R18" s="116">
        <f t="shared" si="9"/>
        <v>0.92501045700679896</v>
      </c>
      <c r="S18" s="118">
        <f t="shared" si="10"/>
        <v>0.47302590783318388</v>
      </c>
      <c r="T18" s="71">
        <v>766856</v>
      </c>
      <c r="U18" s="71">
        <v>473621.28441000002</v>
      </c>
      <c r="V18" s="71">
        <v>659343.52910000004</v>
      </c>
      <c r="W18" s="81" t="s">
        <v>61</v>
      </c>
      <c r="X18" s="82">
        <v>0</v>
      </c>
      <c r="Y18" s="82">
        <v>0</v>
      </c>
      <c r="Z18" s="83">
        <v>51265.703999999998</v>
      </c>
      <c r="AA18" s="88">
        <v>440621</v>
      </c>
      <c r="AB18" s="82">
        <v>261.94200000000001</v>
      </c>
      <c r="AC18" s="83">
        <v>479074.31900000002</v>
      </c>
      <c r="AD18" s="85">
        <f t="shared" ref="AD18:AD22" si="18">+AC18-AA18</f>
        <v>38453.319000000018</v>
      </c>
      <c r="AE18" s="86">
        <f t="shared" si="12"/>
        <v>1.0872707360747673</v>
      </c>
      <c r="AF18" s="86">
        <f t="shared" si="11"/>
        <v>1827.9328133708989</v>
      </c>
      <c r="AG18" s="78"/>
      <c r="AH18" s="78"/>
      <c r="AI18" s="78"/>
      <c r="AJ18" s="78"/>
      <c r="AK18" s="79">
        <v>13474.714</v>
      </c>
      <c r="AL18" s="87"/>
    </row>
    <row r="19" spans="1:38" ht="15.75" thickBot="1" x14ac:dyDescent="0.3">
      <c r="C19" s="119" t="s">
        <v>62</v>
      </c>
      <c r="D19" s="120">
        <f>+D17-D18</f>
        <v>834843</v>
      </c>
      <c r="E19" s="121">
        <f t="shared" si="15"/>
        <v>0.92239589605792194</v>
      </c>
      <c r="F19" s="120">
        <f>+F17-F18</f>
        <v>742442.40932000009</v>
      </c>
      <c r="G19" s="121">
        <f t="shared" si="17"/>
        <v>0.95194274741635765</v>
      </c>
      <c r="H19" s="120">
        <f>+H17-H18</f>
        <v>769325.48116999993</v>
      </c>
      <c r="I19" s="122">
        <f t="shared" si="3"/>
        <v>0.9091232108178654</v>
      </c>
      <c r="J19" s="123">
        <f t="shared" si="7"/>
        <v>0.92152114968922294</v>
      </c>
      <c r="K19" s="123">
        <f t="shared" si="8"/>
        <v>3.6208965857192785E-2</v>
      </c>
      <c r="L19" s="120">
        <f>+L17-L18</f>
        <v>3178331</v>
      </c>
      <c r="M19" s="121">
        <f t="shared" si="4"/>
        <v>0.92551972799891913</v>
      </c>
      <c r="N19" s="120">
        <f>+N17-N18</f>
        <v>2951636.0488399998</v>
      </c>
      <c r="O19" s="121">
        <f t="shared" si="5"/>
        <v>0.94839211251726807</v>
      </c>
      <c r="P19" s="120">
        <f>+P17-P18</f>
        <v>3105814.9875799995</v>
      </c>
      <c r="Q19" s="122">
        <f t="shared" si="6"/>
        <v>0.92921488885809789</v>
      </c>
      <c r="R19" s="124">
        <f t="shared" si="9"/>
        <v>0.97718424782692537</v>
      </c>
      <c r="S19" s="125">
        <f t="shared" si="10"/>
        <v>5.2235077831019293E-2</v>
      </c>
      <c r="T19" s="71">
        <v>10302152</v>
      </c>
      <c r="U19" s="71">
        <v>9693210.0629900005</v>
      </c>
      <c r="V19" s="71">
        <v>9642381.9901999999</v>
      </c>
      <c r="W19" s="81" t="s">
        <v>63</v>
      </c>
      <c r="X19" s="82">
        <v>50709</v>
      </c>
      <c r="Y19" s="82">
        <v>56939.274100000002</v>
      </c>
      <c r="Z19" s="83">
        <v>45308.644439999996</v>
      </c>
      <c r="AA19" s="88">
        <v>609247</v>
      </c>
      <c r="AB19" s="82">
        <v>591038.87230999989</v>
      </c>
      <c r="AC19" s="83">
        <v>651001.31271000009</v>
      </c>
      <c r="AD19" s="85">
        <f t="shared" si="18"/>
        <v>41754.312710000086</v>
      </c>
      <c r="AE19" s="86">
        <f t="shared" si="12"/>
        <v>1.0685342934967264</v>
      </c>
      <c r="AF19" s="86">
        <f t="shared" si="11"/>
        <v>0.10145261709377026</v>
      </c>
      <c r="AG19" s="78"/>
      <c r="AH19" s="78"/>
      <c r="AI19" s="78"/>
      <c r="AJ19" s="78"/>
      <c r="AK19" s="79">
        <v>1271793.6424499999</v>
      </c>
      <c r="AL19" s="87"/>
    </row>
    <row r="20" spans="1:38" x14ac:dyDescent="0.25">
      <c r="C20" s="81" t="s">
        <v>64</v>
      </c>
      <c r="D20" s="83">
        <v>191672</v>
      </c>
      <c r="E20" s="126">
        <f t="shared" si="15"/>
        <v>0.21177331089703574</v>
      </c>
      <c r="F20" s="83">
        <v>146665.14793000001</v>
      </c>
      <c r="G20" s="126">
        <f t="shared" si="17"/>
        <v>0.18805071224121639</v>
      </c>
      <c r="H20" s="83">
        <v>196269.57625000001</v>
      </c>
      <c r="I20" s="127">
        <f t="shared" si="3"/>
        <v>0.23193463847694004</v>
      </c>
      <c r="J20" s="128">
        <f t="shared" si="7"/>
        <v>1.023986686892191</v>
      </c>
      <c r="K20" s="128">
        <f t="shared" si="8"/>
        <v>0.33821551350205631</v>
      </c>
      <c r="L20" s="83">
        <v>736706</v>
      </c>
      <c r="M20" s="126">
        <f t="shared" si="4"/>
        <v>0.21452640921765911</v>
      </c>
      <c r="N20" s="83">
        <v>603205.88844000001</v>
      </c>
      <c r="O20" s="126">
        <f t="shared" si="5"/>
        <v>0.19381647918458453</v>
      </c>
      <c r="P20" s="83">
        <v>757522.92734000005</v>
      </c>
      <c r="Q20" s="127">
        <f t="shared" si="6"/>
        <v>0.2266398950196862</v>
      </c>
      <c r="R20" s="128">
        <f t="shared" si="9"/>
        <v>1.0282567636750617</v>
      </c>
      <c r="S20" s="129">
        <f t="shared" si="10"/>
        <v>0.25582813738621141</v>
      </c>
      <c r="T20" s="71">
        <v>2590902</v>
      </c>
      <c r="U20" s="71">
        <v>2426904.14591</v>
      </c>
      <c r="V20" s="71">
        <v>2475291.4580900003</v>
      </c>
      <c r="W20" s="81" t="s">
        <v>65</v>
      </c>
      <c r="X20" s="82">
        <v>73155</v>
      </c>
      <c r="Y20" s="83">
        <v>53534.247640000001</v>
      </c>
      <c r="Z20" s="83">
        <v>-6409.9240099999997</v>
      </c>
      <c r="AA20" s="82">
        <v>-156807</v>
      </c>
      <c r="AB20" s="82">
        <v>219146.49763999999</v>
      </c>
      <c r="AC20" s="83">
        <v>-203130.59865999999</v>
      </c>
      <c r="AD20" s="85">
        <f t="shared" si="18"/>
        <v>-46323.598659999989</v>
      </c>
      <c r="AE20" s="86">
        <f t="shared" si="12"/>
        <v>0.7045820743971889</v>
      </c>
      <c r="AF20" s="86">
        <f t="shared" si="11"/>
        <v>-1.9269169293031099</v>
      </c>
      <c r="AG20" s="78"/>
      <c r="AH20" s="78"/>
      <c r="AI20" s="78"/>
      <c r="AJ20" s="78"/>
      <c r="AK20" s="79">
        <v>531751.59172999999</v>
      </c>
      <c r="AL20" s="87"/>
    </row>
    <row r="21" spans="1:38" ht="15.75" thickBot="1" x14ac:dyDescent="0.3">
      <c r="C21" s="81" t="s">
        <v>66</v>
      </c>
      <c r="D21" s="83">
        <v>291261</v>
      </c>
      <c r="E21" s="126">
        <f t="shared" si="15"/>
        <v>0.32180655654024337</v>
      </c>
      <c r="F21" s="83">
        <v>297325.99641000002</v>
      </c>
      <c r="G21" s="126">
        <f t="shared" si="17"/>
        <v>0.3812246207218607</v>
      </c>
      <c r="H21" s="83">
        <v>281520.89672000002</v>
      </c>
      <c r="I21" s="127">
        <f t="shared" si="3"/>
        <v>0.33267737492482191</v>
      </c>
      <c r="J21" s="128">
        <f t="shared" si="7"/>
        <v>0.96655884831817518</v>
      </c>
      <c r="K21" s="128">
        <f t="shared" si="8"/>
        <v>-5.3157476577343869E-2</v>
      </c>
      <c r="L21" s="83">
        <v>1134446</v>
      </c>
      <c r="M21" s="126">
        <f t="shared" si="4"/>
        <v>0.33034701336942618</v>
      </c>
      <c r="N21" s="83">
        <v>1172686.2150000001</v>
      </c>
      <c r="O21" s="126">
        <f t="shared" si="5"/>
        <v>0.37679657598734551</v>
      </c>
      <c r="P21" s="83">
        <v>1091831.2435999999</v>
      </c>
      <c r="Q21" s="127">
        <f t="shared" si="6"/>
        <v>0.32666010426593062</v>
      </c>
      <c r="R21" s="128">
        <f t="shared" si="9"/>
        <v>0.96243562373175973</v>
      </c>
      <c r="S21" s="129">
        <f t="shared" si="10"/>
        <v>-6.8948513562939892E-2</v>
      </c>
      <c r="T21" s="71">
        <v>3499722</v>
      </c>
      <c r="U21" s="71">
        <v>3222370.52978</v>
      </c>
      <c r="V21" s="71">
        <v>3164019.7139599998</v>
      </c>
      <c r="W21" s="81" t="s">
        <v>67</v>
      </c>
      <c r="X21" s="82">
        <v>77500</v>
      </c>
      <c r="Y21" s="83">
        <v>0</v>
      </c>
      <c r="Z21" s="83">
        <v>59670.233</v>
      </c>
      <c r="AA21" s="88">
        <v>77500</v>
      </c>
      <c r="AB21" s="82">
        <v>0</v>
      </c>
      <c r="AC21" s="110">
        <v>59670.233</v>
      </c>
      <c r="AD21" s="85">
        <f t="shared" si="18"/>
        <v>-17829.767</v>
      </c>
      <c r="AE21" s="86">
        <f t="shared" si="12"/>
        <v>0.76993849032258066</v>
      </c>
      <c r="AF21" s="86" t="str">
        <f t="shared" si="11"/>
        <v/>
      </c>
      <c r="AG21" s="78">
        <v>162019</v>
      </c>
      <c r="AH21" s="78"/>
      <c r="AI21" s="78"/>
      <c r="AJ21" s="78"/>
      <c r="AK21" s="79">
        <v>40164</v>
      </c>
      <c r="AL21" s="87"/>
    </row>
    <row r="22" spans="1:38" ht="15.75" thickBot="1" x14ac:dyDescent="0.3">
      <c r="C22" s="112" t="s">
        <v>68</v>
      </c>
      <c r="D22" s="117">
        <f>SUM(D20:D21)</f>
        <v>482933</v>
      </c>
      <c r="E22" s="113">
        <f t="shared" si="15"/>
        <v>0.53357986743727914</v>
      </c>
      <c r="F22" s="117">
        <f>SUM(F20:F21)</f>
        <v>443991.14434</v>
      </c>
      <c r="G22" s="113">
        <f t="shared" si="17"/>
        <v>0.56927533296307709</v>
      </c>
      <c r="H22" s="117">
        <f>SUM(H20:H21)</f>
        <v>477790.47297</v>
      </c>
      <c r="I22" s="115">
        <f t="shared" si="3"/>
        <v>0.56461201340176193</v>
      </c>
      <c r="J22" s="116">
        <f t="shared" si="7"/>
        <v>0.9893514689822398</v>
      </c>
      <c r="K22" s="116">
        <f t="shared" si="8"/>
        <v>7.6126132380958292E-2</v>
      </c>
      <c r="L22" s="117">
        <f>SUM(L20:L21)</f>
        <v>1871152</v>
      </c>
      <c r="M22" s="113">
        <f t="shared" si="4"/>
        <v>0.54487342258708527</v>
      </c>
      <c r="N22" s="117">
        <f>SUM(N20:N21)</f>
        <v>1775892.1034400002</v>
      </c>
      <c r="O22" s="113">
        <f t="shared" si="5"/>
        <v>0.57061305517193006</v>
      </c>
      <c r="P22" s="117">
        <f>SUM(P20:P21)</f>
        <v>1849354.1709400001</v>
      </c>
      <c r="Q22" s="115">
        <f t="shared" si="6"/>
        <v>0.55329999928561691</v>
      </c>
      <c r="R22" s="116">
        <f t="shared" si="9"/>
        <v>0.98835058345874627</v>
      </c>
      <c r="S22" s="118">
        <f t="shared" si="10"/>
        <v>4.136628985381479E-2</v>
      </c>
      <c r="T22" s="71">
        <v>6090624</v>
      </c>
      <c r="U22" s="71">
        <v>5649274.6756899999</v>
      </c>
      <c r="V22" s="71">
        <v>5639311.1720500002</v>
      </c>
      <c r="W22" s="73" t="s">
        <v>69</v>
      </c>
      <c r="X22" s="75">
        <f>X17-X18-X19-X20-X21</f>
        <v>114363</v>
      </c>
      <c r="Y22" s="75">
        <f>Y17-Y18-Y19-Y20-Y21</f>
        <v>766154.78811999992</v>
      </c>
      <c r="Z22" s="74">
        <f>Z17-Z18-Z19-Z20-Z21</f>
        <v>181991.38782999999</v>
      </c>
      <c r="AA22" s="130">
        <f t="shared" ref="AA22:AC22" si="19">AA17-AA18-AA19-AA20-AA21</f>
        <v>114363</v>
      </c>
      <c r="AB22" s="131">
        <f t="shared" si="19"/>
        <v>766155.54005000053</v>
      </c>
      <c r="AC22" s="132">
        <f t="shared" si="19"/>
        <v>181950.89218999966</v>
      </c>
      <c r="AD22" s="76">
        <f t="shared" si="18"/>
        <v>67587.892189999664</v>
      </c>
      <c r="AE22" s="77">
        <f t="shared" ref="AE22" si="20">IF(X22=0,"",(Z22-X22)/ABS(X22)+1)</f>
        <v>1.5913484940933693</v>
      </c>
      <c r="AF22" s="77">
        <f t="shared" si="11"/>
        <v>-0.76251442079486198</v>
      </c>
      <c r="AG22" s="78"/>
      <c r="AH22" s="78"/>
      <c r="AI22" s="78"/>
      <c r="AJ22" s="78">
        <v>1957.327520624036</v>
      </c>
      <c r="AK22" s="79">
        <v>137026.3924599993</v>
      </c>
      <c r="AL22" s="87"/>
    </row>
    <row r="23" spans="1:38" x14ac:dyDescent="0.25">
      <c r="A23" s="9"/>
      <c r="C23" s="81" t="s">
        <v>70</v>
      </c>
      <c r="D23" s="83">
        <v>51864</v>
      </c>
      <c r="E23" s="126">
        <f t="shared" si="15"/>
        <v>5.7303158501835746E-2</v>
      </c>
      <c r="F23" s="83">
        <v>40230.976520000004</v>
      </c>
      <c r="G23" s="126">
        <f t="shared" si="17"/>
        <v>5.1583241796179687E-2</v>
      </c>
      <c r="H23" s="83">
        <v>51919.392780000002</v>
      </c>
      <c r="I23" s="127">
        <f t="shared" si="3"/>
        <v>6.1353908356295998E-2</v>
      </c>
      <c r="J23" s="133">
        <f t="shared" si="7"/>
        <v>1.0010680391022675</v>
      </c>
      <c r="K23" s="128">
        <f t="shared" si="8"/>
        <v>0.29053275040911181</v>
      </c>
      <c r="L23" s="83">
        <v>204327</v>
      </c>
      <c r="M23" s="126">
        <f t="shared" si="4"/>
        <v>5.9499362861462554E-2</v>
      </c>
      <c r="N23" s="83">
        <v>163099.67439</v>
      </c>
      <c r="O23" s="126">
        <f t="shared" si="5"/>
        <v>5.2405663227484037E-2</v>
      </c>
      <c r="P23" s="83">
        <v>190565.89796</v>
      </c>
      <c r="Q23" s="127">
        <f t="shared" si="6"/>
        <v>5.7014558304717397E-2</v>
      </c>
      <c r="R23" s="128">
        <f t="shared" si="9"/>
        <v>0.9326515730177608</v>
      </c>
      <c r="S23" s="129">
        <f t="shared" si="10"/>
        <v>0.16840146169957049</v>
      </c>
      <c r="T23" s="71">
        <v>494757</v>
      </c>
      <c r="U23" s="71">
        <v>469182.92499000003</v>
      </c>
      <c r="V23" s="72"/>
      <c r="W23" s="134"/>
      <c r="X23" s="135" t="s">
        <v>71</v>
      </c>
      <c r="Y23" s="48" t="s">
        <v>71</v>
      </c>
      <c r="Z23" s="135" t="s">
        <v>71</v>
      </c>
      <c r="AA23" s="135" t="s">
        <v>71</v>
      </c>
      <c r="AB23" s="136" t="s">
        <v>71</v>
      </c>
      <c r="AC23" s="136" t="s">
        <v>71</v>
      </c>
      <c r="AD23" s="48"/>
      <c r="AE23" s="48"/>
      <c r="AF23" s="48"/>
      <c r="AG23" s="137"/>
      <c r="AH23" s="137"/>
      <c r="AI23" s="138"/>
      <c r="AJ23" s="139"/>
      <c r="AK23" s="15"/>
      <c r="AL23" s="15"/>
    </row>
    <row r="24" spans="1:38" x14ac:dyDescent="0.25">
      <c r="C24" s="81" t="s">
        <v>72</v>
      </c>
      <c r="D24" s="83">
        <v>170532</v>
      </c>
      <c r="E24" s="126">
        <f t="shared" si="15"/>
        <v>0.18841628539324104</v>
      </c>
      <c r="F24" s="83">
        <v>188944.57321</v>
      </c>
      <c r="G24" s="126">
        <f t="shared" si="17"/>
        <v>0.24226042838214967</v>
      </c>
      <c r="H24" s="83">
        <v>166750.83064</v>
      </c>
      <c r="I24" s="127">
        <f t="shared" si="3"/>
        <v>0.19705190360708211</v>
      </c>
      <c r="J24" s="128">
        <f t="shared" si="7"/>
        <v>0.97782721506813974</v>
      </c>
      <c r="K24" s="128">
        <f t="shared" si="8"/>
        <v>-0.11746165657445506</v>
      </c>
      <c r="L24" s="83">
        <v>737015</v>
      </c>
      <c r="M24" s="126">
        <f t="shared" si="4"/>
        <v>0.21461638902025099</v>
      </c>
      <c r="N24" s="83">
        <v>623531.9702000001</v>
      </c>
      <c r="O24" s="126">
        <f t="shared" si="5"/>
        <v>0.20034746583083488</v>
      </c>
      <c r="P24" s="83">
        <v>703628.36117999989</v>
      </c>
      <c r="Q24" s="127">
        <f t="shared" si="6"/>
        <v>0.21051542092683587</v>
      </c>
      <c r="R24" s="128">
        <f t="shared" si="9"/>
        <v>0.95470019087806879</v>
      </c>
      <c r="S24" s="129">
        <f t="shared" si="10"/>
        <v>0.12845594902585122</v>
      </c>
      <c r="T24" s="71">
        <v>2173047</v>
      </c>
      <c r="U24" s="71">
        <v>2274632.2021900001</v>
      </c>
      <c r="V24" s="72"/>
      <c r="W24" s="48"/>
      <c r="X24" s="136"/>
      <c r="Y24" s="48"/>
      <c r="Z24" s="136"/>
      <c r="AA24" s="136"/>
      <c r="AB24" s="136"/>
      <c r="AC24" s="136"/>
      <c r="AD24" s="48"/>
      <c r="AE24" s="48"/>
      <c r="AF24" s="48"/>
      <c r="AG24" s="137"/>
      <c r="AH24" s="137"/>
      <c r="AI24" s="138"/>
      <c r="AJ24" s="139"/>
      <c r="AK24" s="20"/>
    </row>
    <row r="25" spans="1:38" x14ac:dyDescent="0.25">
      <c r="C25" s="112" t="s">
        <v>73</v>
      </c>
      <c r="D25" s="117">
        <f>SUM(D23:D24)</f>
        <v>222396</v>
      </c>
      <c r="E25" s="113">
        <f t="shared" si="15"/>
        <v>0.2457194438950768</v>
      </c>
      <c r="F25" s="117">
        <f>SUM(F23:F24)</f>
        <v>229175.54973</v>
      </c>
      <c r="G25" s="113">
        <f t="shared" si="17"/>
        <v>0.29384367017832935</v>
      </c>
      <c r="H25" s="117">
        <f>SUM(H23:H24)</f>
        <v>218670.22341999999</v>
      </c>
      <c r="I25" s="115">
        <f t="shared" si="3"/>
        <v>0.25840581196337808</v>
      </c>
      <c r="J25" s="116">
        <f t="shared" si="7"/>
        <v>0.98324710615298838</v>
      </c>
      <c r="K25" s="116">
        <f t="shared" si="8"/>
        <v>-4.5839647040780349E-2</v>
      </c>
      <c r="L25" s="117">
        <f>SUM(L23:L24)</f>
        <v>941342</v>
      </c>
      <c r="M25" s="113">
        <f t="shared" si="4"/>
        <v>0.27411575188171355</v>
      </c>
      <c r="N25" s="117">
        <f>SUM(N23:N24)</f>
        <v>786631.64459000016</v>
      </c>
      <c r="O25" s="113">
        <f t="shared" si="5"/>
        <v>0.25275312905831893</v>
      </c>
      <c r="P25" s="117">
        <f>SUM(P23:P24)</f>
        <v>894194.25913999986</v>
      </c>
      <c r="Q25" s="115">
        <f t="shared" si="6"/>
        <v>0.26752997923155325</v>
      </c>
      <c r="R25" s="116">
        <f t="shared" si="9"/>
        <v>0.94991433415273074</v>
      </c>
      <c r="S25" s="118">
        <f t="shared" si="10"/>
        <v>0.13673822466939067</v>
      </c>
      <c r="T25" s="71">
        <v>2667804</v>
      </c>
      <c r="U25" s="71">
        <v>2743815.1271800003</v>
      </c>
      <c r="V25" s="72"/>
      <c r="W25" s="48" t="s">
        <v>74</v>
      </c>
      <c r="X25" s="136"/>
      <c r="Y25" s="136"/>
      <c r="Z25" s="136"/>
      <c r="AA25" s="136"/>
      <c r="AB25" s="136"/>
      <c r="AC25" s="136"/>
      <c r="AD25" s="48"/>
      <c r="AE25" s="48"/>
      <c r="AF25" s="48"/>
      <c r="AJ25" s="20"/>
      <c r="AK25" s="20"/>
    </row>
    <row r="26" spans="1:38" ht="15.75" thickBot="1" x14ac:dyDescent="0.3">
      <c r="C26" s="112" t="s">
        <v>75</v>
      </c>
      <c r="D26" s="117">
        <f>D22+D25</f>
        <v>705329</v>
      </c>
      <c r="E26" s="113">
        <f t="shared" si="15"/>
        <v>0.77929931133235586</v>
      </c>
      <c r="F26" s="117">
        <f>F22+F25</f>
        <v>673166.69406999997</v>
      </c>
      <c r="G26" s="113">
        <f t="shared" si="17"/>
        <v>0.86311900314140633</v>
      </c>
      <c r="H26" s="117">
        <f>H22+H25</f>
        <v>696460.69638999994</v>
      </c>
      <c r="I26" s="115">
        <f t="shared" si="3"/>
        <v>0.8230178253651399</v>
      </c>
      <c r="J26" s="116">
        <f t="shared" si="7"/>
        <v>0.98742671347697308</v>
      </c>
      <c r="K26" s="116">
        <f t="shared" si="8"/>
        <v>3.4603616793877981E-2</v>
      </c>
      <c r="L26" s="117">
        <f>L22+L25</f>
        <v>2812494</v>
      </c>
      <c r="M26" s="113">
        <f t="shared" si="4"/>
        <v>0.81898917446879882</v>
      </c>
      <c r="N26" s="117">
        <f>N22+N25</f>
        <v>2562523.7480300004</v>
      </c>
      <c r="O26" s="113">
        <f t="shared" si="5"/>
        <v>0.82336618423024899</v>
      </c>
      <c r="P26" s="117">
        <f>P22+P25</f>
        <v>2743548.4300799998</v>
      </c>
      <c r="Q26" s="115">
        <f t="shared" si="6"/>
        <v>0.8208299785171701</v>
      </c>
      <c r="R26" s="116">
        <f t="shared" si="9"/>
        <v>0.97548596728739678</v>
      </c>
      <c r="S26" s="118">
        <f t="shared" si="10"/>
        <v>7.0643123674138206E-2</v>
      </c>
      <c r="T26" s="71">
        <v>8758428</v>
      </c>
      <c r="U26" s="71">
        <v>8393089.8028699998</v>
      </c>
      <c r="V26" s="72"/>
      <c r="W26" s="20"/>
      <c r="X26" s="140"/>
      <c r="Y26" s="140"/>
      <c r="Z26" s="140"/>
      <c r="AA26" s="136"/>
      <c r="AB26" s="20"/>
      <c r="AC26" s="20"/>
      <c r="AD26" s="20"/>
      <c r="AE26" s="20"/>
      <c r="AF26" s="20"/>
      <c r="AG26" s="20"/>
      <c r="AH26" s="20"/>
      <c r="AI26" s="20"/>
      <c r="AJ26" s="20"/>
    </row>
    <row r="27" spans="1:38" ht="15.75" thickBot="1" x14ac:dyDescent="0.3">
      <c r="C27" s="73" t="s">
        <v>76</v>
      </c>
      <c r="D27" s="141">
        <f>D19-D26</f>
        <v>129514</v>
      </c>
      <c r="E27" s="142">
        <f t="shared" si="15"/>
        <v>0.143096584725566</v>
      </c>
      <c r="F27" s="141">
        <f>F19-F26</f>
        <v>69275.715250000125</v>
      </c>
      <c r="G27" s="142">
        <f t="shared" si="17"/>
        <v>8.8823744274951266E-2</v>
      </c>
      <c r="H27" s="141">
        <f>H19-H26</f>
        <v>72864.784779999987</v>
      </c>
      <c r="I27" s="143">
        <f t="shared" si="3"/>
        <v>8.6105385452725447E-2</v>
      </c>
      <c r="J27" s="144">
        <f t="shared" si="7"/>
        <v>0.56260160893802968</v>
      </c>
      <c r="K27" s="144">
        <f t="shared" si="8"/>
        <v>5.1808480317348381E-2</v>
      </c>
      <c r="L27" s="141">
        <f>L19-L26</f>
        <v>365837</v>
      </c>
      <c r="M27" s="142">
        <f t="shared" si="4"/>
        <v>0.10653055353012023</v>
      </c>
      <c r="N27" s="141">
        <f>N19-N26</f>
        <v>389112.30080999946</v>
      </c>
      <c r="O27" s="142">
        <f t="shared" si="5"/>
        <v>0.12502592828701903</v>
      </c>
      <c r="P27" s="141">
        <f>+P19-P26</f>
        <v>362266.55749999965</v>
      </c>
      <c r="Q27" s="145">
        <f t="shared" si="6"/>
        <v>0.10838491034092775</v>
      </c>
      <c r="R27" s="146">
        <f t="shared" si="9"/>
        <v>0.99024034611042522</v>
      </c>
      <c r="S27" s="147">
        <f t="shared" si="10"/>
        <v>-6.899227614782702E-2</v>
      </c>
      <c r="T27" s="71">
        <v>1543724</v>
      </c>
      <c r="U27" s="71">
        <v>1300120.2601200007</v>
      </c>
      <c r="V27" s="72"/>
      <c r="W27" s="20"/>
      <c r="X27" s="20"/>
      <c r="Y27" s="140"/>
      <c r="Z27" s="140"/>
      <c r="AA27" s="136"/>
      <c r="AB27" s="20"/>
      <c r="AC27" s="20"/>
      <c r="AD27" s="20"/>
      <c r="AE27" s="20"/>
      <c r="AF27" s="20"/>
      <c r="AG27" s="20"/>
      <c r="AH27" s="20"/>
      <c r="AI27" s="20"/>
      <c r="AJ27" s="20"/>
    </row>
    <row r="28" spans="1:38" x14ac:dyDescent="0.25">
      <c r="C28" s="81" t="s">
        <v>77</v>
      </c>
      <c r="D28" s="83">
        <v>640</v>
      </c>
      <c r="E28" s="126">
        <f t="shared" si="15"/>
        <v>7.0711903133531691E-4</v>
      </c>
      <c r="F28" s="83">
        <v>39174.886570000002</v>
      </c>
      <c r="G28" s="126">
        <f t="shared" si="17"/>
        <v>5.0229147315716767E-2</v>
      </c>
      <c r="H28" s="83">
        <v>4818.5799400000005</v>
      </c>
      <c r="I28" s="127">
        <f t="shared" si="3"/>
        <v>5.6941866269308531E-3</v>
      </c>
      <c r="J28" s="128">
        <f t="shared" si="7"/>
        <v>7.5290311562500012</v>
      </c>
      <c r="K28" s="128">
        <f t="shared" si="8"/>
        <v>-0.87699824142719907</v>
      </c>
      <c r="L28" s="83">
        <v>2560</v>
      </c>
      <c r="M28" s="126">
        <f t="shared" si="4"/>
        <v>7.454637366835716E-4</v>
      </c>
      <c r="N28" s="83">
        <v>160040.27511000002</v>
      </c>
      <c r="O28" s="126">
        <f t="shared" si="5"/>
        <v>5.1422645640565319E-2</v>
      </c>
      <c r="P28" s="83">
        <v>8151.9211100000002</v>
      </c>
      <c r="Q28" s="127">
        <f t="shared" si="6"/>
        <v>2.4389368003246261E-3</v>
      </c>
      <c r="R28" s="148">
        <f t="shared" si="9"/>
        <v>3.1843441835937503</v>
      </c>
      <c r="S28" s="129">
        <f t="shared" si="10"/>
        <v>-0.94906331481624262</v>
      </c>
      <c r="T28" s="71">
        <v>190492</v>
      </c>
      <c r="U28" s="71">
        <v>166790.61462999997</v>
      </c>
      <c r="V28" s="72"/>
      <c r="Z28" s="149"/>
      <c r="AA28" s="150"/>
      <c r="AF28" s="20"/>
      <c r="AG28" s="20"/>
    </row>
    <row r="29" spans="1:38" ht="15.75" thickBot="1" x14ac:dyDescent="0.3">
      <c r="C29" s="81" t="s">
        <v>78</v>
      </c>
      <c r="D29" s="83">
        <v>15528</v>
      </c>
      <c r="E29" s="126">
        <f t="shared" si="15"/>
        <v>1.7156475497773129E-2</v>
      </c>
      <c r="F29" s="83">
        <v>12021.37924</v>
      </c>
      <c r="G29" s="126">
        <f t="shared" si="17"/>
        <v>1.541353866347798E-2</v>
      </c>
      <c r="H29" s="83">
        <v>13039.82152</v>
      </c>
      <c r="I29" s="127">
        <f t="shared" si="3"/>
        <v>1.5409348447324741E-2</v>
      </c>
      <c r="J29" s="128">
        <f t="shared" si="7"/>
        <v>0.83976181865018029</v>
      </c>
      <c r="K29" s="128">
        <f t="shared" si="8"/>
        <v>8.4719253894863344E-2</v>
      </c>
      <c r="L29" s="83">
        <v>62121</v>
      </c>
      <c r="M29" s="126">
        <f t="shared" si="4"/>
        <v>1.8089434682234434E-2</v>
      </c>
      <c r="N29" s="83">
        <v>125193.46759</v>
      </c>
      <c r="O29" s="126">
        <f t="shared" si="5"/>
        <v>4.0225995087607221E-2</v>
      </c>
      <c r="P29" s="83">
        <v>64285.116529999999</v>
      </c>
      <c r="Q29" s="127">
        <f t="shared" si="6"/>
        <v>1.9233176364506541E-2</v>
      </c>
      <c r="R29" s="148">
        <f t="shared" si="9"/>
        <v>1.0348371167560084</v>
      </c>
      <c r="S29" s="129">
        <f t="shared" si="10"/>
        <v>-0.48651381124349607</v>
      </c>
      <c r="T29" s="71">
        <v>312197</v>
      </c>
      <c r="U29" s="71">
        <v>795602.53936000005</v>
      </c>
      <c r="V29" s="71"/>
      <c r="W29" s="20"/>
      <c r="X29" s="20"/>
      <c r="Y29" s="20"/>
      <c r="Z29" s="20"/>
      <c r="AA29" s="136"/>
      <c r="AB29" s="20"/>
      <c r="AC29" s="20"/>
      <c r="AD29" s="20"/>
      <c r="AE29" s="20"/>
      <c r="AF29" s="20"/>
      <c r="AG29" s="20"/>
    </row>
    <row r="30" spans="1:38" ht="15.75" thickBot="1" x14ac:dyDescent="0.3">
      <c r="C30" s="73" t="s">
        <v>79</v>
      </c>
      <c r="D30" s="141">
        <f>D27+D28-D29</f>
        <v>114626</v>
      </c>
      <c r="E30" s="142">
        <f t="shared" si="15"/>
        <v>0.12664722825912819</v>
      </c>
      <c r="F30" s="141">
        <f>F27+F28-F29</f>
        <v>96429.222580000132</v>
      </c>
      <c r="G30" s="142">
        <f t="shared" si="17"/>
        <v>0.12363935292719007</v>
      </c>
      <c r="H30" s="141">
        <f>H27+H28-H29</f>
        <v>64643.543199999986</v>
      </c>
      <c r="I30" s="143">
        <f t="shared" si="3"/>
        <v>7.6390223632331555E-2</v>
      </c>
      <c r="J30" s="144">
        <f t="shared" si="7"/>
        <v>0.56395183640709767</v>
      </c>
      <c r="K30" s="144">
        <f t="shared" si="8"/>
        <v>-0.32962704177802471</v>
      </c>
      <c r="L30" s="141">
        <f>L27+L28-L29</f>
        <v>306276</v>
      </c>
      <c r="M30" s="142">
        <f t="shared" si="4"/>
        <v>8.9186582584569365E-2</v>
      </c>
      <c r="N30" s="141">
        <f>N27+N28-N29</f>
        <v>423959.10832999949</v>
      </c>
      <c r="O30" s="142">
        <f t="shared" si="5"/>
        <v>0.13622257883997715</v>
      </c>
      <c r="P30" s="141">
        <f>P27+P28-P29</f>
        <v>306133.36207999964</v>
      </c>
      <c r="Q30" s="143">
        <f t="shared" si="6"/>
        <v>9.1590670776745833E-2</v>
      </c>
      <c r="R30" s="144">
        <f t="shared" si="9"/>
        <v>0.99953428306494674</v>
      </c>
      <c r="S30" s="147">
        <f t="shared" si="10"/>
        <v>-0.27791771407889448</v>
      </c>
      <c r="T30" s="71">
        <v>1422019</v>
      </c>
      <c r="U30" s="71">
        <v>671308.3353900006</v>
      </c>
      <c r="V30" s="71">
        <v>1319051.3092399999</v>
      </c>
      <c r="W30" s="20"/>
      <c r="X30" s="20"/>
      <c r="Y30" s="20"/>
      <c r="Z30" s="20"/>
      <c r="AA30" s="136"/>
      <c r="AB30" s="20"/>
      <c r="AC30" s="20"/>
      <c r="AD30" s="20"/>
      <c r="AE30" s="20"/>
      <c r="AF30" s="20"/>
      <c r="AG30" s="20"/>
    </row>
    <row r="31" spans="1:38" ht="15.75" thickBot="1" x14ac:dyDescent="0.3">
      <c r="C31" s="81" t="s">
        <v>63</v>
      </c>
      <c r="D31" s="83">
        <v>41267</v>
      </c>
      <c r="E31" s="126">
        <f t="shared" si="15"/>
        <v>4.5594814165803944E-2</v>
      </c>
      <c r="F31" s="83">
        <v>31777.506000000001</v>
      </c>
      <c r="G31" s="126">
        <f t="shared" si="17"/>
        <v>4.0744394431058935E-2</v>
      </c>
      <c r="H31" s="83">
        <v>23160.721000000001</v>
      </c>
      <c r="I31" s="127">
        <f t="shared" si="3"/>
        <v>2.7369363885301978E-2</v>
      </c>
      <c r="J31" s="128">
        <f t="shared" si="7"/>
        <v>0.56124072503453126</v>
      </c>
      <c r="K31" s="128">
        <f t="shared" si="8"/>
        <v>-0.27115988901079902</v>
      </c>
      <c r="L31" s="83">
        <v>110266</v>
      </c>
      <c r="M31" s="126">
        <f t="shared" si="4"/>
        <v>3.2109103277011997E-2</v>
      </c>
      <c r="N31" s="83">
        <v>133893.234</v>
      </c>
      <c r="O31" s="126">
        <f t="shared" si="5"/>
        <v>4.3021322732161929E-2</v>
      </c>
      <c r="P31" s="83">
        <v>105709.954</v>
      </c>
      <c r="Q31" s="127">
        <f t="shared" si="6"/>
        <v>3.1626888127628532E-2</v>
      </c>
      <c r="R31" s="148">
        <f t="shared" si="9"/>
        <v>0.95868131609018192</v>
      </c>
      <c r="S31" s="129">
        <f t="shared" si="10"/>
        <v>-0.2104906958928186</v>
      </c>
      <c r="T31" s="71">
        <v>532650</v>
      </c>
      <c r="U31" s="71">
        <v>248089.64799999999</v>
      </c>
      <c r="V31" s="71">
        <v>315500.18699999998</v>
      </c>
      <c r="W31" s="20"/>
      <c r="X31" s="20"/>
      <c r="Y31" s="20"/>
      <c r="Z31" s="20"/>
      <c r="AA31" s="136"/>
      <c r="AB31" s="20"/>
      <c r="AC31" s="20"/>
      <c r="AD31" s="20"/>
      <c r="AE31" s="20"/>
      <c r="AF31" s="20"/>
      <c r="AG31" s="20"/>
    </row>
    <row r="32" spans="1:38" ht="15.75" thickBot="1" x14ac:dyDescent="0.3">
      <c r="C32" s="73" t="s">
        <v>80</v>
      </c>
      <c r="D32" s="141">
        <f>+D30-D31</f>
        <v>73359</v>
      </c>
      <c r="E32" s="142">
        <f t="shared" si="15"/>
        <v>8.105241409332424E-2</v>
      </c>
      <c r="F32" s="141">
        <f>+F30-F31</f>
        <v>64651.716580000131</v>
      </c>
      <c r="G32" s="142">
        <f t="shared" si="17"/>
        <v>8.2894958496131127E-2</v>
      </c>
      <c r="H32" s="141">
        <f>H30-H31</f>
        <v>41482.822199999981</v>
      </c>
      <c r="I32" s="143">
        <f t="shared" si="3"/>
        <v>4.9020859747029577E-2</v>
      </c>
      <c r="J32" s="144">
        <f t="shared" si="7"/>
        <v>0.56547693125587828</v>
      </c>
      <c r="K32" s="144">
        <f t="shared" si="8"/>
        <v>-0.35836472108719536</v>
      </c>
      <c r="L32" s="141">
        <f>+L30-L31</f>
        <v>196010</v>
      </c>
      <c r="M32" s="142">
        <f t="shared" si="4"/>
        <v>5.7077479307557369E-2</v>
      </c>
      <c r="N32" s="141">
        <f>N30-N31</f>
        <v>290065.8743299995</v>
      </c>
      <c r="O32" s="142">
        <f t="shared" si="5"/>
        <v>9.3201256107815211E-2</v>
      </c>
      <c r="P32" s="141">
        <f>+P30-P31</f>
        <v>200423.40807999964</v>
      </c>
      <c r="Q32" s="143">
        <f t="shared" si="6"/>
        <v>5.9963782649117309E-2</v>
      </c>
      <c r="R32" s="144">
        <f t="shared" si="9"/>
        <v>1.0225162393755403</v>
      </c>
      <c r="S32" s="147">
        <f t="shared" si="10"/>
        <v>-0.30904175286754426</v>
      </c>
      <c r="T32" s="71">
        <v>889369</v>
      </c>
      <c r="U32" s="71">
        <v>423218.68739000062</v>
      </c>
      <c r="V32" s="71">
        <v>1003551.1222399999</v>
      </c>
      <c r="W32" s="20"/>
      <c r="X32" s="20"/>
      <c r="Y32" s="20"/>
      <c r="Z32" s="20"/>
      <c r="AA32" s="136"/>
      <c r="AB32" s="20"/>
      <c r="AC32" s="20"/>
      <c r="AD32" s="20"/>
      <c r="AE32" s="20"/>
      <c r="AF32" s="20"/>
      <c r="AG32" s="20"/>
    </row>
    <row r="33" spans="1:35" ht="15.75" thickBot="1" x14ac:dyDescent="0.3">
      <c r="B33" s="151" t="s">
        <v>81</v>
      </c>
      <c r="C33" s="73" t="s">
        <v>82</v>
      </c>
      <c r="D33" s="141">
        <v>171817</v>
      </c>
      <c r="E33" s="142">
        <f t="shared" si="15"/>
        <v>0.18983604782334398</v>
      </c>
      <c r="F33" s="141">
        <v>93924.919600000139</v>
      </c>
      <c r="G33" s="142">
        <f t="shared" si="17"/>
        <v>0.12042839268405468</v>
      </c>
      <c r="H33" s="141">
        <v>112221.09826999999</v>
      </c>
      <c r="I33" s="143">
        <f t="shared" si="3"/>
        <v>0.13261331865099804</v>
      </c>
      <c r="J33" s="144">
        <f t="shared" si="7"/>
        <v>0.65314315969898207</v>
      </c>
      <c r="K33" s="144">
        <f t="shared" si="8"/>
        <v>0.19479578740038464</v>
      </c>
      <c r="L33" s="141">
        <v>538740</v>
      </c>
      <c r="M33" s="142">
        <f t="shared" si="4"/>
        <v>0.15687934902379194</v>
      </c>
      <c r="N33" s="141">
        <v>520878.04263999942</v>
      </c>
      <c r="O33" s="142">
        <f t="shared" si="5"/>
        <v>0.16736366511628376</v>
      </c>
      <c r="P33" s="141">
        <v>522196.94209999964</v>
      </c>
      <c r="Q33" s="143">
        <f t="shared" si="6"/>
        <v>0.15623376648509754</v>
      </c>
      <c r="R33" s="144">
        <f t="shared" si="9"/>
        <v>0.96929305806140187</v>
      </c>
      <c r="S33" s="147">
        <f t="shared" si="10"/>
        <v>2.5320696056135455E-3</v>
      </c>
      <c r="T33" s="71">
        <v>1894770</v>
      </c>
      <c r="U33" s="71">
        <v>1831556.2048200006</v>
      </c>
      <c r="V33" s="71">
        <v>1847014.7036299994</v>
      </c>
      <c r="Z33" s="20"/>
      <c r="AA33" s="150"/>
    </row>
    <row r="34" spans="1:35" ht="15.75" thickBot="1" x14ac:dyDescent="0.3">
      <c r="B34" s="152"/>
      <c r="C34" s="153" t="s">
        <v>46</v>
      </c>
      <c r="D34" s="154">
        <v>358203</v>
      </c>
      <c r="E34" s="155">
        <f t="shared" si="15"/>
        <v>0.39576899747094457</v>
      </c>
      <c r="F34" s="154">
        <v>327374.78700000001</v>
      </c>
      <c r="G34" s="155">
        <f t="shared" si="17"/>
        <v>0.41975249562731276</v>
      </c>
      <c r="H34" s="154">
        <v>347569.36800000002</v>
      </c>
      <c r="I34" s="156">
        <f t="shared" si="3"/>
        <v>0.41072782268636771</v>
      </c>
      <c r="J34" s="157">
        <f t="shared" si="7"/>
        <v>0.97031395046942659</v>
      </c>
      <c r="K34" s="157">
        <f t="shared" si="8"/>
        <v>6.1686427305716753E-2</v>
      </c>
      <c r="L34" s="158">
        <v>1406114</v>
      </c>
      <c r="M34" s="155">
        <f t="shared" si="4"/>
        <v>0.40945585806370455</v>
      </c>
      <c r="N34" s="158">
        <v>1274808.432</v>
      </c>
      <c r="O34" s="155">
        <f t="shared" si="5"/>
        <v>0.4096095324335306</v>
      </c>
      <c r="P34" s="154">
        <v>1361517.007</v>
      </c>
      <c r="Q34" s="159">
        <f t="shared" si="6"/>
        <v>0.40734618108198806</v>
      </c>
      <c r="R34" s="160">
        <f t="shared" si="9"/>
        <v>0.96828351541909119</v>
      </c>
      <c r="S34" s="161">
        <f t="shared" si="10"/>
        <v>6.8016944996171752E-2</v>
      </c>
      <c r="T34" s="71"/>
      <c r="U34" s="71"/>
      <c r="V34" s="71">
        <v>4268422.6160000004</v>
      </c>
      <c r="AA34" s="150"/>
    </row>
    <row r="35" spans="1:35" s="15" customFormat="1" x14ac:dyDescent="0.25">
      <c r="A35" s="162"/>
      <c r="B35" s="163"/>
      <c r="C35" s="164" t="s">
        <v>74</v>
      </c>
      <c r="D35" s="165"/>
      <c r="H35" s="165"/>
      <c r="K35" s="165"/>
      <c r="L35" s="165"/>
      <c r="M35" s="165"/>
      <c r="N35" s="166"/>
      <c r="O35" s="165"/>
      <c r="P35" s="165"/>
      <c r="Q35" s="165"/>
      <c r="R35" s="167"/>
      <c r="S35" s="168"/>
      <c r="T35" s="169"/>
      <c r="U35" s="169"/>
      <c r="V35" s="169"/>
      <c r="AA35" s="150"/>
      <c r="AG35" s="15">
        <v>457061</v>
      </c>
    </row>
    <row r="36" spans="1:35" s="15" customFormat="1" x14ac:dyDescent="0.25">
      <c r="A36" s="162"/>
      <c r="B36" s="163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65"/>
      <c r="P36" s="165"/>
      <c r="Q36" s="165"/>
      <c r="R36" s="165"/>
      <c r="T36" s="169"/>
      <c r="U36" s="169"/>
      <c r="V36" s="169"/>
      <c r="AA36" s="150"/>
      <c r="AG36" s="15">
        <v>457061</v>
      </c>
    </row>
    <row r="37" spans="1:35" s="15" customFormat="1" x14ac:dyDescent="0.25">
      <c r="A37" s="162"/>
      <c r="B37" s="163"/>
      <c r="C37" s="1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1"/>
      <c r="O37" s="170"/>
      <c r="P37" s="170"/>
      <c r="Q37" s="170"/>
      <c r="R37" s="170"/>
      <c r="S37" s="10"/>
      <c r="T37" s="172"/>
      <c r="U37" s="172"/>
      <c r="V37" s="172"/>
      <c r="AA37" s="150"/>
      <c r="AG37" s="15">
        <v>457061</v>
      </c>
    </row>
    <row r="38" spans="1:35" s="15" customFormat="1" x14ac:dyDescent="0.25">
      <c r="A38" s="162"/>
      <c r="B38" s="163"/>
      <c r="C38" s="10"/>
      <c r="D38" s="170"/>
      <c r="E38" s="170"/>
      <c r="F38" s="170"/>
      <c r="G38" s="170"/>
      <c r="H38" s="170"/>
      <c r="I38" s="170"/>
      <c r="J38" s="170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4"/>
    </row>
    <row r="39" spans="1:35" s="178" customFormat="1" x14ac:dyDescent="0.25">
      <c r="A39" s="175"/>
      <c r="B39" s="176"/>
      <c r="C39" s="177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4"/>
      <c r="AG39" s="15"/>
      <c r="AH39" s="15"/>
      <c r="AI39" s="15"/>
    </row>
    <row r="40" spans="1:35" s="15" customFormat="1" x14ac:dyDescent="0.25">
      <c r="A40" s="162"/>
      <c r="B40" s="163"/>
      <c r="C40" s="10"/>
      <c r="D40" s="170"/>
      <c r="E40" s="170"/>
      <c r="F40" s="170"/>
      <c r="G40" s="170"/>
      <c r="H40" s="170"/>
      <c r="I40" s="170"/>
      <c r="J40" s="170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4"/>
    </row>
    <row r="41" spans="1:35" s="15" customFormat="1" x14ac:dyDescent="0.25">
      <c r="A41" s="162"/>
      <c r="B41" s="163"/>
      <c r="C41" s="10"/>
      <c r="D41" s="170"/>
      <c r="E41" s="170"/>
      <c r="F41" s="170"/>
      <c r="G41" s="170"/>
      <c r="H41" s="170"/>
      <c r="I41" s="170"/>
      <c r="J41" s="170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4"/>
    </row>
    <row r="42" spans="1:35" s="15" customFormat="1" x14ac:dyDescent="0.25">
      <c r="A42" s="162"/>
      <c r="B42" s="163"/>
      <c r="C42" s="10"/>
      <c r="D42" s="10"/>
      <c r="E42" s="10"/>
      <c r="F42" s="10"/>
      <c r="G42" s="10"/>
      <c r="H42" s="149"/>
      <c r="I42" s="10"/>
      <c r="J42" s="10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4"/>
    </row>
    <row r="43" spans="1:35" s="15" customFormat="1" x14ac:dyDescent="0.25">
      <c r="A43" s="162"/>
      <c r="B43" s="163" t="s">
        <v>83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72"/>
      <c r="U43" s="172"/>
      <c r="V43" s="172"/>
    </row>
    <row r="44" spans="1:35" x14ac:dyDescent="0.25">
      <c r="D44" s="179"/>
      <c r="F44" s="10"/>
      <c r="T44" s="172"/>
      <c r="U44" s="172"/>
      <c r="V44" s="172"/>
    </row>
  </sheetData>
  <mergeCells count="10">
    <mergeCell ref="C3:S3"/>
    <mergeCell ref="W3:AF3"/>
    <mergeCell ref="L4:S4"/>
    <mergeCell ref="AA4:AC4"/>
    <mergeCell ref="D5:E5"/>
    <mergeCell ref="F5:G5"/>
    <mergeCell ref="H5:I5"/>
    <mergeCell ref="L5:M5"/>
    <mergeCell ref="N5:O5"/>
    <mergeCell ref="P5:Q5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437AE-1578-4BD0-A436-1EC0A12A4E5A}">
  <sheetPr>
    <tabColor rgb="FFFF0000"/>
  </sheetPr>
  <dimension ref="A1:AJ45"/>
  <sheetViews>
    <sheetView topLeftCell="C3" zoomScale="78" zoomScaleNormal="78" workbookViewId="0">
      <selection activeCell="D22" sqref="D22"/>
    </sheetView>
  </sheetViews>
  <sheetFormatPr baseColWidth="10" defaultRowHeight="15" x14ac:dyDescent="0.25"/>
  <cols>
    <col min="1" max="1" width="0" style="10" hidden="1" customWidth="1"/>
    <col min="2" max="2" width="15" style="10" hidden="1" customWidth="1"/>
    <col min="3" max="3" width="35.7109375" style="10" customWidth="1"/>
    <col min="4" max="4" width="13.42578125" style="10" customWidth="1"/>
    <col min="5" max="5" width="8.5703125" style="10" customWidth="1"/>
    <col min="6" max="6" width="11.28515625" style="10" customWidth="1"/>
    <col min="7" max="7" width="8.5703125" style="10" customWidth="1"/>
    <col min="8" max="8" width="11.7109375" style="10" customWidth="1"/>
    <col min="9" max="9" width="6.42578125" style="10" customWidth="1"/>
    <col min="10" max="10" width="9.5703125" style="10" customWidth="1"/>
    <col min="11" max="11" width="7.85546875" style="10" customWidth="1"/>
    <col min="12" max="12" width="17.5703125" style="10" customWidth="1"/>
    <col min="13" max="13" width="9.85546875" style="10" customWidth="1"/>
    <col min="14" max="14" width="10.42578125" style="10" customWidth="1"/>
    <col min="15" max="15" width="6.7109375" style="10" customWidth="1"/>
    <col min="16" max="16" width="12.5703125" style="10" customWidth="1"/>
    <col min="17" max="17" width="8.5703125" style="10" customWidth="1"/>
    <col min="18" max="18" width="9.28515625" style="10" customWidth="1"/>
    <col min="19" max="19" width="11.42578125" style="10" customWidth="1"/>
    <col min="20" max="20" width="11.42578125" style="10"/>
    <col min="21" max="22" width="0" style="10" hidden="1" customWidth="1"/>
    <col min="23" max="23" width="34.140625" style="10" customWidth="1"/>
    <col min="24" max="30" width="11.42578125" style="10"/>
    <col min="31" max="31" width="10.42578125" style="10" customWidth="1"/>
    <col min="32" max="32" width="10" style="10" customWidth="1"/>
    <col min="33" max="16384" width="11.42578125" style="10"/>
  </cols>
  <sheetData>
    <row r="1" spans="1:36" s="4" customFormat="1" ht="30" hidden="1" x14ac:dyDescent="0.25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</row>
    <row r="2" spans="1:36" ht="30.75" hidden="1" x14ac:dyDescent="0.3">
      <c r="A2" s="4" t="s">
        <v>8</v>
      </c>
      <c r="B2" s="195">
        <v>201301</v>
      </c>
      <c r="D2" s="11">
        <f>B2</f>
        <v>201301</v>
      </c>
      <c r="F2" s="11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1" t="str">
        <f>+F2</f>
        <v>201201</v>
      </c>
      <c r="P2" s="11">
        <f>D2</f>
        <v>201301</v>
      </c>
      <c r="Z2" s="14"/>
      <c r="AA2" s="14"/>
      <c r="AB2" s="14"/>
      <c r="AC2" s="14"/>
    </row>
    <row r="3" spans="1:36" ht="19.5" thickBot="1" x14ac:dyDescent="0.35">
      <c r="B3" s="10">
        <v>1000</v>
      </c>
      <c r="C3" s="17" t="s">
        <v>164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233"/>
      <c r="W3" s="19" t="str">
        <f>+C3</f>
        <v>MUSICAR S.A. VENEZUELA</v>
      </c>
      <c r="X3" s="19"/>
      <c r="Y3" s="19"/>
      <c r="Z3" s="19"/>
      <c r="AA3" s="19"/>
      <c r="AB3" s="19"/>
      <c r="AC3" s="19"/>
      <c r="AD3" s="19"/>
      <c r="AE3" s="19"/>
      <c r="AF3" s="19"/>
      <c r="AH3" s="10" t="s">
        <v>112</v>
      </c>
      <c r="AI3" s="10">
        <v>914.48</v>
      </c>
      <c r="AJ3" s="10" t="s">
        <v>179</v>
      </c>
    </row>
    <row r="4" spans="1:36" ht="19.5" thickBot="1" x14ac:dyDescent="0.35">
      <c r="A4" s="10" t="s">
        <v>94</v>
      </c>
      <c r="B4" s="10">
        <v>1</v>
      </c>
      <c r="C4" s="21"/>
      <c r="D4" s="182" t="str">
        <f>+'COLOMB$ '!D4:K4</f>
        <v>31/04/2022</v>
      </c>
      <c r="E4" s="26"/>
      <c r="F4" s="26"/>
      <c r="G4" s="26"/>
      <c r="H4" s="27"/>
      <c r="I4" s="27"/>
      <c r="J4" s="27"/>
      <c r="K4" s="183"/>
      <c r="L4" s="25" t="s">
        <v>13</v>
      </c>
      <c r="M4" s="26"/>
      <c r="N4" s="26"/>
      <c r="O4" s="26"/>
      <c r="P4" s="27"/>
      <c r="Q4" s="27"/>
      <c r="R4" s="27"/>
      <c r="S4" s="28"/>
      <c r="W4" s="14"/>
      <c r="X4" s="607" t="str">
        <f>+'COLOMB$ '!X4:Z4</f>
        <v>ABRIL</v>
      </c>
      <c r="Y4" s="607"/>
      <c r="Z4" s="607"/>
      <c r="AA4" s="608" t="str">
        <f>+'COLOMB$ '!AA4:AC4</f>
        <v>ACUM  ABRIL</v>
      </c>
      <c r="AB4" s="609"/>
      <c r="AC4" s="610"/>
      <c r="AD4" s="10" t="s">
        <v>24</v>
      </c>
      <c r="AE4" s="10" t="s">
        <v>20</v>
      </c>
      <c r="AF4" s="10" t="s">
        <v>21</v>
      </c>
    </row>
    <row r="5" spans="1:36" ht="15.75" customHeight="1" thickBot="1" x14ac:dyDescent="0.3">
      <c r="A5" s="10" t="s">
        <v>95</v>
      </c>
      <c r="B5" s="10" t="s">
        <v>96</v>
      </c>
      <c r="C5" s="36" t="s">
        <v>113</v>
      </c>
      <c r="D5" s="184" t="str">
        <f>+'VZLA CONS .BL '!D5:E5</f>
        <v>Ppto 2022</v>
      </c>
      <c r="E5" s="206"/>
      <c r="F5" s="184" t="str">
        <f>+'VZLA CONS .BL '!F5:G5</f>
        <v>Real 2021</v>
      </c>
      <c r="G5" s="206"/>
      <c r="H5" s="184" t="str">
        <f>+'VZLA CONS .BL '!H5:I5</f>
        <v>real 2022</v>
      </c>
      <c r="I5" s="206"/>
      <c r="J5" s="39" t="s">
        <v>20</v>
      </c>
      <c r="K5" s="40" t="s">
        <v>21</v>
      </c>
      <c r="L5" s="184" t="str">
        <f>+D5</f>
        <v>Ppto 2022</v>
      </c>
      <c r="M5" s="206"/>
      <c r="N5" s="184" t="str">
        <f>+F5</f>
        <v>Real 2021</v>
      </c>
      <c r="O5" s="206"/>
      <c r="P5" s="184" t="str">
        <f>+H5</f>
        <v>real 2022</v>
      </c>
      <c r="Q5" s="206"/>
      <c r="R5" s="39" t="s">
        <v>20</v>
      </c>
      <c r="S5" s="41" t="s">
        <v>21</v>
      </c>
      <c r="T5" s="242"/>
      <c r="U5" s="243"/>
      <c r="W5" s="208" t="s">
        <v>113</v>
      </c>
      <c r="X5" s="611" t="str">
        <f>+'COLOMB$ '!X5</f>
        <v>Ppto 2022</v>
      </c>
      <c r="Y5" s="611" t="str">
        <f>+'COLOMB$ '!Y5</f>
        <v>Real 2021</v>
      </c>
      <c r="Z5" s="612" t="str">
        <f>+'COLOMB$ '!Z5</f>
        <v>real 2022</v>
      </c>
      <c r="AA5" s="613" t="str">
        <f>+'VZLA CONS .BL '!AA5</f>
        <v>Ppto 2022</v>
      </c>
      <c r="AB5" s="209" t="str">
        <f>+Y5</f>
        <v>Real 2021</v>
      </c>
      <c r="AC5" s="614" t="str">
        <f>+'VZLA CONS .BL '!AC5</f>
        <v>real 2022</v>
      </c>
      <c r="AD5" s="47" t="s">
        <v>24</v>
      </c>
      <c r="AE5" s="47" t="s">
        <v>20</v>
      </c>
      <c r="AF5" s="47" t="s">
        <v>21</v>
      </c>
    </row>
    <row r="6" spans="1:36" ht="15.75" thickBot="1" x14ac:dyDescent="0.3">
      <c r="C6" s="50" t="s">
        <v>26</v>
      </c>
      <c r="D6" s="51" t="s">
        <v>27</v>
      </c>
      <c r="E6" s="52" t="s">
        <v>28</v>
      </c>
      <c r="F6" s="186" t="s">
        <v>27</v>
      </c>
      <c r="G6" s="53" t="s">
        <v>28</v>
      </c>
      <c r="H6" s="186" t="s">
        <v>27</v>
      </c>
      <c r="I6" s="54" t="s">
        <v>28</v>
      </c>
      <c r="J6" s="55" t="s">
        <v>29</v>
      </c>
      <c r="K6" s="52" t="s">
        <v>29</v>
      </c>
      <c r="L6" s="51" t="s">
        <v>27</v>
      </c>
      <c r="M6" s="52" t="s">
        <v>28</v>
      </c>
      <c r="N6" s="186" t="s">
        <v>27</v>
      </c>
      <c r="O6" s="54" t="s">
        <v>28</v>
      </c>
      <c r="P6" s="186" t="s">
        <v>27</v>
      </c>
      <c r="Q6" s="54" t="s">
        <v>28</v>
      </c>
      <c r="R6" s="55" t="s">
        <v>29</v>
      </c>
      <c r="S6" s="56" t="s">
        <v>29</v>
      </c>
      <c r="T6" s="249"/>
      <c r="U6" s="250" t="s">
        <v>116</v>
      </c>
      <c r="V6" s="251"/>
      <c r="W6" s="57" t="str">
        <f>+'COLOMB$ '!W6</f>
        <v xml:space="preserve">Flujo de Caja </v>
      </c>
      <c r="X6" s="615" t="s">
        <v>27</v>
      </c>
      <c r="Y6" s="616" t="s">
        <v>27</v>
      </c>
      <c r="Z6" s="617" t="s">
        <v>27</v>
      </c>
      <c r="AA6" s="618" t="str">
        <f>+'VZLA CONS .BL '!AA6</f>
        <v>ACUM</v>
      </c>
      <c r="AB6" s="619"/>
      <c r="AC6" s="620"/>
      <c r="AD6" s="621" t="s">
        <v>31</v>
      </c>
      <c r="AE6" s="616" t="s">
        <v>29</v>
      </c>
      <c r="AF6" s="616" t="s">
        <v>29</v>
      </c>
    </row>
    <row r="7" spans="1:36" ht="15.75" thickBot="1" x14ac:dyDescent="0.3">
      <c r="B7" s="11" t="s">
        <v>97</v>
      </c>
      <c r="C7" s="65" t="str">
        <f>+'VZLA CONS .BL '!C7</f>
        <v>Fact. Musical Experience  (Ambiental)</v>
      </c>
      <c r="D7" s="66">
        <f>+'VZLA CONS .BL '!D7/'VENEZUELA USD'!$AI$3</f>
        <v>0</v>
      </c>
      <c r="E7" s="67" t="e">
        <f t="shared" ref="E7:E12" si="0">+D7/$D$17</f>
        <v>#DIV/0!</v>
      </c>
      <c r="F7" s="66">
        <f>+'VZLA CONS .BL '!F7/'VENEZUELA USD'!$AI$3</f>
        <v>1781436.5923803691</v>
      </c>
      <c r="G7" s="67">
        <f t="shared" ref="G7:G12" si="1">+F7/$F$17</f>
        <v>0.47723403195566999</v>
      </c>
      <c r="H7" s="66">
        <f>+'VZLA CONS .BL '!H7/'VENEZUELA USD'!$AI$3</f>
        <v>10.409194296212055</v>
      </c>
      <c r="I7" s="67">
        <f t="shared" ref="I7:I12" si="2">+H7/$H$17</f>
        <v>0.36169038102689072</v>
      </c>
      <c r="J7" s="67" t="str">
        <f>IF(D7=0,"",(H7-D7)/ABS(D7)+1)</f>
        <v/>
      </c>
      <c r="K7" s="67">
        <f>IF(F7=0,"",(H7-F7)/ABS(F7))</f>
        <v>-0.99999415685388926</v>
      </c>
      <c r="L7" s="66">
        <f>+'VZLA CONS .BL '!L7/'VENEZUELA USD'!$AI$3</f>
        <v>0</v>
      </c>
      <c r="M7" s="67" t="e">
        <f t="shared" ref="M7:M12" si="3">+L7/$L$17</f>
        <v>#DIV/0!</v>
      </c>
      <c r="N7" s="66">
        <f>+'VZLA CONS .BL '!N7/'VENEZUELA USD'!$AI$3</f>
        <v>5747814.4016271541</v>
      </c>
      <c r="O7" s="67">
        <f t="shared" ref="O7:O12" si="4">+N7/$N$17</f>
        <v>0.4826520884388274</v>
      </c>
      <c r="P7" s="66">
        <f>+'VZLA CONS .BL '!P7/'VENEZUELA USD'!$AI$3</f>
        <v>32.648062286764059</v>
      </c>
      <c r="Q7" s="68">
        <f t="shared" ref="Q7:Q12" si="5">+P7/$P$17</f>
        <v>0.24575867495772935</v>
      </c>
      <c r="R7" s="69" t="str">
        <f>IF(L7=0,"",(P7-L7)/ABS(L7)+1)</f>
        <v/>
      </c>
      <c r="S7" s="69">
        <f>IF(N7=0,"",(P7-N7)/ABS(N7))</f>
        <v>-0.99999431991710142</v>
      </c>
      <c r="T7" s="115"/>
      <c r="U7" s="102"/>
      <c r="V7" s="256" t="s">
        <v>118</v>
      </c>
      <c r="W7" s="73" t="s">
        <v>35</v>
      </c>
      <c r="X7" s="75">
        <f>+'VZLA CONS .BL '!X7/'VENEZUELA USD'!$AI$3</f>
        <v>258.78313358411339</v>
      </c>
      <c r="Y7" s="75">
        <f>+'VZLA CONS .BL '!Y7/'VENEZUELA USD'!$AI$3</f>
        <v>958405.64459583582</v>
      </c>
      <c r="Z7" s="74">
        <f>+'VZLA CONS .BL '!Z7/'VENEZUELA USD'!$AI$3</f>
        <v>11.685066923278804</v>
      </c>
      <c r="AA7" s="414">
        <f>+'VZLA CONS .BL '!AA7/'VENEZUELA USD'!$AI$3</f>
        <v>258.78313358411339</v>
      </c>
      <c r="AB7" s="258">
        <f>+'VZLA CONS .BL '!AB7/'VENEZUELA USD'!$AI$3</f>
        <v>501455.09682005073</v>
      </c>
      <c r="AC7" s="415">
        <f>+'VZLA CONS .BL '!AC7/'VENEZUELA USD'!$AI$3</f>
        <v>16.147974805353861</v>
      </c>
      <c r="AD7" s="76">
        <f>+AC7-AA7</f>
        <v>-242.63515877875952</v>
      </c>
      <c r="AE7" s="77">
        <f>IF(AA7=0,"",(AC7-AA7)/ABS(AA7)+1)</f>
        <v>6.2399641667934325E-2</v>
      </c>
      <c r="AF7" s="77">
        <f>IF(Y7=0,"",(AC7-AB7)/ABS(AB7))</f>
        <v>-0.99996779776512834</v>
      </c>
    </row>
    <row r="8" spans="1:36" x14ac:dyDescent="0.25">
      <c r="B8" s="11" t="s">
        <v>98</v>
      </c>
      <c r="C8" s="65" t="str">
        <f>+'VZLA CONS .BL '!C8</f>
        <v>Instalaciones</v>
      </c>
      <c r="D8" s="66">
        <f>+'VZLA CONS .BL '!D8/'VENEZUELA USD'!$AI$3</f>
        <v>0</v>
      </c>
      <c r="E8" s="67" t="e">
        <f t="shared" si="0"/>
        <v>#DIV/0!</v>
      </c>
      <c r="F8" s="66">
        <f>+'VZLA CONS .BL '!F8/'VENEZUELA USD'!$AI$3</f>
        <v>499032.71148630913</v>
      </c>
      <c r="G8" s="67">
        <f t="shared" si="1"/>
        <v>0.13368726902716019</v>
      </c>
      <c r="H8" s="66">
        <f>+'VZLA CONS .BL '!H8/'VENEZUELA USD'!$AI$3</f>
        <v>6.5317994926078207</v>
      </c>
      <c r="I8" s="67">
        <f t="shared" si="2"/>
        <v>0.22696175900302798</v>
      </c>
      <c r="J8" s="67" t="str">
        <f t="shared" ref="J8:J34" si="6">IF(D8=0,"",(H8-D8)/ABS(D8)+1)</f>
        <v/>
      </c>
      <c r="K8" s="67">
        <f t="shared" ref="K8:K14" si="7">IF(F8=0,"",(H8-F8)/ABS(F8))</f>
        <v>-0.99998691107948989</v>
      </c>
      <c r="L8" s="66">
        <f>+'VZLA CONS .BL '!L8/'VENEZUELA USD'!$AI$3</f>
        <v>0</v>
      </c>
      <c r="M8" s="67" t="e">
        <f t="shared" si="3"/>
        <v>#DIV/0!</v>
      </c>
      <c r="N8" s="66">
        <f>+'VZLA CONS .BL '!N8/'VENEZUELA USD'!$AI$3</f>
        <v>1489093.8551963959</v>
      </c>
      <c r="O8" s="67">
        <f t="shared" si="4"/>
        <v>0.12504131290121404</v>
      </c>
      <c r="P8" s="66">
        <f>+'VZLA CONS .BL '!P8/'VENEZUELA USD'!$AI$3</f>
        <v>10.902972180911556</v>
      </c>
      <c r="Q8" s="68">
        <f t="shared" si="5"/>
        <v>8.2072252029735684E-2</v>
      </c>
      <c r="R8" s="69" t="str">
        <f t="shared" ref="R8:R34" si="8">IF(L8=0,"",(P8-L8)/ABS(L8)+1)</f>
        <v/>
      </c>
      <c r="S8" s="69">
        <f t="shared" ref="S8:S34" si="9">IF(N8=0,"",(P8-N8)/ABS(N8))</f>
        <v>-0.99999267811619608</v>
      </c>
      <c r="T8" s="115"/>
      <c r="U8" s="102"/>
      <c r="V8" s="260" t="s">
        <v>119</v>
      </c>
      <c r="W8" s="81" t="s">
        <v>38</v>
      </c>
      <c r="X8" s="82">
        <f>+'VZLA CONS .BL '!X8/'VENEZUELA USD'!$AI$3</f>
        <v>0</v>
      </c>
      <c r="Y8" s="82">
        <f>+'VZLA CONS .BL '!Y8/'VENEZUELA USD'!$AI$3</f>
        <v>2545508.1643556994</v>
      </c>
      <c r="Z8" s="83">
        <f>+'VZLA CONS .BL '!Z8/'VENEZUELA USD'!$AI$3</f>
        <v>16.578787945061674</v>
      </c>
      <c r="AA8" s="355">
        <f>+'VZLA CONS .BL '!AA8/'VENEZUELA USD'!$AI$3</f>
        <v>0</v>
      </c>
      <c r="AB8" s="82">
        <f>+'VZLA CONS .BL '!AB8/'VENEZUELA USD'!$AI$3</f>
        <v>7322048.5665186755</v>
      </c>
      <c r="AC8" s="418">
        <f>+'VZLA CONS .BL '!AC8/'VENEZUELA USD'!$AI$3</f>
        <v>41.74426996763188</v>
      </c>
      <c r="AD8" s="85">
        <f>+AC8-AA8</f>
        <v>41.74426996763188</v>
      </c>
      <c r="AE8" s="86" t="str">
        <f>IF(AA8=0,"",(AC8-AA8)/ABS(AA8)+1)</f>
        <v/>
      </c>
      <c r="AF8" s="86">
        <f>IF(AB8=0,"",(AC8-AB8)/ABS(AB8))</f>
        <v>-0.99999429882640234</v>
      </c>
    </row>
    <row r="9" spans="1:36" x14ac:dyDescent="0.25">
      <c r="B9" s="11" t="s">
        <v>99</v>
      </c>
      <c r="C9" s="65" t="str">
        <f>+'VZLA CONS .BL '!C9</f>
        <v>Publihold- Audicom</v>
      </c>
      <c r="D9" s="66">
        <f>+'VZLA CONS .BL '!D9/'VENEZUELA USD'!$AI$3</f>
        <v>0</v>
      </c>
      <c r="E9" s="67" t="e">
        <f t="shared" si="0"/>
        <v>#DIV/0!</v>
      </c>
      <c r="F9" s="66">
        <f>+'VZLA CONS .BL '!F9/'VENEZUELA USD'!$AI$3</f>
        <v>419393.42139795294</v>
      </c>
      <c r="G9" s="67">
        <f t="shared" si="1"/>
        <v>0.11235247682994323</v>
      </c>
      <c r="H9" s="66">
        <f>+'VZLA CONS .BL '!H9/'VENEZUELA USD'!$AI$3</f>
        <v>4.0685416848919607</v>
      </c>
      <c r="I9" s="67">
        <f t="shared" si="2"/>
        <v>0.14137044139601318</v>
      </c>
      <c r="J9" s="67" t="str">
        <f t="shared" si="6"/>
        <v/>
      </c>
      <c r="K9" s="67">
        <f t="shared" si="7"/>
        <v>-0.99999029898544589</v>
      </c>
      <c r="L9" s="66">
        <f>+'VZLA CONS .BL '!L9/'VENEZUELA USD'!$AI$3</f>
        <v>0</v>
      </c>
      <c r="M9" s="67" t="e">
        <f t="shared" si="3"/>
        <v>#DIV/0!</v>
      </c>
      <c r="N9" s="66">
        <f>+'VZLA CONS .BL '!N9/'VENEZUELA USD'!$AI$3</f>
        <v>2300933.3387717609</v>
      </c>
      <c r="O9" s="67">
        <f t="shared" si="4"/>
        <v>0.193212620261769</v>
      </c>
      <c r="P9" s="66">
        <f>+'VZLA CONS .BL '!P9/'VENEZUELA USD'!$AI$3</f>
        <v>14.348361910593997</v>
      </c>
      <c r="Q9" s="68">
        <f t="shared" si="5"/>
        <v>0.10800746396490167</v>
      </c>
      <c r="R9" s="69" t="str">
        <f t="shared" si="8"/>
        <v/>
      </c>
      <c r="S9" s="69">
        <f t="shared" si="9"/>
        <v>-0.99999376411229779</v>
      </c>
      <c r="T9" s="115"/>
      <c r="U9" s="263" t="e">
        <f>+H18/D18</f>
        <v>#DIV/0!</v>
      </c>
      <c r="V9" s="260" t="s">
        <v>120</v>
      </c>
      <c r="W9" s="81" t="s">
        <v>41</v>
      </c>
      <c r="X9" s="82">
        <f>+'VZLA CONS .BL '!X9/'VENEZUELA USD'!$AI$3</f>
        <v>0</v>
      </c>
      <c r="Y9" s="82">
        <f>+'VZLA CONS .BL '!Y9/'VENEZUELA USD'!$AI$3</f>
        <v>0</v>
      </c>
      <c r="Z9" s="83">
        <f>+'VZLA CONS .BL '!Z9/'VENEZUELA USD'!$AI$3</f>
        <v>0</v>
      </c>
      <c r="AA9" s="355">
        <f>+'VZLA CONS .BL '!AA9/'VENEZUELA USD'!$AI$3</f>
        <v>0</v>
      </c>
      <c r="AB9" s="82">
        <f>+'VZLA CONS .BL '!AB9/'VENEZUELA USD'!$AI$3</f>
        <v>0</v>
      </c>
      <c r="AC9" s="418">
        <f>+'VZLA CONS .BL '!AC9/'VENEZUELA USD'!$AI$3</f>
        <v>0</v>
      </c>
      <c r="AD9" s="85">
        <f>+AA9-AC9</f>
        <v>0</v>
      </c>
      <c r="AE9" s="86" t="str">
        <f>IF(AA9=0,"",(AC9-AA9)/ABS(AA9)+1)</f>
        <v/>
      </c>
      <c r="AF9" s="86" t="str">
        <f t="shared" ref="AF9:AF21" si="10">IF(AB9=0,"",(AC9-AB9)/ABS(AB9))</f>
        <v/>
      </c>
    </row>
    <row r="10" spans="1:36" x14ac:dyDescent="0.25">
      <c r="B10" s="11"/>
      <c r="C10" s="65" t="str">
        <f>+'VZLA CONS .BL '!C10</f>
        <v>Soluciones para Redes de Audio</v>
      </c>
      <c r="D10" s="66">
        <f>+'VZLA CONS .BL '!D10/'VENEZUELA USD'!$AI$3</f>
        <v>0</v>
      </c>
      <c r="E10" s="67" t="e">
        <f t="shared" si="0"/>
        <v>#DIV/0!</v>
      </c>
      <c r="F10" s="66">
        <f>+'VZLA CONS .BL '!F10/'VENEZUELA USD'!$AI$3</f>
        <v>336803.42927127983</v>
      </c>
      <c r="G10" s="67">
        <f t="shared" si="1"/>
        <v>9.0227212809665669E-2</v>
      </c>
      <c r="H10" s="66">
        <f>+'VZLA CONS .BL '!H10/'VENEZUELA USD'!$AI$3</f>
        <v>3.6315611057650248</v>
      </c>
      <c r="I10" s="67">
        <f t="shared" si="2"/>
        <v>0.12618658876840988</v>
      </c>
      <c r="J10" s="67" t="str">
        <f>IF(D10=0,"",(H10-D10)/ABS(D10)+1)</f>
        <v/>
      </c>
      <c r="K10" s="67">
        <f t="shared" si="7"/>
        <v>-0.99998921756493497</v>
      </c>
      <c r="L10" s="66">
        <f>+'VZLA CONS .BL '!L10/'VENEZUELA USD'!$AI$3</f>
        <v>0</v>
      </c>
      <c r="M10" s="67" t="e">
        <f t="shared" si="3"/>
        <v>#DIV/0!</v>
      </c>
      <c r="N10" s="66">
        <f>+'VZLA CONS .BL '!N10/'VENEZUELA USD'!$AI$3</f>
        <v>361118.51981453941</v>
      </c>
      <c r="O10" s="67">
        <f t="shared" si="4"/>
        <v>3.0323631833533857E-2</v>
      </c>
      <c r="P10" s="66">
        <f>+'VZLA CONS .BL '!P10/'VENEZUELA USD'!$AI$3</f>
        <v>63.277567579389377</v>
      </c>
      <c r="Q10" s="68">
        <f t="shared" si="5"/>
        <v>0.47632263827074001</v>
      </c>
      <c r="R10" s="69" t="str">
        <f>IF(L10=0,"",(P10-L10)/ABS(L10)+1)</f>
        <v/>
      </c>
      <c r="S10" s="69">
        <f>IF(N10=0,"",(P10-N10)/ABS(N10))</f>
        <v>-0.99982477340787757</v>
      </c>
      <c r="T10" s="115"/>
      <c r="U10" s="263"/>
      <c r="V10" s="260"/>
      <c r="W10" s="81" t="s">
        <v>44</v>
      </c>
      <c r="X10" s="82">
        <f>+'VZLA CONS .BL '!X10/'VENEZUELA USD'!$AI$3</f>
        <v>0</v>
      </c>
      <c r="Y10" s="82">
        <f>+'VZLA CONS .BL '!Y10/'VENEZUELA USD'!$AI$3</f>
        <v>0</v>
      </c>
      <c r="Z10" s="83">
        <f>+'VZLA CONS .BL '!Z10/'VENEZUELA USD'!$AI$3</f>
        <v>0</v>
      </c>
      <c r="AA10" s="355">
        <f>+'VZLA CONS .BL '!AA10/'VENEZUELA USD'!$AI$3</f>
        <v>0</v>
      </c>
      <c r="AB10" s="82">
        <f>+'VZLA CONS .BL '!AB10/'VENEZUELA USD'!$AI$3</f>
        <v>0</v>
      </c>
      <c r="AC10" s="418">
        <f>+'VZLA CONS .BL '!AC10/'VENEZUELA USD'!$AI$3</f>
        <v>0</v>
      </c>
      <c r="AD10" s="85">
        <f>+AA10-AC10</f>
        <v>0</v>
      </c>
      <c r="AE10" s="86" t="str">
        <f t="shared" ref="AE10:AE21" si="11">IF(AA10=0,"",(AC10-AA10)/ABS(AA10)+1)</f>
        <v/>
      </c>
      <c r="AF10" s="86" t="str">
        <f t="shared" si="10"/>
        <v/>
      </c>
    </row>
    <row r="11" spans="1:36" ht="15.75" thickBot="1" x14ac:dyDescent="0.3">
      <c r="B11" s="219" t="s">
        <v>100</v>
      </c>
      <c r="C11" s="65" t="str">
        <f>+'VZLA CONS .BL '!C11</f>
        <v>POP Satelital</v>
      </c>
      <c r="D11" s="66">
        <f>+'VZLA CONS .BL '!D11/'VENEZUELA USD'!$AI$3</f>
        <v>0</v>
      </c>
      <c r="E11" s="67" t="e">
        <f t="shared" si="0"/>
        <v>#DIV/0!</v>
      </c>
      <c r="F11" s="66">
        <f>+'VZLA CONS .BL '!F11/'VENEZUELA USD'!$AI$3</f>
        <v>0</v>
      </c>
      <c r="G11" s="67">
        <f t="shared" si="1"/>
        <v>0</v>
      </c>
      <c r="H11" s="66">
        <f>+'VZLA CONS .BL '!H11/'VENEZUELA USD'!$AI$3</f>
        <v>0</v>
      </c>
      <c r="I11" s="67">
        <f t="shared" si="2"/>
        <v>0</v>
      </c>
      <c r="J11" s="67" t="str">
        <f>IF(D11=0,"",(H11-D11)/ABS(D11)+1)</f>
        <v/>
      </c>
      <c r="K11" s="67" t="str">
        <f t="shared" si="7"/>
        <v/>
      </c>
      <c r="L11" s="66">
        <f>+'VZLA CONS .BL '!L11/'VENEZUELA USD'!$AI$3</f>
        <v>0</v>
      </c>
      <c r="M11" s="67" t="e">
        <f t="shared" si="3"/>
        <v>#DIV/0!</v>
      </c>
      <c r="N11" s="66">
        <f>+'VZLA CONS .BL '!N11/'VENEZUELA USD'!$AI$3</f>
        <v>0</v>
      </c>
      <c r="O11" s="67">
        <f t="shared" si="4"/>
        <v>0</v>
      </c>
      <c r="P11" s="66">
        <f>+'VZLA CONS .BL '!P11/'VENEZUELA USD'!$AI$3</f>
        <v>0</v>
      </c>
      <c r="Q11" s="68">
        <f t="shared" si="5"/>
        <v>0</v>
      </c>
      <c r="R11" s="69" t="str">
        <f>IF(L11=0,"",(P11-L11)/ABS(L11)+1)</f>
        <v/>
      </c>
      <c r="S11" s="69" t="str">
        <f>IF(N11=0,"",(P11-N11)/ABS(N11))</f>
        <v/>
      </c>
      <c r="T11" s="115"/>
      <c r="U11" s="264" t="e">
        <f>+H19/D19</f>
        <v>#DIV/0!</v>
      </c>
      <c r="V11" s="265">
        <v>1208</v>
      </c>
      <c r="W11" s="81" t="s">
        <v>46</v>
      </c>
      <c r="X11" s="82">
        <f>+'VZLA CONS .BL '!X11/'VENEZUELA USD'!$AI$3</f>
        <v>0</v>
      </c>
      <c r="Y11" s="82">
        <f>+'VZLA CONS .BL '!Y11/'VENEZUELA USD'!$AI$3</f>
        <v>568061.19542253518</v>
      </c>
      <c r="Z11" s="83">
        <f>+'VZLA CONS .BL '!Z11/'VENEZUELA USD'!$AI$3</f>
        <v>6.7610882687428919</v>
      </c>
      <c r="AA11" s="355">
        <f>+'VZLA CONS .BL '!AA11/'VENEZUELA USD'!$AI$3</f>
        <v>0</v>
      </c>
      <c r="AB11" s="82">
        <f>+'VZLA CONS .BL '!AB11/'VENEZUELA USD'!$AI$3</f>
        <v>1396585.4791466189</v>
      </c>
      <c r="AC11" s="418">
        <f>+'VZLA CONS .BL '!AC11/'VENEZUELA USD'!$AI$3</f>
        <v>16.87544834222728</v>
      </c>
      <c r="AD11" s="85">
        <f>+AA11-AC11</f>
        <v>-16.87544834222728</v>
      </c>
      <c r="AE11" s="86" t="str">
        <f t="shared" si="11"/>
        <v/>
      </c>
      <c r="AF11" s="86">
        <f t="shared" si="10"/>
        <v>-0.99998791663768949</v>
      </c>
    </row>
    <row r="12" spans="1:36" x14ac:dyDescent="0.25">
      <c r="B12" s="11"/>
      <c r="C12" s="65" t="str">
        <f>+'VZLA CONS .BL '!C12</f>
        <v>Lineas Nuevas</v>
      </c>
      <c r="D12" s="66">
        <f>+'VZLA CONS .BL '!D12/'VENEZUELA USD'!$AI$3</f>
        <v>0</v>
      </c>
      <c r="E12" s="67" t="e">
        <f t="shared" si="0"/>
        <v>#DIV/0!</v>
      </c>
      <c r="F12" s="66">
        <f>+'VZLA CONS .BL '!F12/'VENEZUELA USD'!$AI$3</f>
        <v>696170.30115475459</v>
      </c>
      <c r="G12" s="67">
        <f t="shared" si="1"/>
        <v>0.18649900937756089</v>
      </c>
      <c r="H12" s="66">
        <f>+'VZLA CONS .BL '!H12/'VENEZUELA USD'!$AI$3</f>
        <v>4.1381987577639752</v>
      </c>
      <c r="I12" s="67">
        <f t="shared" si="2"/>
        <v>0.14379082980565841</v>
      </c>
      <c r="J12" s="67" t="str">
        <f>IF(D12=0,"",(H12-D12)/ABS(D12)+1)</f>
        <v/>
      </c>
      <c r="K12" s="67">
        <f t="shared" si="7"/>
        <v>-0.99999405576659772</v>
      </c>
      <c r="L12" s="66">
        <f>+'VZLA CONS .BL '!L12/'VENEZUELA USD'!$AI$3</f>
        <v>0</v>
      </c>
      <c r="M12" s="67" t="e">
        <f t="shared" si="3"/>
        <v>#DIV/0!</v>
      </c>
      <c r="N12" s="66">
        <f>+'VZLA CONS .BL '!N12/'VENEZUELA USD'!$AI$3</f>
        <v>2009854.8245997725</v>
      </c>
      <c r="O12" s="67">
        <f t="shared" si="4"/>
        <v>0.16877034656465559</v>
      </c>
      <c r="P12" s="66">
        <f>+'VZLA CONS .BL '!P12/'VENEZUELA USD'!$AI$3</f>
        <v>11.669057825212141</v>
      </c>
      <c r="Q12" s="68">
        <f t="shared" si="5"/>
        <v>8.7838970776893247E-2</v>
      </c>
      <c r="R12" s="69" t="str">
        <f>IF(L12=0,"",(P12-L12)/ABS(L12)+1)</f>
        <v/>
      </c>
      <c r="S12" s="69">
        <f>IF(N12=0,"",(P12-N12)/ABS(N12))</f>
        <v>-0.99999419407925272</v>
      </c>
      <c r="T12" s="115"/>
      <c r="U12" s="102"/>
      <c r="V12" s="265"/>
      <c r="W12" s="81" t="s">
        <v>49</v>
      </c>
      <c r="X12" s="82">
        <f>+'VZLA CONS .BL '!X12/'VENEZUELA USD'!$AI$3</f>
        <v>0</v>
      </c>
      <c r="Y12" s="82">
        <f>+'VZLA CONS .BL '!Y12/'VENEZUELA USD'!$AI$3</f>
        <v>1381147.3200398041</v>
      </c>
      <c r="Z12" s="83">
        <f>+'VZLA CONS .BL '!Z12/'VENEZUELA USD'!$AI$3</f>
        <v>6.7707112238649287</v>
      </c>
      <c r="AA12" s="355">
        <f>+'VZLA CONS .BL '!AA12/'VENEZUELA USD'!$AI$3</f>
        <v>0</v>
      </c>
      <c r="AB12" s="82">
        <f>+'VZLA CONS .BL '!AB12/'VENEZUELA USD'!$AI$3</f>
        <v>4433310.836770623</v>
      </c>
      <c r="AC12" s="418">
        <f>+'VZLA CONS .BL '!AC12/'VENEZUELA USD'!$AI$3</f>
        <v>21.931961333216691</v>
      </c>
      <c r="AD12" s="85">
        <f>+AA12-AC12</f>
        <v>-21.931961333216691</v>
      </c>
      <c r="AE12" s="86" t="str">
        <f t="shared" si="11"/>
        <v/>
      </c>
      <c r="AF12" s="86">
        <f t="shared" si="10"/>
        <v>-0.99999505291594903</v>
      </c>
    </row>
    <row r="13" spans="1:36" ht="15.75" thickBot="1" x14ac:dyDescent="0.3">
      <c r="B13" s="11">
        <v>4170250500</v>
      </c>
      <c r="C13" s="65" t="str">
        <f>+'VZLA CONS .BL '!C13</f>
        <v>Fact. Servicio Satelital</v>
      </c>
      <c r="D13" s="66">
        <f>+'VZLA CONS .BL '!D13/'VENEZUELA USD'!$AI$3</f>
        <v>0</v>
      </c>
      <c r="E13" s="67"/>
      <c r="F13" s="66">
        <f>+'VZLA CONS .BL '!F13/'VENEZUELA USD'!$AI$3</f>
        <v>0</v>
      </c>
      <c r="G13" s="67"/>
      <c r="H13" s="66">
        <f>+'VZLA CONS .BL '!H13/'VENEZUELA USD'!$AI$3</f>
        <v>0</v>
      </c>
      <c r="I13" s="67"/>
      <c r="J13" s="67"/>
      <c r="K13" s="67" t="str">
        <f t="shared" si="7"/>
        <v/>
      </c>
      <c r="L13" s="66">
        <f>+'VZLA CONS .BL '!L13/'VENEZUELA USD'!$AI$3</f>
        <v>0</v>
      </c>
      <c r="M13" s="67"/>
      <c r="N13" s="66">
        <f>+'VZLA CONS .BL '!N13/'VENEZUELA USD'!$AI$3</f>
        <v>0</v>
      </c>
      <c r="O13" s="67"/>
      <c r="P13" s="66">
        <f>+'VZLA CONS .BL '!P13/'VENEZUELA USD'!$AI$3</f>
        <v>0</v>
      </c>
      <c r="Q13" s="68"/>
      <c r="R13" s="69"/>
      <c r="S13" s="69"/>
      <c r="T13" s="115"/>
      <c r="U13" s="86" t="e">
        <f>+H20/D20</f>
        <v>#DIV/0!</v>
      </c>
      <c r="V13" s="260" t="s">
        <v>121</v>
      </c>
      <c r="W13" s="81" t="s">
        <v>51</v>
      </c>
      <c r="X13" s="82">
        <f>+'VZLA CONS .BL '!X13/'VENEZUELA USD'!$AI$3</f>
        <v>0</v>
      </c>
      <c r="Y13" s="82">
        <f>+'VZLA CONS .BL '!Y13/'VENEZUELA USD'!$AI$3</f>
        <v>1949208.5154623392</v>
      </c>
      <c r="Z13" s="83">
        <f>+'VZLA CONS .BL '!Z13/'VENEZUELA USD'!$AI$3</f>
        <v>13.531799492607822</v>
      </c>
      <c r="AA13" s="355">
        <f>SUM(AA9:AA12)</f>
        <v>0</v>
      </c>
      <c r="AB13" s="261">
        <f>SUM(AB9:AB12)</f>
        <v>5829896.3159172423</v>
      </c>
      <c r="AC13" s="418">
        <f>SUM(AC9:AC12)</f>
        <v>38.807409675443971</v>
      </c>
      <c r="AD13" s="85">
        <f>+AC13-AA13</f>
        <v>38.807409675443971</v>
      </c>
      <c r="AE13" s="86" t="str">
        <f t="shared" si="11"/>
        <v/>
      </c>
      <c r="AF13" s="86">
        <f t="shared" si="10"/>
        <v>-0.99999334337909751</v>
      </c>
      <c r="AH13" s="149"/>
    </row>
    <row r="14" spans="1:36" ht="15.75" thickBot="1" x14ac:dyDescent="0.3">
      <c r="B14" s="11"/>
      <c r="C14" s="65" t="str">
        <f>+'VZLA CONS .BL '!C14</f>
        <v>Fact. Visual Experience</v>
      </c>
      <c r="D14" s="66">
        <f>+'VZLA CONS .BL '!D14/'VENEZUELA USD'!$AI$3</f>
        <v>0</v>
      </c>
      <c r="E14" s="67"/>
      <c r="F14" s="66">
        <f>+'VZLA CONS .BL '!F14/'VENEZUELA USD'!$AI$3</f>
        <v>0</v>
      </c>
      <c r="G14" s="67"/>
      <c r="H14" s="66">
        <f>+'VZLA CONS .BL '!H14/'VENEZUELA USD'!$AI$3</f>
        <v>0</v>
      </c>
      <c r="I14" s="67"/>
      <c r="J14" s="67"/>
      <c r="K14" s="67" t="str">
        <f t="shared" si="7"/>
        <v/>
      </c>
      <c r="L14" s="66">
        <f>+'VZLA CONS .BL '!L14/'VENEZUELA USD'!$AI$3</f>
        <v>0</v>
      </c>
      <c r="M14" s="67"/>
      <c r="N14" s="66">
        <f>+'VZLA CONS .BL '!N14/'VENEZUELA USD'!$AI$3</f>
        <v>0</v>
      </c>
      <c r="O14" s="67"/>
      <c r="P14" s="66">
        <f>+'VZLA CONS .BL '!P14/'VENEZUELA USD'!$AI$3</f>
        <v>0</v>
      </c>
      <c r="Q14" s="68"/>
      <c r="R14" s="69"/>
      <c r="S14" s="69"/>
      <c r="T14" s="115"/>
      <c r="U14" s="86" t="e">
        <f>+H21/D21</f>
        <v>#DIV/0!</v>
      </c>
      <c r="V14" s="260" t="s">
        <v>122</v>
      </c>
      <c r="W14" s="73" t="s">
        <v>53</v>
      </c>
      <c r="X14" s="75">
        <f>'VZLA BFS'!X14/'VENEZUELA USD'!$AI$3</f>
        <v>0</v>
      </c>
      <c r="Y14" s="95">
        <f>'VZLA BFS'!Y14/'VENEZUELA USD'!$AI$3</f>
        <v>596299.64889335993</v>
      </c>
      <c r="Z14" s="257">
        <f>'VZLA BFS'!Z14/'VENEZUELA USD'!$AI$3</f>
        <v>3.0469884524538515</v>
      </c>
      <c r="AA14" s="414">
        <f>'VZLA BFS'!AA14/'VENEZUELA USD'!$AI$3</f>
        <v>0</v>
      </c>
      <c r="AB14" s="95">
        <f>'VZLA BFS'!AB14/'VENEZUELA USD'!$AI$3</f>
        <v>1492152.2506014337</v>
      </c>
      <c r="AC14" s="622">
        <f>'VZLA BFS'!AC14/'VENEZUELA USD'!$AI$3</f>
        <v>2.936860292187907</v>
      </c>
      <c r="AD14" s="76">
        <f>+AC14-AA14</f>
        <v>2.936860292187907</v>
      </c>
      <c r="AE14" s="77" t="str">
        <f t="shared" si="11"/>
        <v/>
      </c>
      <c r="AF14" s="77">
        <f t="shared" si="10"/>
        <v>-0.99999803179582314</v>
      </c>
    </row>
    <row r="15" spans="1:36" x14ac:dyDescent="0.25">
      <c r="B15" s="11"/>
      <c r="C15" s="65" t="str">
        <f>+'VZLA CONS .BL '!C15</f>
        <v>Fac.   Olfa Experience</v>
      </c>
      <c r="D15" s="66"/>
      <c r="E15" s="67"/>
      <c r="F15" s="66"/>
      <c r="G15" s="67"/>
      <c r="H15" s="66"/>
      <c r="I15" s="67"/>
      <c r="J15" s="67"/>
      <c r="K15" s="67"/>
      <c r="L15" s="66"/>
      <c r="M15" s="67"/>
      <c r="N15" s="66"/>
      <c r="O15" s="67"/>
      <c r="P15" s="66"/>
      <c r="Q15" s="68"/>
      <c r="R15" s="69"/>
      <c r="S15" s="69"/>
      <c r="T15" s="115"/>
      <c r="U15" s="86"/>
      <c r="V15" s="260"/>
      <c r="W15" s="89"/>
      <c r="X15" s="97"/>
      <c r="Y15" s="101"/>
      <c r="Z15" s="270"/>
      <c r="AA15" s="359"/>
      <c r="AB15" s="101"/>
      <c r="AC15" s="360"/>
      <c r="AD15" s="103"/>
      <c r="AE15" s="102"/>
      <c r="AF15" s="102"/>
    </row>
    <row r="16" spans="1:36" ht="15.75" thickBot="1" x14ac:dyDescent="0.3">
      <c r="B16" s="11"/>
      <c r="C16" s="65" t="str">
        <f>+'VZLA CONS .BL '!C16</f>
        <v>Otros</v>
      </c>
      <c r="D16" s="66">
        <f>+'VZLA CONS .BL '!D16/'VENEZUELA USD'!$AI$3</f>
        <v>0</v>
      </c>
      <c r="E16" s="67"/>
      <c r="F16" s="66">
        <f>+'VZLA CONS .BL '!F16/'VENEZUELA USD'!$AI$3</f>
        <v>0</v>
      </c>
      <c r="G16" s="67"/>
      <c r="H16" s="66">
        <f>+'VZLA CONS .BL '!H16/'VENEZUELA USD'!$AI$3</f>
        <v>0</v>
      </c>
      <c r="I16" s="67">
        <f t="shared" ref="I16:I34" si="12">+H16/$H$17</f>
        <v>0</v>
      </c>
      <c r="J16" s="67" t="str">
        <f>IF(D16=0,"",(H16-D16)/ABS(D16)+1)</f>
        <v/>
      </c>
      <c r="K16" s="67"/>
      <c r="L16" s="66">
        <f>+'VZLA CONS .BL '!L16/'VENEZUELA USD'!$AI$3</f>
        <v>0</v>
      </c>
      <c r="M16" s="67"/>
      <c r="N16" s="66">
        <f>+'VZLA CONS .BL '!N16/'VENEZUELA USD'!$AI$3</f>
        <v>0</v>
      </c>
      <c r="O16" s="67"/>
      <c r="P16" s="66">
        <f>+'VZLA CONS .BL '!P16/'VENEZUELA USD'!$AI$3</f>
        <v>0</v>
      </c>
      <c r="Q16" s="68"/>
      <c r="R16" s="69"/>
      <c r="S16" s="69"/>
      <c r="T16" s="115"/>
      <c r="U16" s="86"/>
      <c r="V16" s="260"/>
      <c r="W16" s="89"/>
      <c r="X16" s="97"/>
      <c r="Y16" s="101"/>
      <c r="Z16" s="270"/>
      <c r="AA16" s="359"/>
      <c r="AB16" s="101"/>
      <c r="AC16" s="360"/>
      <c r="AD16" s="103"/>
      <c r="AE16" s="102"/>
      <c r="AF16" s="102" t="str">
        <f t="shared" si="10"/>
        <v/>
      </c>
    </row>
    <row r="17" spans="1:34" x14ac:dyDescent="0.25">
      <c r="B17" s="11" t="s">
        <v>101</v>
      </c>
      <c r="C17" s="104" t="s">
        <v>58</v>
      </c>
      <c r="D17" s="105">
        <f>SUM(D7:D16)</f>
        <v>0</v>
      </c>
      <c r="E17" s="106" t="e">
        <f t="shared" ref="E17:E34" si="13">+D17/$D$17</f>
        <v>#DIV/0!</v>
      </c>
      <c r="F17" s="105">
        <f>SUM(F7:F16)</f>
        <v>3732836.4556906656</v>
      </c>
      <c r="G17" s="106">
        <f t="shared" ref="G17:G34" si="14">+F17/$F$17</f>
        <v>1</v>
      </c>
      <c r="H17" s="105">
        <f>SUM(H7:H16)</f>
        <v>28.779295337240832</v>
      </c>
      <c r="I17" s="106">
        <f t="shared" si="12"/>
        <v>1</v>
      </c>
      <c r="J17" s="106" t="str">
        <f t="shared" si="6"/>
        <v/>
      </c>
      <c r="K17" s="106">
        <f t="shared" ref="K17:K34" si="15">IF(F17=0,"",(H17-F17)/ABS(F17))</f>
        <v>-0.99999229023406755</v>
      </c>
      <c r="L17" s="105">
        <f>SUM(L7:L16)</f>
        <v>0</v>
      </c>
      <c r="M17" s="106" t="e">
        <f t="shared" ref="M17:M34" si="16">+L17/$L$17</f>
        <v>#DIV/0!</v>
      </c>
      <c r="N17" s="105">
        <f>SUM(N7:N16)</f>
        <v>11908814.940009624</v>
      </c>
      <c r="O17" s="106">
        <f t="shared" ref="O17:O34" si="17">+N17/$N$17</f>
        <v>1</v>
      </c>
      <c r="P17" s="105">
        <f>SUM(P7:P16)</f>
        <v>132.84602178287113</v>
      </c>
      <c r="Q17" s="107">
        <f t="shared" ref="Q17:Q34" si="18">+P17/$P$17</f>
        <v>1</v>
      </c>
      <c r="R17" s="108" t="str">
        <f t="shared" si="8"/>
        <v/>
      </c>
      <c r="S17" s="108">
        <f t="shared" si="9"/>
        <v>-0.99998884473203653</v>
      </c>
      <c r="T17" s="115"/>
      <c r="U17" s="263" t="e">
        <f t="shared" ref="U17:U29" si="19">+H22/D22</f>
        <v>#DIV/0!</v>
      </c>
      <c r="V17" s="260"/>
      <c r="W17" s="81" t="s">
        <v>59</v>
      </c>
      <c r="X17" s="82">
        <f>+'VZLA CONS .BL '!X17/'VENEZUELA USD'!$AI$3</f>
        <v>258.78313358411339</v>
      </c>
      <c r="Y17" s="82">
        <f>+'VZLA CONS .BL '!Y17/'VENEZUELA USD'!$AI$3</f>
        <v>1554705.2934891959</v>
      </c>
      <c r="Z17" s="83">
        <f>+'VZLA CONS .BL '!Z17/'VENEZUELA USD'!$AI$3</f>
        <v>14.732055375732655</v>
      </c>
      <c r="AA17" s="623">
        <f>+'VZLA CONS .BL '!AA17/'VENEZUELA USD'!$AI$3</f>
        <v>258.78313358411339</v>
      </c>
      <c r="AB17" s="82">
        <f>+'VZLA CONS .BL '!AB17/'VENEZUELA USD'!$AI$3</f>
        <v>1993607.3474214845</v>
      </c>
      <c r="AC17" s="418">
        <f>+'VZLA CONS .BL '!AC17/'VENEZUELA USD'!$AI$3</f>
        <v>19.08483509754177</v>
      </c>
      <c r="AD17" s="85">
        <f>+AC17-AA17</f>
        <v>-239.69829848657162</v>
      </c>
      <c r="AE17" s="86">
        <f t="shared" si="11"/>
        <v>7.374837313861704E-2</v>
      </c>
      <c r="AF17" s="86">
        <f t="shared" si="10"/>
        <v>-0.99999042698396845</v>
      </c>
      <c r="AH17" s="149"/>
    </row>
    <row r="18" spans="1:34" ht="15.75" thickBot="1" x14ac:dyDescent="0.3">
      <c r="B18" s="11"/>
      <c r="C18" s="112" t="s">
        <v>60</v>
      </c>
      <c r="D18" s="117">
        <f>+'VZLA CONS .BL '!D18/'VENEZUELA USD'!$AI$3</f>
        <v>0</v>
      </c>
      <c r="E18" s="113" t="e">
        <f t="shared" si="13"/>
        <v>#DIV/0!</v>
      </c>
      <c r="F18" s="117">
        <f>+'VZLA CONS .BL '!F18/'VENEZUELA USD'!$AI$3</f>
        <v>0</v>
      </c>
      <c r="G18" s="113">
        <f t="shared" si="14"/>
        <v>0</v>
      </c>
      <c r="H18" s="117">
        <f>+'VZLA CONS .BL '!H18/'VENEZUELA USD'!$AI$3</f>
        <v>59.724717872452104</v>
      </c>
      <c r="I18" s="113">
        <f t="shared" si="12"/>
        <v>2.0752668601710842</v>
      </c>
      <c r="J18" s="113" t="str">
        <f t="shared" si="6"/>
        <v/>
      </c>
      <c r="K18" s="113" t="str">
        <f t="shared" si="15"/>
        <v/>
      </c>
      <c r="L18" s="117">
        <f>+'VZLA CONS .BL '!L18/'VENEZUELA USD'!$AI$3</f>
        <v>0</v>
      </c>
      <c r="M18" s="113" t="e">
        <f t="shared" si="16"/>
        <v>#DIV/0!</v>
      </c>
      <c r="N18" s="117">
        <f>+'VZLA CONS .BL '!N18/'VENEZUELA USD'!$AI$3</f>
        <v>0</v>
      </c>
      <c r="O18" s="113">
        <f t="shared" si="17"/>
        <v>0</v>
      </c>
      <c r="P18" s="117">
        <f>+'VZLA CONS .BL '!P18/'VENEZUELA USD'!$AI$3</f>
        <v>59.724717872452104</v>
      </c>
      <c r="Q18" s="115">
        <f t="shared" si="18"/>
        <v>0.44957852008597277</v>
      </c>
      <c r="R18" s="116" t="str">
        <f t="shared" si="8"/>
        <v/>
      </c>
      <c r="S18" s="116" t="str">
        <f t="shared" si="9"/>
        <v/>
      </c>
      <c r="T18" s="115"/>
      <c r="U18" s="86" t="e">
        <f t="shared" si="19"/>
        <v>#DIV/0!</v>
      </c>
      <c r="V18" s="276"/>
      <c r="W18" s="81" t="s">
        <v>61</v>
      </c>
      <c r="X18" s="82">
        <f>+'VZLA CONS .BL '!X18/'VENEZUELA USD'!$AI$3</f>
        <v>0</v>
      </c>
      <c r="Y18" s="82">
        <f>+'VZLA CONS .BL '!Y18/'VENEZUELA USD'!$AI$3</f>
        <v>0</v>
      </c>
      <c r="Z18" s="83">
        <f>+'VZLA CONS .BL '!Z18/'VENEZUELA USD'!$AI$3</f>
        <v>0</v>
      </c>
      <c r="AA18" s="355">
        <f>+'VZLA CONS .BL '!AA18/'VENEZUELA USD'!$AI$3</f>
        <v>0</v>
      </c>
      <c r="AB18" s="82">
        <f>+'VZLA CONS .BL '!AB18/'VENEZUELA USD'!$AI$3</f>
        <v>0</v>
      </c>
      <c r="AC18" s="418">
        <f>+'VZLA CONS .BL '!AC18/'VENEZUELA USD'!$AI$3</f>
        <v>0</v>
      </c>
      <c r="AD18" s="85">
        <f t="shared" ref="AD18:AD21" si="20">+AC18-AA18</f>
        <v>0</v>
      </c>
      <c r="AE18" s="86" t="str">
        <f t="shared" si="11"/>
        <v/>
      </c>
      <c r="AF18" s="86" t="str">
        <f t="shared" si="10"/>
        <v/>
      </c>
    </row>
    <row r="19" spans="1:34" ht="15.75" thickBot="1" x14ac:dyDescent="0.3">
      <c r="B19" s="11" t="s">
        <v>102</v>
      </c>
      <c r="C19" s="119" t="s">
        <v>62</v>
      </c>
      <c r="D19" s="120">
        <f>+D17-D18</f>
        <v>0</v>
      </c>
      <c r="E19" s="121" t="e">
        <f t="shared" si="13"/>
        <v>#DIV/0!</v>
      </c>
      <c r="F19" s="120">
        <f>+F17-F18</f>
        <v>3732836.4556906656</v>
      </c>
      <c r="G19" s="121">
        <f t="shared" si="14"/>
        <v>1</v>
      </c>
      <c r="H19" s="105">
        <f>+H17-H18</f>
        <v>-30.945422535211272</v>
      </c>
      <c r="I19" s="121">
        <f t="shared" si="12"/>
        <v>-1.0752668601710842</v>
      </c>
      <c r="J19" s="121" t="str">
        <f t="shared" si="6"/>
        <v/>
      </c>
      <c r="K19" s="121">
        <f t="shared" si="15"/>
        <v>-1.0000082900558067</v>
      </c>
      <c r="L19" s="624">
        <f>+L17-L18</f>
        <v>0</v>
      </c>
      <c r="M19" s="121" t="e">
        <f t="shared" si="16"/>
        <v>#DIV/0!</v>
      </c>
      <c r="N19" s="120">
        <f>+N17-N18</f>
        <v>11908814.940009624</v>
      </c>
      <c r="O19" s="121">
        <f t="shared" si="17"/>
        <v>1</v>
      </c>
      <c r="P19" s="624">
        <f>+P17-P18</f>
        <v>73.12130391041903</v>
      </c>
      <c r="Q19" s="122">
        <f t="shared" si="18"/>
        <v>0.55042147991402723</v>
      </c>
      <c r="R19" s="123" t="str">
        <f t="shared" si="8"/>
        <v/>
      </c>
      <c r="S19" s="123">
        <f t="shared" si="9"/>
        <v>-0.99999385990089873</v>
      </c>
      <c r="T19" s="127"/>
      <c r="U19" s="86" t="e">
        <f t="shared" si="19"/>
        <v>#DIV/0!</v>
      </c>
      <c r="V19" s="276"/>
      <c r="W19" s="81" t="s">
        <v>63</v>
      </c>
      <c r="X19" s="82">
        <f>+'VZLA CONS .BL '!X19/'VENEZUELA USD'!$AI$3</f>
        <v>0</v>
      </c>
      <c r="Y19" s="82">
        <f>+'VZLA CONS .BL '!Y19/'VENEZUELA USD'!$AI$3</f>
        <v>268538.94461333216</v>
      </c>
      <c r="Z19" s="83">
        <f>+'VZLA CONS .BL '!Z19/'VENEZUELA USD'!$AI$3</f>
        <v>6.4351325343364536</v>
      </c>
      <c r="AA19" s="355">
        <f>+'VZLA CONS .BL '!AA19/'VENEZUELA USD'!$AI$3</f>
        <v>0</v>
      </c>
      <c r="AB19" s="82">
        <f>+'VZLA CONS .BL '!AB19/'VENEZUELA USD'!$AI$3</f>
        <v>707440.99854562141</v>
      </c>
      <c r="AC19" s="418">
        <f>+'VZLA CONS .BL '!AC19/'VENEZUELA USD'!$AI$3</f>
        <v>10.787912256145569</v>
      </c>
      <c r="AD19" s="85">
        <f t="shared" si="20"/>
        <v>10.787912256145569</v>
      </c>
      <c r="AE19" s="86" t="str">
        <f t="shared" si="11"/>
        <v/>
      </c>
      <c r="AF19" s="86">
        <f t="shared" si="10"/>
        <v>-0.99998475079578597</v>
      </c>
      <c r="AH19" s="149"/>
    </row>
    <row r="20" spans="1:34" x14ac:dyDescent="0.25">
      <c r="B20" s="11" t="s">
        <v>103</v>
      </c>
      <c r="C20" s="81" t="s">
        <v>64</v>
      </c>
      <c r="D20" s="83">
        <f>+'VZLA CONS .BL '!D20/'VENEZUELA USD'!$AI$3</f>
        <v>0</v>
      </c>
      <c r="E20" s="126" t="e">
        <f t="shared" si="13"/>
        <v>#DIV/0!</v>
      </c>
      <c r="F20" s="83">
        <f>+'VZLA CONS .BL '!F20/'VENEZUELA USD'!$AI$3</f>
        <v>53952.047568016795</v>
      </c>
      <c r="G20" s="126">
        <f t="shared" si="14"/>
        <v>1.445336494337102E-2</v>
      </c>
      <c r="H20" s="83">
        <f>+'VZLA CONS .BL '!H20/'VENEZUELA USD'!$AI$3</f>
        <v>0.43110838946723823</v>
      </c>
      <c r="I20" s="126">
        <f t="shared" si="12"/>
        <v>1.4979810464969155E-2</v>
      </c>
      <c r="J20" s="126" t="str">
        <f t="shared" si="6"/>
        <v/>
      </c>
      <c r="K20" s="126">
        <f t="shared" si="15"/>
        <v>-0.9999920094156034</v>
      </c>
      <c r="L20" s="83">
        <f>+'VZLA CONS .BL '!L20/'VENEZUELA USD'!$AI$3</f>
        <v>0</v>
      </c>
      <c r="M20" s="126" t="e">
        <f t="shared" si="16"/>
        <v>#DIV/0!</v>
      </c>
      <c r="N20" s="83">
        <f>+'VZLA CONS .BL '!N20/'VENEZUELA USD'!$AI$3</f>
        <v>169448.15579345639</v>
      </c>
      <c r="O20" s="126">
        <f t="shared" si="17"/>
        <v>1.4228800820824533E-2</v>
      </c>
      <c r="P20" s="83">
        <f>+'VZLA CONS .BL '!P20/'VENEZUELA USD'!$AI$3</f>
        <v>1.6461486309159306</v>
      </c>
      <c r="Q20" s="127">
        <f t="shared" si="18"/>
        <v>1.2391403286479002E-2</v>
      </c>
      <c r="R20" s="128" t="str">
        <f t="shared" si="8"/>
        <v/>
      </c>
      <c r="S20" s="128">
        <f t="shared" si="9"/>
        <v>-0.99999028523725619</v>
      </c>
      <c r="T20" s="127"/>
      <c r="U20" s="263" t="e">
        <f t="shared" si="19"/>
        <v>#DIV/0!</v>
      </c>
      <c r="V20" s="265">
        <v>2101</v>
      </c>
      <c r="W20" s="81" t="s">
        <v>65</v>
      </c>
      <c r="X20" s="82">
        <f>+'VZLA CONS .BL '!X20/'VENEZUELA USD'!$AI$3</f>
        <v>0</v>
      </c>
      <c r="Y20" s="82">
        <f>+'VZLA CONS .BL '!Y20/'VENEZUELA USD'!$AI$3</f>
        <v>0</v>
      </c>
      <c r="Z20" s="83">
        <f>+'VZLA CONS .BL '!Z20/'VENEZUELA USD'!$AI$3</f>
        <v>0</v>
      </c>
      <c r="AA20" s="355">
        <f>+'VZLA CONS .BL '!AA20/'VENEZUELA USD'!$AI$3</f>
        <v>0</v>
      </c>
      <c r="AB20" s="82">
        <f>+'VZLA CONS .BL '!AB20/'VENEZUELA USD'!$AI$3</f>
        <v>0</v>
      </c>
      <c r="AC20" s="418">
        <f>+'VZLA CONS .BL '!AC20/'VENEZUELA USD'!$AI$3</f>
        <v>0</v>
      </c>
      <c r="AD20" s="85">
        <f t="shared" si="20"/>
        <v>0</v>
      </c>
      <c r="AE20" s="86" t="str">
        <f t="shared" si="11"/>
        <v/>
      </c>
      <c r="AF20" s="86" t="str">
        <f t="shared" si="10"/>
        <v/>
      </c>
    </row>
    <row r="21" spans="1:34" ht="15.75" thickBot="1" x14ac:dyDescent="0.3">
      <c r="B21" s="11"/>
      <c r="C21" s="81" t="s">
        <v>66</v>
      </c>
      <c r="D21" s="83">
        <f>+'VZLA CONS .BL '!D21/'VENEZUELA USD'!$AI$3</f>
        <v>0</v>
      </c>
      <c r="E21" s="126" t="e">
        <f t="shared" si="13"/>
        <v>#DIV/0!</v>
      </c>
      <c r="F21" s="83">
        <f>+'VZLA CONS .BL '!F21/'VENEZUELA USD'!$AI$3</f>
        <v>1176903.9723886799</v>
      </c>
      <c r="G21" s="126">
        <f t="shared" si="14"/>
        <v>0.31528409732349871</v>
      </c>
      <c r="H21" s="83">
        <f>+'VZLA CONS .BL '!H21/'VENEZUELA USD'!$AI$3</f>
        <v>6.9608301985827996</v>
      </c>
      <c r="I21" s="126">
        <f t="shared" si="12"/>
        <v>0.24186937577916937</v>
      </c>
      <c r="J21" s="126" t="str">
        <f t="shared" si="6"/>
        <v/>
      </c>
      <c r="K21" s="126">
        <f t="shared" si="15"/>
        <v>-0.99999408547310409</v>
      </c>
      <c r="L21" s="83">
        <f>+'VZLA CONS .BL '!L21/'VENEZUELA USD'!$AI$3</f>
        <v>0</v>
      </c>
      <c r="M21" s="126" t="e">
        <f t="shared" si="16"/>
        <v>#DIV/0!</v>
      </c>
      <c r="N21" s="83">
        <f>+'VZLA CONS .BL '!N21/'VENEZUELA USD'!$AI$3</f>
        <v>2631048.2272767038</v>
      </c>
      <c r="O21" s="126">
        <f t="shared" si="17"/>
        <v>0.22093283341210251</v>
      </c>
      <c r="P21" s="83">
        <f>+'VZLA CONS .BL '!P21/'VENEZUELA USD'!$AI$3</f>
        <v>14.635257195345988</v>
      </c>
      <c r="Q21" s="127">
        <f t="shared" si="18"/>
        <v>0.11016707161367947</v>
      </c>
      <c r="R21" s="128" t="str">
        <f t="shared" si="8"/>
        <v/>
      </c>
      <c r="S21" s="128">
        <f t="shared" si="9"/>
        <v>-0.99999443748045225</v>
      </c>
      <c r="T21" s="115"/>
      <c r="U21" s="263" t="e">
        <f t="shared" si="19"/>
        <v>#DIV/0!</v>
      </c>
      <c r="V21" s="260" t="s">
        <v>123</v>
      </c>
      <c r="W21" s="81" t="s">
        <v>67</v>
      </c>
      <c r="X21" s="82">
        <f>+'VZLA CONS .BL '!X21/'VENEZUELA USD'!$AI$3</f>
        <v>0</v>
      </c>
      <c r="Y21" s="82">
        <f>+'VZLA CONS .BL '!Y21/'VENEZUELA USD'!$AI$3</f>
        <v>0</v>
      </c>
      <c r="Z21" s="83">
        <f>+'VZLA CONS .BL '!Z21/'VENEZUELA USD'!$AI$3</f>
        <v>0</v>
      </c>
      <c r="AA21" s="355">
        <f>+'VZLA CONS .BL '!AA21/'VENEZUELA USD'!$AI$3</f>
        <v>0</v>
      </c>
      <c r="AB21" s="82"/>
      <c r="AC21" s="418">
        <f>+'VZLA CONS .BL '!AC21/'VENEZUELA USD'!$AI$3</f>
        <v>0</v>
      </c>
      <c r="AD21" s="85">
        <f t="shared" si="20"/>
        <v>0</v>
      </c>
      <c r="AE21" s="86" t="str">
        <f t="shared" si="11"/>
        <v/>
      </c>
      <c r="AF21" s="86" t="str">
        <f t="shared" si="10"/>
        <v/>
      </c>
    </row>
    <row r="22" spans="1:34" ht="15.75" thickBot="1" x14ac:dyDescent="0.3">
      <c r="B22" s="11" t="s">
        <v>104</v>
      </c>
      <c r="C22" s="112" t="s">
        <v>68</v>
      </c>
      <c r="D22" s="117">
        <f>SUM(D20:D21)</f>
        <v>0</v>
      </c>
      <c r="E22" s="113" t="e">
        <f t="shared" si="13"/>
        <v>#DIV/0!</v>
      </c>
      <c r="F22" s="117">
        <f>SUM(F20:F21)</f>
        <v>1230856.0199566965</v>
      </c>
      <c r="G22" s="113">
        <f t="shared" si="14"/>
        <v>0.32973746226686973</v>
      </c>
      <c r="H22" s="117">
        <f>SUM(H20:H21)</f>
        <v>7.3919385880500377</v>
      </c>
      <c r="I22" s="113">
        <f t="shared" si="12"/>
        <v>0.25684918624413849</v>
      </c>
      <c r="J22" s="113" t="str">
        <f t="shared" si="6"/>
        <v/>
      </c>
      <c r="K22" s="113">
        <f t="shared" si="15"/>
        <v>-0.99999399447338411</v>
      </c>
      <c r="L22" s="114">
        <f>SUM(L20:L21)</f>
        <v>0</v>
      </c>
      <c r="M22" s="113" t="e">
        <f t="shared" si="16"/>
        <v>#DIV/0!</v>
      </c>
      <c r="N22" s="114">
        <f>SUM(N20:N21)</f>
        <v>2800496.3830701602</v>
      </c>
      <c r="O22" s="113">
        <f t="shared" si="17"/>
        <v>0.23516163423292705</v>
      </c>
      <c r="P22" s="114">
        <f>SUM(P20:P21)</f>
        <v>16.281405826261917</v>
      </c>
      <c r="Q22" s="115">
        <f t="shared" si="18"/>
        <v>0.12255847490015846</v>
      </c>
      <c r="R22" s="116" t="str">
        <f t="shared" si="8"/>
        <v/>
      </c>
      <c r="S22" s="116">
        <f t="shared" si="9"/>
        <v>-0.99999418624286585</v>
      </c>
      <c r="T22" s="127"/>
      <c r="U22" s="77" t="e">
        <f t="shared" si="19"/>
        <v>#DIV/0!</v>
      </c>
      <c r="V22" s="265" t="s">
        <v>124</v>
      </c>
      <c r="W22" s="73" t="s">
        <v>69</v>
      </c>
      <c r="X22" s="75">
        <f>+X17-X19-X20-X18</f>
        <v>258.78313358411339</v>
      </c>
      <c r="Y22" s="75">
        <f t="shared" ref="Y22:AC22" si="21">+Y17-Y19-Y20-Y18</f>
        <v>1286166.3488758637</v>
      </c>
      <c r="Z22" s="74">
        <f t="shared" si="21"/>
        <v>8.2969228413962011</v>
      </c>
      <c r="AA22" s="424">
        <f t="shared" si="21"/>
        <v>258.78313358411339</v>
      </c>
      <c r="AB22" s="625">
        <f t="shared" si="21"/>
        <v>1286166.348875863</v>
      </c>
      <c r="AC22" s="425">
        <f t="shared" si="21"/>
        <v>8.2969228413962011</v>
      </c>
      <c r="AD22" s="76">
        <f t="shared" ref="AD22" si="22">Z22-X22</f>
        <v>-250.48621074271719</v>
      </c>
      <c r="AE22" s="77">
        <f t="shared" ref="AE22" si="23">IF(X22=0,"",(Z22-X22)/ABS(X22)+1)</f>
        <v>3.2061296756418667E-2</v>
      </c>
      <c r="AF22" s="77">
        <f t="shared" ref="AF22" si="24">IF(Y22=0,"",(Z22-Y22)/ABS(Y22))</f>
        <v>-0.99999354910595462</v>
      </c>
    </row>
    <row r="23" spans="1:34" x14ac:dyDescent="0.25">
      <c r="A23" s="11" t="s">
        <v>105</v>
      </c>
      <c r="B23" s="11" t="s">
        <v>106</v>
      </c>
      <c r="C23" s="81" t="s">
        <v>70</v>
      </c>
      <c r="D23" s="83">
        <f>+'VZLA CONS .BL '!D23/'VENEZUELA USD'!$AI$3</f>
        <v>0</v>
      </c>
      <c r="E23" s="126" t="e">
        <f t="shared" si="13"/>
        <v>#DIV/0!</v>
      </c>
      <c r="F23" s="83">
        <f>+'VZLA CONS .BL '!F23/'VENEZUELA USD'!$AI$3</f>
        <v>1338329.2574468548</v>
      </c>
      <c r="G23" s="126">
        <f t="shared" si="14"/>
        <v>0.35852876849361764</v>
      </c>
      <c r="H23" s="83">
        <f>+'VZLA CONS .BL '!H23/'VENEZUELA USD'!$AI$3</f>
        <v>9.8151517802466977</v>
      </c>
      <c r="I23" s="126">
        <f t="shared" si="12"/>
        <v>0.34104906549069486</v>
      </c>
      <c r="J23" s="126" t="str">
        <f t="shared" si="6"/>
        <v/>
      </c>
      <c r="K23" s="126">
        <f t="shared" si="15"/>
        <v>-0.9999926661158115</v>
      </c>
      <c r="L23" s="83">
        <f>+'VZLA CONS .BL '!L23/'VENEZUELA USD'!$AI$3</f>
        <v>0</v>
      </c>
      <c r="M23" s="126" t="e">
        <f t="shared" si="16"/>
        <v>#DIV/0!</v>
      </c>
      <c r="N23" s="83">
        <f>+'VZLA CONS .BL '!N23/'VENEZUELA USD'!$AI$3</f>
        <v>4637755.035495583</v>
      </c>
      <c r="O23" s="126">
        <f t="shared" si="17"/>
        <v>0.38943883659777778</v>
      </c>
      <c r="P23" s="83">
        <f>+'VZLA CONS .BL '!P23/'VENEZUELA USD'!$AI$3</f>
        <v>46.934235849881894</v>
      </c>
      <c r="Q23" s="127">
        <f>+P28/$P$17</f>
        <v>0</v>
      </c>
      <c r="R23" s="128" t="str">
        <f>IF(L23=0,"",(P28-L23)/ABS(L23)+1)</f>
        <v/>
      </c>
      <c r="S23" s="128">
        <f>IF(N23=0,"",(P28-N23)/ABS(N23))</f>
        <v>-1</v>
      </c>
      <c r="T23" s="127"/>
      <c r="U23" s="86" t="e">
        <f t="shared" si="19"/>
        <v>#DIV/0!</v>
      </c>
      <c r="V23" s="265" t="s">
        <v>125</v>
      </c>
      <c r="X23" s="392"/>
    </row>
    <row r="24" spans="1:34" ht="15.75" thickBot="1" x14ac:dyDescent="0.3">
      <c r="B24" s="11"/>
      <c r="C24" s="81" t="s">
        <v>72</v>
      </c>
      <c r="D24" s="83">
        <f>+'VZLA CONS .BL '!D24/'VENEZUELA USD'!$AI$3</f>
        <v>0</v>
      </c>
      <c r="E24" s="126" t="e">
        <f t="shared" si="13"/>
        <v>#DIV/0!</v>
      </c>
      <c r="F24" s="83">
        <f>+'VZLA CONS .BL '!F24/'VENEZUELA USD'!$AI$3</f>
        <v>757706.21979704313</v>
      </c>
      <c r="G24" s="126">
        <f t="shared" si="14"/>
        <v>0.20298403875742502</v>
      </c>
      <c r="H24" s="83">
        <f>+'VZLA CONS .BL '!H24/'VENEZUELA USD'!$AI$3</f>
        <v>2.177084244598023</v>
      </c>
      <c r="I24" s="126">
        <f t="shared" si="12"/>
        <v>7.5647586887954268E-2</v>
      </c>
      <c r="J24" s="126" t="str">
        <f t="shared" si="6"/>
        <v/>
      </c>
      <c r="K24" s="126">
        <f t="shared" si="15"/>
        <v>-0.99999712674360108</v>
      </c>
      <c r="L24" s="83">
        <f>+'VZLA CONS .BL '!L24/'VENEZUELA USD'!$AI$3</f>
        <v>0</v>
      </c>
      <c r="M24" s="126" t="e">
        <f t="shared" si="16"/>
        <v>#DIV/0!</v>
      </c>
      <c r="N24" s="83">
        <f>+'VZLA CONS .BL '!N24/'VENEZUELA USD'!$AI$3</f>
        <v>2286762.795960546</v>
      </c>
      <c r="O24" s="126">
        <f t="shared" si="17"/>
        <v>0.19202269977995795</v>
      </c>
      <c r="P24" s="83">
        <f>+'VZLA CONS .BL '!P24/'VENEZUELA USD'!$AI$3</f>
        <v>10.192721546671331</v>
      </c>
      <c r="Q24" s="127">
        <f t="shared" si="18"/>
        <v>7.6725831981109105E-2</v>
      </c>
      <c r="R24" s="128" t="str">
        <f t="shared" si="8"/>
        <v/>
      </c>
      <c r="S24" s="128">
        <f t="shared" si="9"/>
        <v>-0.99999554272897717</v>
      </c>
      <c r="T24" s="115"/>
      <c r="U24" s="86" t="e">
        <f t="shared" si="19"/>
        <v>#DIV/0!</v>
      </c>
      <c r="V24" s="276"/>
      <c r="W24" s="15"/>
      <c r="X24" s="605"/>
      <c r="Y24" s="87">
        <f>+'VZLA CONS .BL '!Y22/'VENEZUELA USD'!$AI$3</f>
        <v>1286166.3488758639</v>
      </c>
      <c r="Z24" s="87">
        <f>+'VZLA CONS .BL '!Z22/'VENEZUELA USD'!$AI$3</f>
        <v>8.2969228413962011</v>
      </c>
      <c r="AA24" s="87"/>
      <c r="AB24" s="87"/>
      <c r="AC24" s="87"/>
      <c r="AD24" s="15"/>
      <c r="AE24" s="15"/>
    </row>
    <row r="25" spans="1:34" ht="15.75" thickBot="1" x14ac:dyDescent="0.3">
      <c r="B25" s="11"/>
      <c r="C25" s="112" t="s">
        <v>73</v>
      </c>
      <c r="D25" s="117">
        <f>SUM(D23:D24)</f>
        <v>0</v>
      </c>
      <c r="E25" s="113" t="e">
        <f t="shared" si="13"/>
        <v>#DIV/0!</v>
      </c>
      <c r="F25" s="117">
        <f>SUM(F23:F24)</f>
        <v>2096035.477243898</v>
      </c>
      <c r="G25" s="113">
        <f t="shared" si="14"/>
        <v>0.56151280725104269</v>
      </c>
      <c r="H25" s="117">
        <f>SUM(H23:H24)</f>
        <v>11.99223602484472</v>
      </c>
      <c r="I25" s="113">
        <f t="shared" si="12"/>
        <v>0.41669665237864911</v>
      </c>
      <c r="J25" s="113" t="str">
        <f t="shared" si="6"/>
        <v/>
      </c>
      <c r="K25" s="113">
        <f t="shared" si="15"/>
        <v>-0.99999427861018808</v>
      </c>
      <c r="L25" s="114">
        <f>SUM(L23:L24)</f>
        <v>0</v>
      </c>
      <c r="M25" s="113" t="e">
        <f t="shared" si="16"/>
        <v>#DIV/0!</v>
      </c>
      <c r="N25" s="114">
        <f>+N24+N23</f>
        <v>6924517.8314561285</v>
      </c>
      <c r="O25" s="113">
        <f t="shared" si="17"/>
        <v>0.58146153637773568</v>
      </c>
      <c r="P25" s="114">
        <f>SUM(P23:P24)</f>
        <v>57.126957396553223</v>
      </c>
      <c r="Q25" s="115">
        <f t="shared" si="18"/>
        <v>0.43002384738267746</v>
      </c>
      <c r="R25" s="116" t="str">
        <f t="shared" si="8"/>
        <v/>
      </c>
      <c r="S25" s="116">
        <f t="shared" si="9"/>
        <v>-0.99999175004544905</v>
      </c>
      <c r="T25" s="115"/>
      <c r="U25" s="77" t="e">
        <f t="shared" si="19"/>
        <v>#DIV/0!</v>
      </c>
      <c r="V25" s="256"/>
      <c r="W25" s="15"/>
      <c r="X25" s="392"/>
      <c r="Y25" s="15"/>
      <c r="Z25" s="15"/>
      <c r="AA25" s="15"/>
      <c r="AB25" s="15"/>
      <c r="AC25" s="15"/>
      <c r="AD25" s="15"/>
      <c r="AE25" s="15"/>
    </row>
    <row r="26" spans="1:34" ht="15.75" thickBot="1" x14ac:dyDescent="0.3">
      <c r="B26" s="11"/>
      <c r="C26" s="112" t="s">
        <v>75</v>
      </c>
      <c r="D26" s="117">
        <f>D22+D25</f>
        <v>0</v>
      </c>
      <c r="E26" s="113" t="e">
        <f t="shared" si="13"/>
        <v>#DIV/0!</v>
      </c>
      <c r="F26" s="117">
        <f>F22+F25</f>
        <v>3326891.4972005943</v>
      </c>
      <c r="G26" s="113">
        <f t="shared" si="14"/>
        <v>0.89125026951791231</v>
      </c>
      <c r="H26" s="117">
        <f>H22+H25</f>
        <v>19.384174612894757</v>
      </c>
      <c r="I26" s="113">
        <f t="shared" si="12"/>
        <v>0.67354583862278761</v>
      </c>
      <c r="J26" s="113" t="str">
        <f t="shared" si="6"/>
        <v/>
      </c>
      <c r="K26" s="113">
        <f t="shared" si="15"/>
        <v>-0.99999417348758468</v>
      </c>
      <c r="L26" s="117">
        <f>L22+L25</f>
        <v>0</v>
      </c>
      <c r="M26" s="113" t="e">
        <f t="shared" si="16"/>
        <v>#DIV/0!</v>
      </c>
      <c r="N26" s="117">
        <f>+N25+N22</f>
        <v>9725014.2145262882</v>
      </c>
      <c r="O26" s="113">
        <f t="shared" si="17"/>
        <v>0.8166231706106627</v>
      </c>
      <c r="P26" s="117">
        <f>P22+P25</f>
        <v>73.40836322281514</v>
      </c>
      <c r="Q26" s="115">
        <f t="shared" si="18"/>
        <v>0.55258232228283599</v>
      </c>
      <c r="R26" s="116" t="str">
        <f t="shared" si="8"/>
        <v/>
      </c>
      <c r="S26" s="116">
        <f t="shared" si="9"/>
        <v>-0.99999245159322092</v>
      </c>
      <c r="T26" s="115"/>
      <c r="U26" s="86" t="e">
        <f t="shared" si="19"/>
        <v>#DIV/0!</v>
      </c>
      <c r="V26" s="626"/>
      <c r="X26" s="392"/>
    </row>
    <row r="27" spans="1:34" ht="15.75" thickBot="1" x14ac:dyDescent="0.3">
      <c r="B27" s="11" t="s">
        <v>107</v>
      </c>
      <c r="C27" s="73" t="s">
        <v>76</v>
      </c>
      <c r="D27" s="141">
        <f>D19-D26</f>
        <v>0</v>
      </c>
      <c r="E27" s="142" t="e">
        <f t="shared" si="13"/>
        <v>#DIV/0!</v>
      </c>
      <c r="F27" s="141">
        <f>F19-F26</f>
        <v>405944.95849007135</v>
      </c>
      <c r="G27" s="142">
        <f t="shared" si="14"/>
        <v>0.10874973048208769</v>
      </c>
      <c r="H27" s="141">
        <f>H19-H26</f>
        <v>-50.329597148106032</v>
      </c>
      <c r="I27" s="142">
        <f t="shared" si="12"/>
        <v>-1.7488126987938719</v>
      </c>
      <c r="J27" s="142" t="str">
        <f t="shared" si="6"/>
        <v/>
      </c>
      <c r="K27" s="142">
        <f t="shared" si="15"/>
        <v>-1.0001239813331722</v>
      </c>
      <c r="L27" s="627">
        <f>L19-L26</f>
        <v>0</v>
      </c>
      <c r="M27" s="142" t="e">
        <f t="shared" si="16"/>
        <v>#DIV/0!</v>
      </c>
      <c r="N27" s="141">
        <f>N19-N26</f>
        <v>2183800.7254833356</v>
      </c>
      <c r="O27" s="142">
        <f t="shared" si="17"/>
        <v>0.18337682938933728</v>
      </c>
      <c r="P27" s="627">
        <f>P19-P26</f>
        <v>-0.28705931239611004</v>
      </c>
      <c r="Q27" s="145">
        <f t="shared" si="18"/>
        <v>-2.1608423688086898E-3</v>
      </c>
      <c r="R27" s="144" t="str">
        <f t="shared" si="8"/>
        <v/>
      </c>
      <c r="S27" s="144">
        <f t="shared" si="9"/>
        <v>-1.0000001314494078</v>
      </c>
      <c r="T27" s="127"/>
      <c r="U27" s="77" t="e">
        <f t="shared" si="19"/>
        <v>#DIV/0!</v>
      </c>
      <c r="V27" s="297"/>
      <c r="X27" s="392"/>
    </row>
    <row r="28" spans="1:34" ht="15.75" thickBot="1" x14ac:dyDescent="0.3">
      <c r="B28" s="11" t="s">
        <v>108</v>
      </c>
      <c r="C28" s="81" t="s">
        <v>77</v>
      </c>
      <c r="D28" s="83">
        <f>+'VZLA CONS .BL '!D28/'VENEZUELA USD'!$AI$3</f>
        <v>0</v>
      </c>
      <c r="E28" s="126" t="e">
        <f t="shared" si="13"/>
        <v>#DIV/0!</v>
      </c>
      <c r="F28" s="83">
        <f>+'VZLA CONS .BL '!F28/'VENEZUELA USD'!$AI$3</f>
        <v>0</v>
      </c>
      <c r="G28" s="126">
        <f t="shared" si="14"/>
        <v>0</v>
      </c>
      <c r="H28" s="83">
        <f>+'VZLA CONS .BL '!H28/'VENEZUELA USD'!$AI$3</f>
        <v>0</v>
      </c>
      <c r="I28" s="126">
        <f t="shared" si="12"/>
        <v>0</v>
      </c>
      <c r="J28" s="126" t="str">
        <f t="shared" si="6"/>
        <v/>
      </c>
      <c r="K28" s="126" t="str">
        <f t="shared" si="15"/>
        <v/>
      </c>
      <c r="L28" s="83">
        <f>+'VZLA CONS .BL '!L28/'VENEZUELA USD'!$AI$3</f>
        <v>0</v>
      </c>
      <c r="M28" s="126" t="e">
        <f t="shared" si="16"/>
        <v>#DIV/0!</v>
      </c>
      <c r="N28" s="83">
        <f>+'VZLA CONS .BL '!N28/'VENEZUELA USD'!$AI$3</f>
        <v>0</v>
      </c>
      <c r="O28" s="126">
        <f t="shared" si="17"/>
        <v>0</v>
      </c>
      <c r="P28" s="83">
        <f>+'VZLA CONS .BL '!P28/'VENEZUELA USD'!$AI$3</f>
        <v>0</v>
      </c>
      <c r="Q28" s="127"/>
      <c r="R28" s="128" t="str">
        <f>IF(L28=0,"",(#REF!-L28)/ABS(L28)+1)</f>
        <v/>
      </c>
      <c r="S28" s="128"/>
      <c r="T28" s="127"/>
      <c r="U28" s="77" t="e">
        <f t="shared" si="19"/>
        <v>#DIV/0!</v>
      </c>
      <c r="V28" s="297"/>
      <c r="Z28" s="149"/>
      <c r="AA28" s="149"/>
      <c r="AB28" s="149"/>
      <c r="AC28" s="149"/>
    </row>
    <row r="29" spans="1:34" ht="15.75" thickBot="1" x14ac:dyDescent="0.3">
      <c r="B29" s="11"/>
      <c r="C29" s="81" t="s">
        <v>78</v>
      </c>
      <c r="D29" s="83">
        <f>+'VZLA CONS .BL '!D29/'VENEZUELA USD'!$AI$3</f>
        <v>0</v>
      </c>
      <c r="E29" s="126" t="e">
        <f t="shared" si="13"/>
        <v>#DIV/0!</v>
      </c>
      <c r="F29" s="83">
        <f>+'VZLA CONS .BL '!F29/'VENEZUELA USD'!$AI$3</f>
        <v>59834.12334878838</v>
      </c>
      <c r="G29" s="126">
        <f t="shared" si="14"/>
        <v>1.6029130678246555E-2</v>
      </c>
      <c r="H29" s="83">
        <f>+'VZLA CONS .BL '!H29/'VENEZUELA USD'!$AI$3</f>
        <v>1.5660593998775261</v>
      </c>
      <c r="I29" s="126">
        <f t="shared" si="12"/>
        <v>5.441618293728763E-2</v>
      </c>
      <c r="J29" s="126" t="str">
        <f t="shared" si="6"/>
        <v/>
      </c>
      <c r="K29" s="126">
        <f t="shared" si="15"/>
        <v>-0.99997382665087697</v>
      </c>
      <c r="L29" s="83">
        <f>+'VZLA CONS .BL '!L29/'VENEZUELA USD'!$AI$3</f>
        <v>0</v>
      </c>
      <c r="M29" s="126" t="e">
        <f t="shared" si="16"/>
        <v>#DIV/0!</v>
      </c>
      <c r="N29" s="83">
        <f>+'VZLA CONS .BL '!N29/'VENEZUELA USD'!$AI$3</f>
        <v>158705.12685897996</v>
      </c>
      <c r="O29" s="126">
        <f t="shared" si="17"/>
        <v>1.3326693517235201E-2</v>
      </c>
      <c r="P29" s="83">
        <f>+'VZLA CONS .BL '!P29/'VENEZUELA USD'!$AI$3</f>
        <v>2.4903770448779636</v>
      </c>
      <c r="Q29" s="127">
        <f t="shared" si="18"/>
        <v>1.874634265637503E-2</v>
      </c>
      <c r="R29" s="128" t="str">
        <f t="shared" si="8"/>
        <v/>
      </c>
      <c r="S29" s="128">
        <f t="shared" si="9"/>
        <v>-0.99998430815000006</v>
      </c>
      <c r="T29" s="115"/>
      <c r="U29" s="298" t="e">
        <f t="shared" si="19"/>
        <v>#DIV/0!</v>
      </c>
      <c r="V29" s="297"/>
    </row>
    <row r="30" spans="1:34" ht="15.75" thickBot="1" x14ac:dyDescent="0.3">
      <c r="B30" s="11" t="s">
        <v>109</v>
      </c>
      <c r="C30" s="73" t="s">
        <v>79</v>
      </c>
      <c r="D30" s="141">
        <f>D27+D28-D29</f>
        <v>0</v>
      </c>
      <c r="E30" s="142" t="e">
        <f t="shared" si="13"/>
        <v>#DIV/0!</v>
      </c>
      <c r="F30" s="141">
        <f>F27+F28-F29</f>
        <v>346110.83514128299</v>
      </c>
      <c r="G30" s="142">
        <f t="shared" si="14"/>
        <v>9.2720599803841147E-2</v>
      </c>
      <c r="H30" s="141">
        <f>H27+H28-H29</f>
        <v>-51.895656547983556</v>
      </c>
      <c r="I30" s="142">
        <f t="shared" si="12"/>
        <v>-1.8032288817311595</v>
      </c>
      <c r="J30" s="142" t="str">
        <f t="shared" si="6"/>
        <v/>
      </c>
      <c r="K30" s="142">
        <f t="shared" si="15"/>
        <v>-1.0001499394161606</v>
      </c>
      <c r="L30" s="627">
        <f>L27+L28-L29</f>
        <v>0</v>
      </c>
      <c r="M30" s="142" t="e">
        <f t="shared" si="16"/>
        <v>#DIV/0!</v>
      </c>
      <c r="N30" s="141">
        <f>N27+N28-N29</f>
        <v>2025095.5986243556</v>
      </c>
      <c r="O30" s="142">
        <f t="shared" si="17"/>
        <v>0.17005013587210208</v>
      </c>
      <c r="P30" s="627">
        <f>P27+P28-P29</f>
        <v>-2.7774363572740737</v>
      </c>
      <c r="Q30" s="143">
        <f t="shared" si="18"/>
        <v>-2.0907185025183721E-2</v>
      </c>
      <c r="R30" s="144" t="str">
        <f t="shared" si="8"/>
        <v/>
      </c>
      <c r="S30" s="144">
        <f t="shared" si="9"/>
        <v>-1.0000013715087619</v>
      </c>
      <c r="T30" s="127"/>
    </row>
    <row r="31" spans="1:34" ht="15.75" thickBot="1" x14ac:dyDescent="0.3">
      <c r="B31" s="11"/>
      <c r="C31" s="81" t="s">
        <v>63</v>
      </c>
      <c r="D31" s="83">
        <f>+'VZLA CONS .BL '!D31/'VENEZUELA USD'!$AI$3</f>
        <v>0</v>
      </c>
      <c r="E31" s="126" t="e">
        <f t="shared" si="13"/>
        <v>#DIV/0!</v>
      </c>
      <c r="F31" s="83">
        <f>+'VZLA CONS .BL '!F31/'VENEZUELA USD'!$AI$3</f>
        <v>0</v>
      </c>
      <c r="G31" s="126">
        <f t="shared" si="14"/>
        <v>0</v>
      </c>
      <c r="H31" s="83">
        <f>+'VZLA CONS .BL '!H31/'VENEZUELA USD'!$AI$3</f>
        <v>0</v>
      </c>
      <c r="I31" s="126">
        <f t="shared" si="12"/>
        <v>0</v>
      </c>
      <c r="J31" s="126" t="str">
        <f t="shared" si="6"/>
        <v/>
      </c>
      <c r="K31" s="628" t="str">
        <f t="shared" si="15"/>
        <v/>
      </c>
      <c r="L31" s="83">
        <f>+'VZLA CONS .BL '!L31/'VENEZUELA USD'!$AI$3</f>
        <v>0</v>
      </c>
      <c r="M31" s="126" t="e">
        <f t="shared" si="16"/>
        <v>#DIV/0!</v>
      </c>
      <c r="N31" s="83">
        <f>+'VZLA CONS .BL '!N31/'VENEZUELA USD'!$AI$3</f>
        <v>21649.10855349488</v>
      </c>
      <c r="O31" s="126">
        <f t="shared" si="17"/>
        <v>1.8179062033083693E-3</v>
      </c>
      <c r="P31" s="83">
        <f>+'VZLA CONS .BL '!P31/'VENEZUELA USD'!$AI$3</f>
        <v>0</v>
      </c>
      <c r="Q31" s="127">
        <f t="shared" si="18"/>
        <v>0</v>
      </c>
      <c r="R31" s="128" t="str">
        <f t="shared" si="8"/>
        <v/>
      </c>
      <c r="S31" s="128">
        <f t="shared" si="9"/>
        <v>-1</v>
      </c>
      <c r="T31" s="115"/>
    </row>
    <row r="32" spans="1:34" ht="15.75" thickBot="1" x14ac:dyDescent="0.3">
      <c r="B32" s="11"/>
      <c r="C32" s="73" t="s">
        <v>80</v>
      </c>
      <c r="D32" s="141">
        <f>D30-D31</f>
        <v>0</v>
      </c>
      <c r="E32" s="142" t="e">
        <f t="shared" si="13"/>
        <v>#DIV/0!</v>
      </c>
      <c r="F32" s="141">
        <f>F30-F31</f>
        <v>346110.83514128299</v>
      </c>
      <c r="G32" s="142">
        <f t="shared" si="14"/>
        <v>9.2720599803841147E-2</v>
      </c>
      <c r="H32" s="141">
        <f>H30-H31</f>
        <v>-51.895656547983556</v>
      </c>
      <c r="I32" s="142">
        <f t="shared" si="12"/>
        <v>-1.8032288817311595</v>
      </c>
      <c r="J32" s="142" t="str">
        <f t="shared" si="6"/>
        <v/>
      </c>
      <c r="K32" s="142">
        <f t="shared" si="15"/>
        <v>-1.0001499394161606</v>
      </c>
      <c r="L32" s="627">
        <f>L30-L31</f>
        <v>0</v>
      </c>
      <c r="M32" s="142" t="e">
        <f t="shared" si="16"/>
        <v>#DIV/0!</v>
      </c>
      <c r="N32" s="141">
        <f>N30-N31</f>
        <v>2003446.4900708608</v>
      </c>
      <c r="O32" s="142">
        <f t="shared" si="17"/>
        <v>0.1682322296687937</v>
      </c>
      <c r="P32" s="627">
        <f>P30-P31</f>
        <v>-2.7774363572740737</v>
      </c>
      <c r="Q32" s="143">
        <f t="shared" si="18"/>
        <v>-2.0907185025183721E-2</v>
      </c>
      <c r="R32" s="144" t="str">
        <f t="shared" si="8"/>
        <v/>
      </c>
      <c r="S32" s="144">
        <f t="shared" si="9"/>
        <v>-1.0000013863291937</v>
      </c>
      <c r="T32" s="115"/>
    </row>
    <row r="33" spans="2:20" ht="15.75" thickBot="1" x14ac:dyDescent="0.3">
      <c r="B33" s="11" t="s">
        <v>110</v>
      </c>
      <c r="C33" s="73" t="s">
        <v>82</v>
      </c>
      <c r="D33" s="141">
        <f>+'VZLA CONS .BL '!D33/'VENEZUELA USD'!$AI$3</f>
        <v>0</v>
      </c>
      <c r="E33" s="142" t="e">
        <f t="shared" si="13"/>
        <v>#DIV/0!</v>
      </c>
      <c r="F33" s="141">
        <f>+'VZLA CONS .BL '!F33/'VENEZUELA USD'!$AI$3</f>
        <v>346110.8351412823</v>
      </c>
      <c r="G33" s="142">
        <f t="shared" si="14"/>
        <v>9.2720599803840953E-2</v>
      </c>
      <c r="H33" s="141">
        <f>+'VZLA CONS .BL '!H33/'VENEZUELA USD'!$AI$3</f>
        <v>-51.895656547983549</v>
      </c>
      <c r="I33" s="142">
        <f t="shared" si="12"/>
        <v>-1.8032288817311592</v>
      </c>
      <c r="J33" s="142" t="str">
        <f t="shared" si="6"/>
        <v/>
      </c>
      <c r="K33" s="142">
        <f t="shared" si="15"/>
        <v>-1.0001499394161606</v>
      </c>
      <c r="L33" s="141">
        <f>+'VZLA CONS .BL '!L33/'VENEZUELA USD'!$AI$3</f>
        <v>0</v>
      </c>
      <c r="M33" s="142" t="e">
        <f t="shared" si="16"/>
        <v>#DIV/0!</v>
      </c>
      <c r="N33" s="141">
        <f>+'VZLA CONS .BL '!N33/'VENEZUELA USD'!$AI$3</f>
        <v>2003446.4900708583</v>
      </c>
      <c r="O33" s="142">
        <f t="shared" si="17"/>
        <v>0.1682322296687935</v>
      </c>
      <c r="P33" s="141">
        <f>+'VZLA CONS .BL '!P33/'VENEZUELA USD'!$AI$3</f>
        <v>-2.7774363572740737</v>
      </c>
      <c r="Q33" s="143">
        <f t="shared" si="18"/>
        <v>-2.0907185025183721E-2</v>
      </c>
      <c r="R33" s="144" t="str">
        <f t="shared" si="8"/>
        <v/>
      </c>
      <c r="S33" s="144">
        <f t="shared" si="9"/>
        <v>-1.0000013863291937</v>
      </c>
      <c r="T33" s="115"/>
    </row>
    <row r="34" spans="2:20" ht="15.75" thickBot="1" x14ac:dyDescent="0.3">
      <c r="C34" s="153" t="s">
        <v>46</v>
      </c>
      <c r="D34" s="158">
        <f>+'VZLA CONS .BL '!D34/'VENEZUELA USD'!$AI$3</f>
        <v>0</v>
      </c>
      <c r="E34" s="155" t="e">
        <f t="shared" si="13"/>
        <v>#DIV/0!</v>
      </c>
      <c r="F34" s="158">
        <f>+'VZLA CONS .BL '!F34/'VENEZUELA USD'!$AI$3</f>
        <v>942394.34799011471</v>
      </c>
      <c r="G34" s="155">
        <f t="shared" si="14"/>
        <v>0.25246065804823714</v>
      </c>
      <c r="H34" s="158">
        <f>+'VZLA CONS .BL '!H34/'VENEZUELA USD'!$AI$3</f>
        <v>5.0189834660134727</v>
      </c>
      <c r="I34" s="155">
        <f t="shared" si="12"/>
        <v>0.1743956343336466</v>
      </c>
      <c r="J34" s="155" t="str">
        <f t="shared" si="6"/>
        <v/>
      </c>
      <c r="K34" s="155">
        <f t="shared" si="15"/>
        <v>-0.9999946742215966</v>
      </c>
      <c r="L34" s="158">
        <f>+'VZLA CONS .BL '!L34/'VENEZUELA USD'!$AI$3</f>
        <v>0</v>
      </c>
      <c r="M34" s="155" t="e">
        <f t="shared" si="16"/>
        <v>#DIV/0!</v>
      </c>
      <c r="N34" s="158">
        <f>+'VZLA CONS .BL '!N34/'VENEZUELA USD'!$AI$3</f>
        <v>2914752.2483378532</v>
      </c>
      <c r="O34" s="155">
        <f t="shared" si="17"/>
        <v>0.24475586051348092</v>
      </c>
      <c r="P34" s="158">
        <f>+'VZLA CONS .BL '!P34/'VENEZUELA USD'!$AI$3</f>
        <v>32.890320181961336</v>
      </c>
      <c r="Q34" s="159">
        <f t="shared" si="18"/>
        <v>0.24758227412875483</v>
      </c>
      <c r="R34" s="157" t="str">
        <f t="shared" si="8"/>
        <v/>
      </c>
      <c r="S34" s="157">
        <f t="shared" si="9"/>
        <v>-0.99998871591223559</v>
      </c>
    </row>
    <row r="35" spans="2:20" s="15" customFormat="1" ht="13.5" customHeight="1" x14ac:dyDescent="0.25">
      <c r="D35" s="87">
        <f>+('VZLA BFS'!D27+'VZLA VIT. bls '!D26+'VZLA Otros BLS'!D27)/$AI$3</f>
        <v>0</v>
      </c>
      <c r="F35" s="87">
        <f>+('VZLA BFS'!F27+'VZLA VIT. bls '!F26+'VZLA Otros BLS'!F27)/$AI$3</f>
        <v>405944.95849007071</v>
      </c>
      <c r="G35" s="87"/>
      <c r="H35" s="87">
        <f>+('VZLA BFS'!H27+'VZLA VIT. bls '!H26+'VZLA Otros BLS'!H27)/$AI$3</f>
        <v>-50.329597148106025</v>
      </c>
      <c r="I35" s="87"/>
      <c r="J35" s="87"/>
      <c r="K35" s="87"/>
      <c r="L35" s="87">
        <f>+('VZLA BFS'!L27+'VZLA VIT. bls '!L26+'VZLA Otros BLS'!L27)/$AI$3</f>
        <v>0</v>
      </c>
      <c r="M35" s="87"/>
      <c r="N35" s="87">
        <f>+('VZLA BFS'!N27+'VZLA VIT. bls '!N26+'VZLA Otros BLS'!N27)/$AI$3</f>
        <v>2183800.7254833332</v>
      </c>
      <c r="O35" s="87"/>
      <c r="P35" s="87">
        <f>+('VZLA BFS'!P27+'VZLA VIT. bls '!P26+'VZLA Otros BLS'!P27)/$AI$3</f>
        <v>-0.2870593123961101</v>
      </c>
      <c r="Q35" s="87" t="e">
        <f>+('VZLA BFS'!Q27+'VZLA VIT. bls '!Q26+'VZLA Otros BLS'!Q27)/$AI$3</f>
        <v>#DIV/0!</v>
      </c>
      <c r="R35" s="87"/>
      <c r="S35" s="87"/>
    </row>
    <row r="36" spans="2:20" s="15" customFormat="1" x14ac:dyDescent="0.25">
      <c r="C36" s="87"/>
      <c r="D36" s="87">
        <f>+('VZLA BFS'!D28+'VZLA VIT. bls '!D27+'VZLA Otros BLS'!D28)/$AI$3</f>
        <v>0</v>
      </c>
      <c r="F36" s="87">
        <f>+('VZLA BFS'!F28+'VZLA VIT. bls '!F27+'VZLA Otros BLS'!F28)/$AI$3</f>
        <v>0</v>
      </c>
      <c r="G36" s="87"/>
      <c r="H36" s="87">
        <f>+('VZLA BFS'!H28+'VZLA VIT. bls '!H27+'VZLA Otros BLS'!H28)/$AI$3</f>
        <v>0</v>
      </c>
      <c r="I36" s="87"/>
      <c r="J36" s="87"/>
      <c r="K36" s="87"/>
      <c r="L36" s="87">
        <f>+('VZLA BFS'!L28+'VZLA VIT. bls '!L27+'VZLA Otros BLS'!L28)/$AI$3</f>
        <v>0</v>
      </c>
      <c r="M36" s="87"/>
      <c r="N36" s="87">
        <f>+('VZLA BFS'!N28+'VZLA VIT. bls '!N27+'VZLA Otros BLS'!N28)/$AI$3</f>
        <v>0</v>
      </c>
      <c r="O36" s="87"/>
      <c r="P36" s="87">
        <f>+('VZLA BFS'!P28+'VZLA VIT. bls '!P27+'VZLA Otros BLS'!P28)/$AI$3</f>
        <v>0</v>
      </c>
      <c r="Q36" s="87" t="e">
        <f>+('VZLA BFS'!Q28+'VZLA VIT. bls '!Q27+'VZLA Otros BLS'!Q28)/$AI$3</f>
        <v>#DIV/0!</v>
      </c>
      <c r="R36" s="87"/>
      <c r="S36" s="87"/>
    </row>
    <row r="37" spans="2:20" s="15" customFormat="1" x14ac:dyDescent="0.25">
      <c r="C37" s="87"/>
      <c r="D37" s="87">
        <f>+('VZLA BFS'!D29+'VZLA VIT. bls '!D28+'VZLA Otros BLS'!D29)/$AI$3</f>
        <v>0</v>
      </c>
      <c r="F37" s="87">
        <f>+('VZLA BFS'!F29+'VZLA VIT. bls '!F28+'VZLA Otros BLS'!F29)/$AI$3</f>
        <v>59834.12334878838</v>
      </c>
      <c r="G37" s="87"/>
      <c r="H37" s="87">
        <f>+('VZLA BFS'!H29+'VZLA VIT. bls '!H28+'VZLA Otros BLS'!H29)/$AI$3</f>
        <v>1.5660593998775261</v>
      </c>
      <c r="I37" s="87"/>
      <c r="J37" s="87"/>
      <c r="K37" s="87"/>
      <c r="L37" s="87">
        <f>+('VZLA BFS'!L29+'VZLA VIT. bls '!L28+'VZLA Otros BLS'!L29)/$AI$3</f>
        <v>0</v>
      </c>
      <c r="M37" s="87"/>
      <c r="N37" s="87">
        <f>+('VZLA BFS'!N29+'VZLA VIT. bls '!N28+'VZLA Otros BLS'!N29)/$AI$3</f>
        <v>158705.12685897996</v>
      </c>
      <c r="O37" s="87"/>
      <c r="P37" s="87">
        <f>+('VZLA BFS'!P29+'VZLA VIT. bls '!P28+'VZLA Otros BLS'!P29)/$AI$3</f>
        <v>2.4903770448779636</v>
      </c>
      <c r="Q37" s="87" t="e">
        <f>+('VZLA BFS'!Q29+'VZLA VIT. bls '!Q28+'VZLA Otros BLS'!Q29)/$AI$3</f>
        <v>#DIV/0!</v>
      </c>
      <c r="R37" s="87"/>
      <c r="S37" s="87"/>
    </row>
    <row r="38" spans="2:20" s="15" customFormat="1" x14ac:dyDescent="0.25">
      <c r="D38" s="87">
        <f>+('VZLA BFS'!D30+'VZLA VIT. bls '!D29+'VZLA Otros BLS'!D30)/$AI$3</f>
        <v>0</v>
      </c>
      <c r="F38" s="87">
        <f>+('VZLA BFS'!F30+'VZLA VIT. bls '!F29+'VZLA Otros BLS'!F30)/$AI$3</f>
        <v>346110.8351412823</v>
      </c>
      <c r="G38" s="87"/>
      <c r="H38" s="87">
        <f>+('VZLA BFS'!H30+'VZLA VIT. bls '!H29+'VZLA Otros BLS'!H30)/$AI$3</f>
        <v>-51.895656547983549</v>
      </c>
      <c r="I38" s="87"/>
      <c r="J38" s="87"/>
      <c r="K38" s="87"/>
      <c r="L38" s="87">
        <f>+('VZLA BFS'!L30+'VZLA VIT. bls '!L29+'VZLA Otros BLS'!L30)/$AI$3</f>
        <v>0</v>
      </c>
      <c r="M38" s="87"/>
      <c r="N38" s="87">
        <f>+('VZLA BFS'!N30+'VZLA VIT. bls '!N29+'VZLA Otros BLS'!N30)/$AI$3</f>
        <v>2025095.5986243533</v>
      </c>
      <c r="O38" s="87"/>
      <c r="P38" s="87">
        <f>+('VZLA BFS'!P30+'VZLA VIT. bls '!P29+'VZLA Otros BLS'!P30)/$AI$3</f>
        <v>-2.7774363572740737</v>
      </c>
      <c r="Q38" s="87" t="e">
        <f>+('VZLA BFS'!Q30+'VZLA VIT. bls '!Q29+'VZLA Otros BLS'!Q30)/$AI$3</f>
        <v>#DIV/0!</v>
      </c>
      <c r="R38" s="87"/>
      <c r="S38" s="87"/>
    </row>
    <row r="39" spans="2:20" s="15" customFormat="1" x14ac:dyDescent="0.25">
      <c r="D39" s="87">
        <f>+('VZLA BFS'!D31+'VZLA VIT. bls '!D30+'VZLA Otros BLS'!D31)/$AI$3</f>
        <v>0</v>
      </c>
      <c r="E39" s="87" t="e">
        <f>+('VZLA BFS'!E31+'VZLA VIT. bls '!E30+'VZLA Otros BLS'!E31)/$AI$3</f>
        <v>#DIV/0!</v>
      </c>
      <c r="F39" s="87">
        <f>+('VZLA BFS'!F31+'VZLA VIT. bls '!F30+'VZLA Otros BLS'!F31)/$AI$3</f>
        <v>0</v>
      </c>
      <c r="G39" s="87"/>
      <c r="H39" s="87">
        <f>+('VZLA BFS'!H31+'VZLA VIT. bls '!H30+'VZLA Otros BLS'!H31)/$AI$3</f>
        <v>0</v>
      </c>
      <c r="I39" s="87"/>
      <c r="J39" s="87"/>
      <c r="K39" s="87"/>
      <c r="L39" s="87">
        <f>+('VZLA BFS'!L31+'VZLA VIT. bls '!L30+'VZLA Otros BLS'!L31)/$AI$3</f>
        <v>0</v>
      </c>
      <c r="M39" s="87" t="e">
        <f>+('VZLA BFS'!M31+'VZLA VIT. bls '!M30+'VZLA Otros BLS'!M31)/$AI$3</f>
        <v>#DIV/0!</v>
      </c>
      <c r="N39" s="87">
        <f>+('VZLA BFS'!N31+'VZLA VIT. bls '!N30+'VZLA Otros BLS'!N31)/$AI$3</f>
        <v>21649.10855349488</v>
      </c>
      <c r="O39" s="87">
        <f>+('VZLA BFS'!O31+'VZLA VIT. bls '!O30+'VZLA Otros BLS'!O31)/$AI$3</f>
        <v>1.9879124784668547E-6</v>
      </c>
      <c r="P39" s="87">
        <f>+('VZLA BFS'!P31+'VZLA VIT. bls '!P30+'VZLA Otros BLS'!P31)/$AI$3</f>
        <v>0</v>
      </c>
      <c r="Q39" s="87" t="e">
        <f>+('VZLA BFS'!Q31+'VZLA VIT. bls '!Q30+'VZLA Otros BLS'!Q31)/$AI$3</f>
        <v>#DIV/0!</v>
      </c>
      <c r="R39" s="87"/>
      <c r="S39" s="87"/>
    </row>
    <row r="40" spans="2:20" s="15" customFormat="1" x14ac:dyDescent="0.25">
      <c r="D40" s="87">
        <f>+('VZLA BFS'!D32+'VZLA VIT. bls '!D31+'VZLA Otros BLS'!D32)/$AI$3</f>
        <v>0</v>
      </c>
      <c r="E40" s="87" t="e">
        <f>+('VZLA BFS'!E32+'VZLA VIT. bls '!E31+'VZLA Otros BLS'!E32)/$AI$3</f>
        <v>#DIV/0!</v>
      </c>
      <c r="F40" s="87">
        <f>+('VZLA BFS'!F32+'VZLA VIT. bls '!F31+'VZLA Otros BLS'!F32)/$AI$3</f>
        <v>346110.8351412823</v>
      </c>
      <c r="G40" s="87"/>
      <c r="H40" s="87">
        <f>+('VZLA BFS'!H32+'VZLA VIT. bls '!H31+'VZLA Otros BLS'!H32)/$AI$3</f>
        <v>-51.895656547983549</v>
      </c>
      <c r="I40" s="87"/>
      <c r="J40" s="87"/>
      <c r="K40" s="87"/>
      <c r="L40" s="87">
        <f>+('VZLA BFS'!L32+'VZLA VIT. bls '!L31+'VZLA Otros BLS'!L32)/$AI$3</f>
        <v>0</v>
      </c>
      <c r="M40" s="87" t="e">
        <f>+('VZLA BFS'!M32+'VZLA VIT. bls '!M31+'VZLA Otros BLS'!M32)/$AI$3</f>
        <v>#DIV/0!</v>
      </c>
      <c r="N40" s="87">
        <f>+('VZLA BFS'!N32+'VZLA VIT. bls '!N31+'VZLA Otros BLS'!N32)/$AI$3</f>
        <v>2003446.4900708583</v>
      </c>
      <c r="O40" s="87"/>
      <c r="P40" s="87">
        <f>+('VZLA BFS'!P32+'VZLA VIT. bls '!P31+'VZLA Otros BLS'!P32)/$AI$3</f>
        <v>-2.7774363572740737</v>
      </c>
      <c r="Q40" s="87" t="e">
        <f>+('VZLA BFS'!Q32+'VZLA VIT. bls '!Q31+'VZLA Otros BLS'!Q32)/$AI$3</f>
        <v>#DIV/0!</v>
      </c>
      <c r="R40" s="87"/>
      <c r="S40" s="87"/>
    </row>
    <row r="41" spans="2:20" s="15" customFormat="1" x14ac:dyDescent="0.25">
      <c r="D41" s="87">
        <f>+('VZLA BFS'!D33+'VZLA VIT. bls '!D32+'VZLA Otros BLS'!D33)/$AI$3</f>
        <v>0</v>
      </c>
      <c r="F41" s="87">
        <f>+('VZLA BFS'!F33+'VZLA VIT. bls '!F32+'VZLA Otros BLS'!F33)/$AI$3</f>
        <v>346110.8351412823</v>
      </c>
      <c r="G41" s="87"/>
      <c r="H41" s="87">
        <f>+('VZLA BFS'!H33+'VZLA VIT. bls '!H32+'VZLA Otros BLS'!H33)/$AI$3</f>
        <v>-51.895656547983549</v>
      </c>
      <c r="I41" s="87"/>
      <c r="J41" s="87"/>
      <c r="K41" s="87"/>
      <c r="L41" s="87">
        <f>+('VZLA BFS'!L33+'VZLA VIT. bls '!L32+'VZLA Otros BLS'!L33)/$AI$3</f>
        <v>0</v>
      </c>
      <c r="M41" s="87"/>
      <c r="N41" s="87">
        <f>+('VZLA BFS'!N33+'VZLA VIT. bls '!N32+'VZLA Otros BLS'!N33)/$AI$3</f>
        <v>2003446.4900708583</v>
      </c>
      <c r="O41" s="87"/>
      <c r="P41" s="87">
        <f>+('VZLA BFS'!P33+'VZLA VIT. bls '!P32+'VZLA Otros BLS'!P33)/$AI$3</f>
        <v>-2.7774363572740737</v>
      </c>
      <c r="Q41" s="87" t="e">
        <f>+('VZLA BFS'!Q33+'VZLA VIT. bls '!Q32+'VZLA Otros BLS'!Q33)/$AI$3</f>
        <v>#DIV/0!</v>
      </c>
      <c r="R41" s="87"/>
      <c r="S41" s="87"/>
    </row>
    <row r="42" spans="2:20" s="15" customFormat="1" x14ac:dyDescent="0.25">
      <c r="D42" s="87">
        <f>+('VZLA BFS'!D34+'VZLA VIT. bls '!D33+'VZLA Otros BLS'!D34)/$AI$3</f>
        <v>0</v>
      </c>
      <c r="F42" s="87">
        <f>+('VZLA BFS'!F34+'VZLA VIT. bls '!F33+'VZLA Otros BLS'!F34)/$AI$3</f>
        <v>942394.34799011471</v>
      </c>
      <c r="H42" s="87">
        <f>+('VZLA BFS'!H34+'VZLA VIT. bls '!H33+'VZLA Otros BLS'!H34)/$AI$3</f>
        <v>5.0189834660134727</v>
      </c>
      <c r="N42" s="87">
        <f>+('VZLA BFS'!N34+'VZLA VIT. bls '!N33+'VZLA Otros BLS'!N34)/$AI$3</f>
        <v>2914752.2483378532</v>
      </c>
      <c r="P42" s="87">
        <f>+('VZLA BFS'!P34+'VZLA VIT. bls '!P33+'VZLA Otros BLS'!P34)/$AI$3</f>
        <v>32.890320181961336</v>
      </c>
    </row>
    <row r="43" spans="2:20" s="15" customFormat="1" x14ac:dyDescent="0.25">
      <c r="B43" s="15" t="s">
        <v>83</v>
      </c>
    </row>
    <row r="44" spans="2:20" x14ac:dyDescent="0.25">
      <c r="D44" s="303"/>
      <c r="E44" s="303"/>
      <c r="G44" s="303"/>
      <c r="H44" s="303"/>
      <c r="I44" s="303"/>
      <c r="J44" s="303"/>
      <c r="K44" s="303"/>
      <c r="L44" s="303"/>
      <c r="M44" s="303"/>
      <c r="O44" s="303"/>
    </row>
    <row r="45" spans="2:20" x14ac:dyDescent="0.25">
      <c r="F45" s="303"/>
      <c r="N45" s="303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horizontalDpi="0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F3110-DB76-47E4-B190-002A9C24848D}">
  <sheetPr>
    <tabColor rgb="FFFF0000"/>
  </sheetPr>
  <dimension ref="A1:AK45"/>
  <sheetViews>
    <sheetView topLeftCell="A3" zoomScale="84" zoomScaleNormal="84" workbookViewId="0">
      <selection activeCell="F9" sqref="F9"/>
    </sheetView>
  </sheetViews>
  <sheetFormatPr baseColWidth="10" defaultRowHeight="15" x14ac:dyDescent="0.25"/>
  <cols>
    <col min="1" max="1" width="11.42578125" style="10" customWidth="1"/>
    <col min="2" max="2" width="14.28515625" style="10" customWidth="1"/>
    <col min="3" max="3" width="36.140625" style="10" customWidth="1"/>
    <col min="4" max="4" width="11.140625" style="10" customWidth="1"/>
    <col min="5" max="5" width="7.5703125" style="10" hidden="1" customWidth="1"/>
    <col min="6" max="6" width="11" style="10" customWidth="1"/>
    <col min="7" max="7" width="5.42578125" style="10" hidden="1" customWidth="1"/>
    <col min="8" max="8" width="10.85546875" style="10" customWidth="1"/>
    <col min="9" max="9" width="6" style="10" hidden="1" customWidth="1"/>
    <col min="10" max="10" width="6.85546875" style="10" customWidth="1"/>
    <col min="11" max="11" width="6.5703125" style="10" customWidth="1"/>
    <col min="12" max="12" width="10.42578125" style="10" customWidth="1"/>
    <col min="13" max="13" width="5.42578125" style="10" hidden="1" customWidth="1"/>
    <col min="14" max="14" width="9.28515625" style="10" customWidth="1"/>
    <col min="15" max="15" width="2.85546875" style="10" hidden="1" customWidth="1"/>
    <col min="16" max="16" width="11.5703125" style="10" customWidth="1"/>
    <col min="17" max="17" width="5.28515625" style="10" hidden="1" customWidth="1"/>
    <col min="18" max="18" width="6.85546875" style="10" customWidth="1"/>
    <col min="19" max="19" width="8.140625" style="10" customWidth="1"/>
    <col min="20" max="20" width="10.5703125" style="15" customWidth="1"/>
    <col min="21" max="21" width="9" style="15" bestFit="1" customWidth="1"/>
    <col min="22" max="22" width="11.42578125" style="15" customWidth="1"/>
    <col min="23" max="23" width="34.140625" style="10" customWidth="1"/>
    <col min="24" max="24" width="9.7109375" style="10" customWidth="1"/>
    <col min="25" max="25" width="9.7109375" style="181" customWidth="1"/>
    <col min="26" max="27" width="9.7109375" style="10" customWidth="1"/>
    <col min="28" max="28" width="9.7109375" style="181" customWidth="1"/>
    <col min="29" max="30" width="9.7109375" style="10" customWidth="1"/>
    <col min="31" max="31" width="6.5703125" style="10" customWidth="1"/>
    <col min="32" max="32" width="6.42578125" style="10" customWidth="1"/>
    <col min="33" max="36" width="11.42578125" style="15"/>
    <col min="37" max="16384" width="11.42578125" style="10"/>
  </cols>
  <sheetData>
    <row r="1" spans="1:37" s="4" customFormat="1" ht="30" hidden="1" x14ac:dyDescent="0.25">
      <c r="D1" s="4" t="s">
        <v>1</v>
      </c>
      <c r="F1" s="4" t="s">
        <v>2</v>
      </c>
      <c r="H1" s="4" t="s">
        <v>3</v>
      </c>
      <c r="L1" s="4" t="s">
        <v>5</v>
      </c>
      <c r="N1" s="4" t="s">
        <v>6</v>
      </c>
      <c r="P1" s="4" t="s">
        <v>7</v>
      </c>
      <c r="T1" s="8" t="s">
        <v>5</v>
      </c>
      <c r="U1" s="8" t="s">
        <v>6</v>
      </c>
      <c r="V1" s="8" t="s">
        <v>7</v>
      </c>
      <c r="Y1" s="180"/>
      <c r="AB1" s="180"/>
      <c r="AG1" s="8"/>
      <c r="AH1" s="8"/>
      <c r="AI1" s="8"/>
      <c r="AJ1" s="8"/>
    </row>
    <row r="2" spans="1:37" ht="30" hidden="1" x14ac:dyDescent="0.25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0" t="str">
        <f>+F2</f>
        <v>201201</v>
      </c>
      <c r="P2" s="11">
        <f>D2</f>
        <v>201301</v>
      </c>
      <c r="T2" s="15" t="s">
        <v>10</v>
      </c>
      <c r="U2" s="15" t="s">
        <v>84</v>
      </c>
      <c r="V2" s="15">
        <v>201301</v>
      </c>
    </row>
    <row r="3" spans="1:37" ht="19.5" thickBot="1" x14ac:dyDescent="0.35">
      <c r="A3" s="10">
        <f>+'COLOMB$ '!A3</f>
        <v>202101</v>
      </c>
      <c r="B3" s="10">
        <f>+'COLOMB$ '!B3</f>
        <v>202201</v>
      </c>
      <c r="C3" s="17" t="s">
        <v>180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9" t="str">
        <f>+C3</f>
        <v>MUSICAR PANAMA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7" ht="19.5" thickBot="1" x14ac:dyDescent="0.35">
      <c r="A4" s="10">
        <f>+'COLOMB$ '!A4</f>
        <v>202104</v>
      </c>
      <c r="B4" s="10">
        <f>+'COLOMB$ '!B4</f>
        <v>202204</v>
      </c>
      <c r="C4" s="21"/>
      <c r="D4" s="182" t="str">
        <f>+'COLOMB$ '!D4:K4</f>
        <v>31/04/2022</v>
      </c>
      <c r="E4" s="26"/>
      <c r="F4" s="26"/>
      <c r="G4" s="26"/>
      <c r="H4" s="27"/>
      <c r="I4" s="27"/>
      <c r="J4" s="27"/>
      <c r="K4" s="183"/>
      <c r="L4" s="25" t="s">
        <v>13</v>
      </c>
      <c r="M4" s="26"/>
      <c r="N4" s="26"/>
      <c r="O4" s="26"/>
      <c r="P4" s="27"/>
      <c r="Q4" s="27"/>
      <c r="R4" s="27"/>
      <c r="S4" s="28"/>
      <c r="T4" s="10" t="s">
        <v>13</v>
      </c>
      <c r="U4" s="10"/>
      <c r="V4" s="10"/>
      <c r="W4" s="14"/>
      <c r="X4" s="201" t="str">
        <f>+'COLOMBIA USD'!X4:Z4</f>
        <v>ABRIL</v>
      </c>
      <c r="Y4" s="202"/>
      <c r="Z4" s="202"/>
      <c r="AA4" s="608" t="str">
        <f>+'COLOMBIA USD'!AA4:AC4</f>
        <v>ACUM  ABRIL</v>
      </c>
      <c r="AB4" s="609"/>
      <c r="AC4" s="610"/>
      <c r="AD4" s="10" t="s">
        <v>24</v>
      </c>
      <c r="AE4" s="10" t="s">
        <v>20</v>
      </c>
      <c r="AF4" s="10" t="s">
        <v>21</v>
      </c>
      <c r="AJ4" s="20"/>
    </row>
    <row r="5" spans="1:37" ht="15.75" thickBot="1" x14ac:dyDescent="0.3">
      <c r="A5" s="181"/>
      <c r="B5" s="181"/>
      <c r="C5" s="36" t="s">
        <v>113</v>
      </c>
      <c r="D5" s="446" t="str">
        <f>+'COLOMB$ '!D5:E5</f>
        <v>Ppto 2022</v>
      </c>
      <c r="E5" s="447"/>
      <c r="F5" s="446" t="str">
        <f>+'COLOMB$ '!F5:G5</f>
        <v>Real 2021</v>
      </c>
      <c r="G5" s="447"/>
      <c r="H5" s="446" t="str">
        <f>+'COLOMB$ '!H5:I5</f>
        <v>real 2022</v>
      </c>
      <c r="I5" s="447"/>
      <c r="J5" s="39" t="s">
        <v>20</v>
      </c>
      <c r="K5" s="40" t="s">
        <v>21</v>
      </c>
      <c r="L5" s="184" t="str">
        <f>+D5</f>
        <v>Ppto 2022</v>
      </c>
      <c r="M5" s="206"/>
      <c r="N5" s="184" t="str">
        <f>+F5</f>
        <v>Real 2021</v>
      </c>
      <c r="O5" s="206"/>
      <c r="P5" s="446" t="str">
        <f>+H5</f>
        <v>real 2022</v>
      </c>
      <c r="Q5" s="446"/>
      <c r="R5" s="39" t="s">
        <v>20</v>
      </c>
      <c r="S5" s="629" t="s">
        <v>21</v>
      </c>
      <c r="T5" s="404" t="s">
        <v>130</v>
      </c>
      <c r="U5" s="405" t="s">
        <v>131</v>
      </c>
      <c r="V5" s="405" t="s">
        <v>132</v>
      </c>
      <c r="W5" s="208" t="s">
        <v>113</v>
      </c>
      <c r="X5" s="43" t="str">
        <f>+D5</f>
        <v>Ppto 2022</v>
      </c>
      <c r="Y5" s="43" t="str">
        <f>+F5</f>
        <v>Real 2021</v>
      </c>
      <c r="Z5" s="210" t="str">
        <f>+P5</f>
        <v>real 2022</v>
      </c>
      <c r="AA5" s="613" t="str">
        <f>+'VZLA CONS .BL '!AA5</f>
        <v>Ppto 2022</v>
      </c>
      <c r="AB5" s="43" t="str">
        <f>+Y5</f>
        <v>Real 2021</v>
      </c>
      <c r="AC5" s="614" t="str">
        <f>+'VZLA CONS .BL '!AC5</f>
        <v>real 2022</v>
      </c>
      <c r="AD5" s="47" t="s">
        <v>24</v>
      </c>
      <c r="AE5" s="47" t="s">
        <v>20</v>
      </c>
      <c r="AF5" s="47" t="s">
        <v>21</v>
      </c>
      <c r="AG5" s="15" t="s">
        <v>181</v>
      </c>
      <c r="AH5" s="15" t="s">
        <v>182</v>
      </c>
      <c r="AI5" s="15" t="s">
        <v>183</v>
      </c>
    </row>
    <row r="6" spans="1:37" ht="15.75" thickBot="1" x14ac:dyDescent="0.3">
      <c r="A6" s="181"/>
      <c r="B6" s="181"/>
      <c r="C6" s="50" t="s">
        <v>26</v>
      </c>
      <c r="D6" s="51" t="s">
        <v>27</v>
      </c>
      <c r="E6" s="52" t="s">
        <v>28</v>
      </c>
      <c r="F6" s="51" t="s">
        <v>27</v>
      </c>
      <c r="G6" s="630" t="s">
        <v>28</v>
      </c>
      <c r="H6" s="631" t="s">
        <v>27</v>
      </c>
      <c r="I6" s="54" t="s">
        <v>28</v>
      </c>
      <c r="J6" s="55" t="s">
        <v>29</v>
      </c>
      <c r="K6" s="52" t="s">
        <v>29</v>
      </c>
      <c r="L6" s="51" t="s">
        <v>27</v>
      </c>
      <c r="M6" s="52" t="s">
        <v>28</v>
      </c>
      <c r="N6" s="51" t="s">
        <v>27</v>
      </c>
      <c r="O6" s="52" t="s">
        <v>28</v>
      </c>
      <c r="P6" s="51" t="s">
        <v>27</v>
      </c>
      <c r="Q6" s="54" t="s">
        <v>28</v>
      </c>
      <c r="R6" s="55" t="s">
        <v>29</v>
      </c>
      <c r="S6" s="54" t="s">
        <v>29</v>
      </c>
      <c r="T6" s="404" t="s">
        <v>27</v>
      </c>
      <c r="U6" s="411" t="s">
        <v>27</v>
      </c>
      <c r="V6" s="411" t="s">
        <v>27</v>
      </c>
      <c r="W6" s="57" t="str">
        <f>+'COLOMB$ '!W6</f>
        <v xml:space="preserve">Flujo de Caja </v>
      </c>
      <c r="X6" s="58"/>
      <c r="Y6" s="58"/>
      <c r="Z6" s="59"/>
      <c r="AA6" s="345" t="str">
        <f>+'VZLA CONS .BL '!AA6</f>
        <v>ACUM</v>
      </c>
      <c r="AB6" s="253"/>
      <c r="AC6" s="346"/>
      <c r="AD6" s="62" t="s">
        <v>31</v>
      </c>
      <c r="AE6" s="63" t="s">
        <v>29</v>
      </c>
      <c r="AF6" s="347" t="s">
        <v>29</v>
      </c>
      <c r="AG6" s="15" t="s">
        <v>31</v>
      </c>
      <c r="AJ6" s="10"/>
      <c r="AK6" s="20"/>
    </row>
    <row r="7" spans="1:37" ht="15.75" thickBot="1" x14ac:dyDescent="0.3">
      <c r="A7" s="181"/>
      <c r="B7" s="181"/>
      <c r="C7" s="65" t="str">
        <f>+'VENEZUELA USD'!C7</f>
        <v>Fact. Musical Experience  (Ambiental)</v>
      </c>
      <c r="D7" s="66"/>
      <c r="E7" s="102" t="e">
        <f t="shared" ref="E7:E12" si="0">+D7/$D$17</f>
        <v>#DIV/0!</v>
      </c>
      <c r="F7" s="66"/>
      <c r="G7" s="632" t="e">
        <f t="shared" ref="G7:G12" si="1">+F7/$F$17</f>
        <v>#DIV/0!</v>
      </c>
      <c r="H7" s="633"/>
      <c r="I7" s="348" t="e">
        <f t="shared" ref="I7:I12" si="2">+H7/$H$17</f>
        <v>#DIV/0!</v>
      </c>
      <c r="J7" s="634" t="str">
        <f>IF(D7=0,"",(H7-D7)/ABS(D7)+1)</f>
        <v/>
      </c>
      <c r="K7" s="634" t="str">
        <f>IF(F7=0,"",(H7-F7)/ABS(F7))</f>
        <v/>
      </c>
      <c r="L7" s="98">
        <f>+T7+D7</f>
        <v>0</v>
      </c>
      <c r="M7" s="102" t="e">
        <f t="shared" ref="M7:M12" si="3">+L7/$L$17</f>
        <v>#DIV/0!</v>
      </c>
      <c r="N7" s="98"/>
      <c r="O7" s="102" t="e">
        <f t="shared" ref="O7:O12" si="4">+N7/$N$17</f>
        <v>#DIV/0!</v>
      </c>
      <c r="P7" s="66">
        <f>+V7+H7</f>
        <v>0</v>
      </c>
      <c r="Q7" s="102" t="e">
        <f t="shared" ref="Q7:Q12" si="5">+P7/$P$17</f>
        <v>#DIV/0!</v>
      </c>
      <c r="R7" s="349" t="str">
        <f>IF(L7=0,"",(P7-L7)/ABS(L7)+1)</f>
        <v/>
      </c>
      <c r="S7" s="635" t="str">
        <f>IF(N7=0,"",(P7-N7)/ABS(N7))</f>
        <v/>
      </c>
      <c r="T7" s="173">
        <v>0</v>
      </c>
      <c r="U7" s="173"/>
      <c r="V7" s="636">
        <v>0</v>
      </c>
      <c r="W7" s="73" t="s">
        <v>35</v>
      </c>
      <c r="X7" s="75">
        <f>+Z7</f>
        <v>4959</v>
      </c>
      <c r="Y7" s="75">
        <v>8811.7900000000009</v>
      </c>
      <c r="Z7" s="74">
        <v>4959</v>
      </c>
      <c r="AA7" s="75">
        <f>+AC7</f>
        <v>6929</v>
      </c>
      <c r="AB7" s="75">
        <v>9874.7900000000009</v>
      </c>
      <c r="AC7" s="74">
        <v>6929</v>
      </c>
      <c r="AD7" s="76">
        <f>+AC7-AA7</f>
        <v>0</v>
      </c>
      <c r="AE7" s="77">
        <f>IF(AA7=0,"",(AC7-AA7)/ABS(AA7)+1)</f>
        <v>1</v>
      </c>
      <c r="AF7" s="77">
        <f>IF(Y7=0,"",(AC7-AB7)/ABS(AB7))</f>
        <v>-0.29831419199800713</v>
      </c>
      <c r="AG7" s="10">
        <v>10517.62</v>
      </c>
      <c r="AH7" s="173">
        <v>76979.679999999993</v>
      </c>
      <c r="AI7" s="637">
        <v>10517.62</v>
      </c>
      <c r="AJ7" s="10"/>
      <c r="AK7" s="20"/>
    </row>
    <row r="8" spans="1:37" x14ac:dyDescent="0.25">
      <c r="A8" s="181"/>
      <c r="B8" s="181"/>
      <c r="C8" s="65" t="str">
        <f>+'VENEZUELA USD'!C8</f>
        <v>Instalaciones</v>
      </c>
      <c r="D8" s="66">
        <v>0</v>
      </c>
      <c r="E8" s="102" t="e">
        <f t="shared" si="0"/>
        <v>#DIV/0!</v>
      </c>
      <c r="F8" s="66">
        <v>0</v>
      </c>
      <c r="G8" s="632" t="e">
        <f t="shared" si="1"/>
        <v>#DIV/0!</v>
      </c>
      <c r="H8" s="638">
        <v>0</v>
      </c>
      <c r="I8" s="348" t="e">
        <f t="shared" si="2"/>
        <v>#DIV/0!</v>
      </c>
      <c r="J8" s="349" t="str">
        <f t="shared" ref="J8:J34" si="6">IF(D8=0,"",(H8-D8)/ABS(D8)+1)</f>
        <v/>
      </c>
      <c r="K8" s="349" t="str">
        <f t="shared" ref="K8:K34" si="7">IF(F8=0,"",(H8-F8)/ABS(F8))</f>
        <v/>
      </c>
      <c r="L8" s="98">
        <v>0</v>
      </c>
      <c r="M8" s="102" t="e">
        <f t="shared" si="3"/>
        <v>#DIV/0!</v>
      </c>
      <c r="N8" s="98">
        <v>0</v>
      </c>
      <c r="O8" s="102" t="e">
        <f t="shared" si="4"/>
        <v>#DIV/0!</v>
      </c>
      <c r="P8" s="66">
        <v>0</v>
      </c>
      <c r="Q8" s="102" t="e">
        <f t="shared" si="5"/>
        <v>#DIV/0!</v>
      </c>
      <c r="R8" s="349" t="str">
        <f t="shared" ref="R8:R34" si="8">IF(L8=0,"",(P8-L8)/ABS(L8)+1)</f>
        <v/>
      </c>
      <c r="S8" s="635" t="str">
        <f t="shared" ref="S8:S34" si="9">IF(N8=0,"",(P8-N8)/ABS(N8))</f>
        <v/>
      </c>
      <c r="T8" s="173">
        <v>0</v>
      </c>
      <c r="U8" s="173">
        <v>0</v>
      </c>
      <c r="V8" s="636">
        <v>0</v>
      </c>
      <c r="W8" s="81" t="s">
        <v>38</v>
      </c>
      <c r="X8" s="83">
        <f>+Z8</f>
        <v>0</v>
      </c>
      <c r="Y8" s="82">
        <v>0</v>
      </c>
      <c r="Z8" s="83">
        <v>0</v>
      </c>
      <c r="AA8" s="355">
        <f>+AC8</f>
        <v>0</v>
      </c>
      <c r="AB8" s="355">
        <v>47375</v>
      </c>
      <c r="AC8" s="83">
        <v>0</v>
      </c>
      <c r="AD8" s="85">
        <f>+AC8-AA8</f>
        <v>0</v>
      </c>
      <c r="AE8" s="86" t="str">
        <f>IF(AA8=0,"",(AC8-AA8)/ABS(AA8)+1)</f>
        <v/>
      </c>
      <c r="AF8" s="86">
        <f>IF(AB8=0,"",(AC8-AB8)/ABS(AB8))</f>
        <v>-1</v>
      </c>
      <c r="AG8" s="639">
        <v>34728.720000000001</v>
      </c>
      <c r="AH8" s="639">
        <v>11024.5</v>
      </c>
      <c r="AI8" s="639">
        <v>34728.720000000001</v>
      </c>
      <c r="AJ8" s="10"/>
      <c r="AK8" s="140"/>
    </row>
    <row r="9" spans="1:37" x14ac:dyDescent="0.25">
      <c r="A9" s="181"/>
      <c r="B9" s="181"/>
      <c r="C9" s="65" t="str">
        <f>+'VENEZUELA USD'!C9</f>
        <v>Publihold- Audicom</v>
      </c>
      <c r="D9" s="66">
        <v>0</v>
      </c>
      <c r="E9" s="102" t="e">
        <f t="shared" si="0"/>
        <v>#DIV/0!</v>
      </c>
      <c r="F9" s="66">
        <v>0</v>
      </c>
      <c r="G9" s="632" t="e">
        <f t="shared" si="1"/>
        <v>#DIV/0!</v>
      </c>
      <c r="H9" s="638">
        <v>0</v>
      </c>
      <c r="I9" s="348" t="e">
        <f t="shared" si="2"/>
        <v>#DIV/0!</v>
      </c>
      <c r="J9" s="349" t="str">
        <f t="shared" si="6"/>
        <v/>
      </c>
      <c r="K9" s="349" t="str">
        <f t="shared" si="7"/>
        <v/>
      </c>
      <c r="L9" s="98">
        <v>0</v>
      </c>
      <c r="M9" s="102" t="e">
        <f t="shared" si="3"/>
        <v>#DIV/0!</v>
      </c>
      <c r="N9" s="98">
        <v>0</v>
      </c>
      <c r="O9" s="102" t="e">
        <f t="shared" si="4"/>
        <v>#DIV/0!</v>
      </c>
      <c r="P9" s="66">
        <v>0</v>
      </c>
      <c r="Q9" s="102" t="e">
        <f t="shared" si="5"/>
        <v>#DIV/0!</v>
      </c>
      <c r="R9" s="349" t="str">
        <f t="shared" si="8"/>
        <v/>
      </c>
      <c r="S9" s="635" t="str">
        <f t="shared" si="9"/>
        <v/>
      </c>
      <c r="T9" s="173">
        <v>0</v>
      </c>
      <c r="U9" s="173">
        <v>0</v>
      </c>
      <c r="V9" s="636">
        <v>0</v>
      </c>
      <c r="W9" s="81" t="s">
        <v>41</v>
      </c>
      <c r="X9" s="82">
        <v>0</v>
      </c>
      <c r="Y9" s="82">
        <v>0</v>
      </c>
      <c r="Z9" s="83">
        <v>0</v>
      </c>
      <c r="AA9" s="355"/>
      <c r="AB9" s="355"/>
      <c r="AC9" s="356"/>
      <c r="AD9" s="85">
        <f>+AA9-AC9</f>
        <v>0</v>
      </c>
      <c r="AE9" s="640" t="str">
        <f>IF(AA9=0,"",(AC9-AA9)/ABS(AA9)+1)</f>
        <v/>
      </c>
      <c r="AF9" s="640" t="str">
        <f t="shared" ref="AF9:AF21" si="10">IF(AB9=0,"",(AC9-AB9)/ABS(AB9))</f>
        <v/>
      </c>
      <c r="AG9" s="10"/>
      <c r="AH9" s="220"/>
      <c r="AI9" s="220"/>
      <c r="AJ9" s="10"/>
      <c r="AK9" s="20"/>
    </row>
    <row r="10" spans="1:37" x14ac:dyDescent="0.25">
      <c r="A10" s="181"/>
      <c r="B10" s="181"/>
      <c r="C10" s="65" t="str">
        <f>+'VENEZUELA USD'!C10</f>
        <v>Soluciones para Redes de Audio</v>
      </c>
      <c r="D10" s="66">
        <v>0</v>
      </c>
      <c r="E10" s="102" t="e">
        <f t="shared" si="0"/>
        <v>#DIV/0!</v>
      </c>
      <c r="F10" s="66">
        <v>0</v>
      </c>
      <c r="G10" s="632" t="e">
        <f t="shared" si="1"/>
        <v>#DIV/0!</v>
      </c>
      <c r="H10" s="638">
        <v>0</v>
      </c>
      <c r="I10" s="348" t="e">
        <f t="shared" si="2"/>
        <v>#DIV/0!</v>
      </c>
      <c r="J10" s="349" t="str">
        <f>IF(D10=0,"",(H10-D10)/ABS(D10)+1)</f>
        <v/>
      </c>
      <c r="K10" s="349" t="str">
        <f>IF(F10=0,"",(H10-F10)/ABS(F10))</f>
        <v/>
      </c>
      <c r="L10" s="98">
        <v>0</v>
      </c>
      <c r="M10" s="102" t="e">
        <f t="shared" si="3"/>
        <v>#DIV/0!</v>
      </c>
      <c r="N10" s="98"/>
      <c r="O10" s="102" t="e">
        <f t="shared" si="4"/>
        <v>#DIV/0!</v>
      </c>
      <c r="P10" s="66">
        <v>0</v>
      </c>
      <c r="Q10" s="102" t="e">
        <f t="shared" si="5"/>
        <v>#DIV/0!</v>
      </c>
      <c r="R10" s="349" t="str">
        <f>IF(L10=0,"",(P10-L10)/ABS(L10)+1)</f>
        <v/>
      </c>
      <c r="S10" s="635" t="str">
        <f>IF(N10=0,"",(P10-N10)/ABS(N10))</f>
        <v/>
      </c>
      <c r="T10" s="173">
        <v>0</v>
      </c>
      <c r="U10" s="173"/>
      <c r="V10" s="641">
        <v>0</v>
      </c>
      <c r="W10" s="81" t="s">
        <v>44</v>
      </c>
      <c r="X10" s="82">
        <v>0</v>
      </c>
      <c r="Y10" s="82">
        <v>0</v>
      </c>
      <c r="Z10" s="83">
        <v>0</v>
      </c>
      <c r="AA10" s="355"/>
      <c r="AB10" s="355"/>
      <c r="AC10" s="356"/>
      <c r="AD10" s="85">
        <f>+AA10-AC10</f>
        <v>0</v>
      </c>
      <c r="AE10" s="640" t="str">
        <f t="shared" ref="AE10:AE21" si="11">IF(AA10=0,"",(AC10-AA10)/ABS(AA10)+1)</f>
        <v/>
      </c>
      <c r="AF10" s="640" t="str">
        <f t="shared" si="10"/>
        <v/>
      </c>
      <c r="AG10" s="10"/>
      <c r="AH10" s="220"/>
      <c r="AI10" s="220"/>
      <c r="AJ10" s="10"/>
      <c r="AK10" s="20"/>
    </row>
    <row r="11" spans="1:37" x14ac:dyDescent="0.25">
      <c r="A11" s="181"/>
      <c r="B11" s="181"/>
      <c r="C11" s="65" t="str">
        <f>+'VENEZUELA USD'!C11</f>
        <v>POP Satelital</v>
      </c>
      <c r="D11" s="66">
        <v>0</v>
      </c>
      <c r="E11" s="102" t="e">
        <f t="shared" si="0"/>
        <v>#DIV/0!</v>
      </c>
      <c r="F11" s="66">
        <v>0</v>
      </c>
      <c r="G11" s="632" t="e">
        <f t="shared" si="1"/>
        <v>#DIV/0!</v>
      </c>
      <c r="H11" s="638">
        <v>0</v>
      </c>
      <c r="I11" s="348" t="e">
        <f t="shared" si="2"/>
        <v>#DIV/0!</v>
      </c>
      <c r="J11" s="349" t="str">
        <f>IF(D11=0,"",(H11-D11)/ABS(D11)+1)</f>
        <v/>
      </c>
      <c r="K11" s="349" t="str">
        <f>IF(F11=0,"",(H11-F11)/ABS(F11))</f>
        <v/>
      </c>
      <c r="L11" s="98">
        <v>0</v>
      </c>
      <c r="M11" s="102" t="e">
        <f t="shared" si="3"/>
        <v>#DIV/0!</v>
      </c>
      <c r="N11" s="98">
        <v>0</v>
      </c>
      <c r="O11" s="102" t="e">
        <f t="shared" si="4"/>
        <v>#DIV/0!</v>
      </c>
      <c r="P11" s="66">
        <v>0</v>
      </c>
      <c r="Q11" s="102" t="e">
        <f t="shared" si="5"/>
        <v>#DIV/0!</v>
      </c>
      <c r="R11" s="349" t="str">
        <f>IF(L11=0,"",(P11-L11)/ABS(L11)+1)</f>
        <v/>
      </c>
      <c r="S11" s="635" t="str">
        <f>IF(N11=0,"",(P11-N11)/ABS(N11))</f>
        <v/>
      </c>
      <c r="T11" s="173">
        <v>0</v>
      </c>
      <c r="U11" s="173">
        <v>0</v>
      </c>
      <c r="V11" s="641">
        <v>0</v>
      </c>
      <c r="W11" s="81" t="s">
        <v>46</v>
      </c>
      <c r="X11" s="82"/>
      <c r="Y11" s="82">
        <v>0</v>
      </c>
      <c r="Z11" s="83">
        <v>0</v>
      </c>
      <c r="AA11" s="355"/>
      <c r="AB11" s="355"/>
      <c r="AC11" s="356"/>
      <c r="AD11" s="85">
        <f>+AA11-AC11</f>
        <v>0</v>
      </c>
      <c r="AE11" s="640" t="str">
        <f t="shared" si="11"/>
        <v/>
      </c>
      <c r="AF11" s="640" t="str">
        <f t="shared" si="10"/>
        <v/>
      </c>
      <c r="AG11" s="10"/>
      <c r="AH11" s="220"/>
      <c r="AI11" s="220"/>
      <c r="AJ11" s="10"/>
      <c r="AK11" s="20"/>
    </row>
    <row r="12" spans="1:37" x14ac:dyDescent="0.25">
      <c r="A12" s="181"/>
      <c r="B12" s="642"/>
      <c r="C12" s="65" t="str">
        <f>+'VENEZUELA USD'!C12</f>
        <v>Lineas Nuevas</v>
      </c>
      <c r="D12" s="66">
        <v>0</v>
      </c>
      <c r="E12" s="102" t="e">
        <f t="shared" si="0"/>
        <v>#DIV/0!</v>
      </c>
      <c r="F12" s="66">
        <v>0</v>
      </c>
      <c r="G12" s="632" t="e">
        <f t="shared" si="1"/>
        <v>#DIV/0!</v>
      </c>
      <c r="H12" s="638">
        <v>0</v>
      </c>
      <c r="I12" s="348" t="e">
        <f t="shared" si="2"/>
        <v>#DIV/0!</v>
      </c>
      <c r="J12" s="349" t="str">
        <f t="shared" si="6"/>
        <v/>
      </c>
      <c r="K12" s="349" t="str">
        <f t="shared" si="7"/>
        <v/>
      </c>
      <c r="L12" s="98">
        <v>0</v>
      </c>
      <c r="M12" s="102" t="e">
        <f t="shared" si="3"/>
        <v>#DIV/0!</v>
      </c>
      <c r="N12" s="98">
        <v>0</v>
      </c>
      <c r="O12" s="102" t="e">
        <f t="shared" si="4"/>
        <v>#DIV/0!</v>
      </c>
      <c r="P12" s="66">
        <v>0</v>
      </c>
      <c r="Q12" s="102" t="e">
        <f t="shared" si="5"/>
        <v>#DIV/0!</v>
      </c>
      <c r="R12" s="349" t="str">
        <f>IF(L12=0,"",(P12-L12)/ABS(L12)+1)</f>
        <v/>
      </c>
      <c r="S12" s="635" t="str">
        <f t="shared" si="9"/>
        <v/>
      </c>
      <c r="T12" s="173">
        <v>0</v>
      </c>
      <c r="U12" s="173">
        <v>0</v>
      </c>
      <c r="V12" s="636">
        <v>0</v>
      </c>
      <c r="W12" s="81" t="s">
        <v>49</v>
      </c>
      <c r="X12" s="82">
        <f>+Z12</f>
        <v>1875</v>
      </c>
      <c r="Y12" s="82">
        <v>1934</v>
      </c>
      <c r="Z12" s="83">
        <v>1875</v>
      </c>
      <c r="AA12" s="355">
        <f>+AC12</f>
        <v>3845</v>
      </c>
      <c r="AB12" s="355">
        <v>4372</v>
      </c>
      <c r="AC12" s="83">
        <v>3845</v>
      </c>
      <c r="AD12" s="85">
        <f>+AA12-AC12</f>
        <v>0</v>
      </c>
      <c r="AE12" s="640">
        <f t="shared" si="11"/>
        <v>1</v>
      </c>
      <c r="AF12" s="640">
        <f t="shared" si="10"/>
        <v>-0.12053979871912168</v>
      </c>
      <c r="AG12" s="10">
        <v>119</v>
      </c>
      <c r="AH12" s="220">
        <v>0</v>
      </c>
      <c r="AI12" s="220">
        <v>119</v>
      </c>
      <c r="AJ12" s="10"/>
      <c r="AK12" s="20"/>
    </row>
    <row r="13" spans="1:37" ht="15.75" thickBot="1" x14ac:dyDescent="0.3">
      <c r="A13" s="181"/>
      <c r="B13" s="181"/>
      <c r="C13" s="65" t="str">
        <f>+'VENEZUELA USD'!C13</f>
        <v>Fact. Servicio Satelital</v>
      </c>
      <c r="D13" s="66"/>
      <c r="E13" s="102"/>
      <c r="F13" s="66"/>
      <c r="G13" s="632"/>
      <c r="H13" s="638"/>
      <c r="I13" s="348"/>
      <c r="J13" s="349"/>
      <c r="K13" s="349"/>
      <c r="L13" s="98"/>
      <c r="M13" s="102"/>
      <c r="N13" s="98"/>
      <c r="O13" s="102"/>
      <c r="P13" s="66"/>
      <c r="Q13" s="102"/>
      <c r="R13" s="349"/>
      <c r="S13" s="635"/>
      <c r="T13" s="173"/>
      <c r="U13" s="173"/>
      <c r="V13" s="10"/>
      <c r="W13" s="81" t="s">
        <v>51</v>
      </c>
      <c r="X13" s="90">
        <f>SUM(X12)</f>
        <v>1875</v>
      </c>
      <c r="Y13" s="90">
        <v>1934</v>
      </c>
      <c r="Z13" s="91">
        <f>+Z12</f>
        <v>1875</v>
      </c>
      <c r="AA13" s="355">
        <f>SUM(AA12)</f>
        <v>3845</v>
      </c>
      <c r="AB13" s="355">
        <v>4372</v>
      </c>
      <c r="AC13" s="356">
        <f>+AC12</f>
        <v>3845</v>
      </c>
      <c r="AD13" s="85">
        <f>+AC13-AA13</f>
        <v>0</v>
      </c>
      <c r="AE13" s="640">
        <f t="shared" si="11"/>
        <v>1</v>
      </c>
      <c r="AF13" s="640">
        <f t="shared" si="10"/>
        <v>-0.12053979871912168</v>
      </c>
      <c r="AG13" s="10">
        <v>119</v>
      </c>
      <c r="AH13" s="220">
        <v>0</v>
      </c>
      <c r="AI13" s="220">
        <v>119</v>
      </c>
      <c r="AJ13" s="10"/>
      <c r="AK13" s="20"/>
    </row>
    <row r="14" spans="1:37" ht="15.75" thickBot="1" x14ac:dyDescent="0.3">
      <c r="A14" s="181"/>
      <c r="B14" s="181"/>
      <c r="C14" s="65" t="str">
        <f>+'VENEZUELA USD'!C14</f>
        <v>Fact. Visual Experience</v>
      </c>
      <c r="D14" s="66"/>
      <c r="E14" s="102"/>
      <c r="F14" s="66"/>
      <c r="G14" s="632"/>
      <c r="H14" s="638"/>
      <c r="I14" s="348"/>
      <c r="J14" s="349"/>
      <c r="K14" s="349"/>
      <c r="L14" s="98"/>
      <c r="M14" s="102"/>
      <c r="N14" s="98"/>
      <c r="O14" s="102"/>
      <c r="P14" s="66"/>
      <c r="Q14" s="102"/>
      <c r="R14" s="349"/>
      <c r="S14" s="635"/>
      <c r="T14" s="173"/>
      <c r="U14" s="173"/>
      <c r="V14" s="10"/>
      <c r="W14" s="73" t="s">
        <v>53</v>
      </c>
      <c r="X14" s="75">
        <f>+X8-X12</f>
        <v>-1875</v>
      </c>
      <c r="Y14" s="75">
        <v>-1934</v>
      </c>
      <c r="Z14" s="74">
        <f t="shared" ref="Z14" si="12">+Z8-Z12</f>
        <v>-1875</v>
      </c>
      <c r="AA14" s="414">
        <f>+AA8-AA12</f>
        <v>-3845</v>
      </c>
      <c r="AB14" s="414">
        <v>43003</v>
      </c>
      <c r="AC14" s="415">
        <f>+AC8-AC12</f>
        <v>-3845</v>
      </c>
      <c r="AD14" s="76">
        <f>+AC14-AA14</f>
        <v>0</v>
      </c>
      <c r="AE14" s="77">
        <f t="shared" si="11"/>
        <v>1</v>
      </c>
      <c r="AF14" s="77">
        <f t="shared" si="10"/>
        <v>-1.0894123665790758</v>
      </c>
      <c r="AG14" s="10">
        <v>34609.72</v>
      </c>
      <c r="AH14" s="10">
        <v>11024.5</v>
      </c>
      <c r="AI14" s="10">
        <v>34609.72</v>
      </c>
      <c r="AJ14" s="10"/>
      <c r="AK14" s="20"/>
    </row>
    <row r="15" spans="1:37" x14ac:dyDescent="0.25">
      <c r="A15" s="181"/>
      <c r="B15" s="181"/>
      <c r="C15" s="65" t="str">
        <f>+'VENEZUELA USD'!C15</f>
        <v>Fac.   Olfa Experience</v>
      </c>
      <c r="D15" s="66"/>
      <c r="E15" s="102"/>
      <c r="F15" s="66"/>
      <c r="G15" s="632"/>
      <c r="H15" s="638"/>
      <c r="I15" s="348"/>
      <c r="J15" s="349"/>
      <c r="K15" s="349"/>
      <c r="L15" s="98"/>
      <c r="M15" s="348"/>
      <c r="N15" s="98"/>
      <c r="O15" s="348"/>
      <c r="P15" s="66"/>
      <c r="Q15" s="102"/>
      <c r="R15" s="349"/>
      <c r="S15" s="635"/>
      <c r="T15" s="173"/>
      <c r="U15" s="173"/>
      <c r="V15" s="10"/>
      <c r="W15" s="89"/>
      <c r="X15" s="97"/>
      <c r="Y15" s="97"/>
      <c r="Z15" s="98"/>
      <c r="AA15" s="359"/>
      <c r="AB15" s="359"/>
      <c r="AC15" s="360"/>
      <c r="AD15" s="103"/>
      <c r="AE15" s="102"/>
      <c r="AF15" s="102"/>
      <c r="AG15" s="220"/>
      <c r="AH15" s="220"/>
      <c r="AI15" s="220"/>
      <c r="AJ15" s="10"/>
      <c r="AK15" s="20"/>
    </row>
    <row r="16" spans="1:37" ht="15.75" thickBot="1" x14ac:dyDescent="0.3">
      <c r="A16" s="181"/>
      <c r="B16" s="181">
        <v>4170250000</v>
      </c>
      <c r="C16" s="65" t="str">
        <f>+'VENEZUELA USD'!C16</f>
        <v>Otros</v>
      </c>
      <c r="D16" s="66">
        <f>+H16</f>
        <v>0</v>
      </c>
      <c r="E16" s="102" t="e">
        <f t="shared" ref="E16:E34" si="13">+D16/$D$17</f>
        <v>#DIV/0!</v>
      </c>
      <c r="F16" s="66">
        <v>2100</v>
      </c>
      <c r="G16" s="632" t="e">
        <f t="shared" ref="G16:G34" si="14">+F16/$F$17</f>
        <v>#DIV/0!</v>
      </c>
      <c r="H16" s="66">
        <v>0</v>
      </c>
      <c r="I16" s="348"/>
      <c r="J16" s="349"/>
      <c r="K16" s="349"/>
      <c r="L16" s="98">
        <f>+P16</f>
        <v>0</v>
      </c>
      <c r="M16" s="98" t="e">
        <f t="shared" ref="M16" si="15">+U16+E16</f>
        <v>#DIV/0!</v>
      </c>
      <c r="N16" s="66">
        <v>8400</v>
      </c>
      <c r="O16" s="98" t="e">
        <f t="shared" ref="O16:O34" si="16">+N16/$N$17</f>
        <v>#DIV/0!</v>
      </c>
      <c r="P16" s="66">
        <v>0</v>
      </c>
      <c r="Q16" s="102"/>
      <c r="R16" s="349"/>
      <c r="S16" s="635"/>
      <c r="T16" s="173">
        <v>24000</v>
      </c>
      <c r="U16" s="173">
        <v>87580</v>
      </c>
      <c r="V16" s="173">
        <v>24000</v>
      </c>
      <c r="W16" s="89"/>
      <c r="X16" s="97"/>
      <c r="Y16" s="97"/>
      <c r="Z16" s="98"/>
      <c r="AA16" s="359"/>
      <c r="AB16" s="359"/>
      <c r="AC16" s="360"/>
      <c r="AD16" s="103"/>
      <c r="AE16" s="102"/>
      <c r="AF16" s="102" t="str">
        <f t="shared" si="10"/>
        <v/>
      </c>
      <c r="AG16" s="220"/>
      <c r="AH16" s="220"/>
      <c r="AI16" s="220"/>
      <c r="AJ16" s="10"/>
      <c r="AK16" s="20"/>
    </row>
    <row r="17" spans="1:37" x14ac:dyDescent="0.25">
      <c r="A17" s="181"/>
      <c r="B17" s="181"/>
      <c r="C17" s="361" t="s">
        <v>58</v>
      </c>
      <c r="D17" s="105">
        <f>SUM(D7:D13)</f>
        <v>0</v>
      </c>
      <c r="E17" s="106" t="e">
        <f t="shared" si="13"/>
        <v>#DIV/0!</v>
      </c>
      <c r="F17" s="105">
        <v>0</v>
      </c>
      <c r="G17" s="273" t="e">
        <f t="shared" si="14"/>
        <v>#DIV/0!</v>
      </c>
      <c r="H17" s="66">
        <f>SUM(H7:H13)</f>
        <v>0</v>
      </c>
      <c r="I17" s="107" t="e">
        <f t="shared" ref="I17:I34" si="17">+H17/$H$17</f>
        <v>#DIV/0!</v>
      </c>
      <c r="J17" s="108" t="str">
        <f t="shared" si="6"/>
        <v/>
      </c>
      <c r="K17" s="108" t="str">
        <f t="shared" si="7"/>
        <v/>
      </c>
      <c r="L17" s="105">
        <f>SUM(L7:L13)</f>
        <v>0</v>
      </c>
      <c r="M17" s="106" t="e">
        <f t="shared" ref="M17:M34" si="18">+L17/$L$17</f>
        <v>#DIV/0!</v>
      </c>
      <c r="N17" s="105">
        <f>+N7</f>
        <v>0</v>
      </c>
      <c r="O17" s="106" t="e">
        <f t="shared" si="16"/>
        <v>#DIV/0!</v>
      </c>
      <c r="P17" s="105">
        <f>SUM(P7:P13)</f>
        <v>0</v>
      </c>
      <c r="Q17" s="106" t="e">
        <f t="shared" ref="Q17:Q34" si="19">+P17/$P$17</f>
        <v>#DIV/0!</v>
      </c>
      <c r="R17" s="634" t="str">
        <f t="shared" si="8"/>
        <v/>
      </c>
      <c r="S17" s="643" t="str">
        <f t="shared" si="9"/>
        <v/>
      </c>
      <c r="T17" s="173">
        <v>0</v>
      </c>
      <c r="U17" s="173">
        <v>0</v>
      </c>
      <c r="V17" s="173">
        <v>0</v>
      </c>
      <c r="W17" s="81" t="s">
        <v>59</v>
      </c>
      <c r="X17" s="82">
        <f>+X7+X14</f>
        <v>3084</v>
      </c>
      <c r="Y17" s="82">
        <v>6877.7900000000009</v>
      </c>
      <c r="Z17" s="83">
        <f>+Z7+Z14</f>
        <v>3084</v>
      </c>
      <c r="AA17" s="355">
        <f t="shared" ref="AA17:AC17" si="20">+AA7+AA14</f>
        <v>3084</v>
      </c>
      <c r="AB17" s="355">
        <v>52877.79</v>
      </c>
      <c r="AC17" s="418">
        <f t="shared" si="20"/>
        <v>3084</v>
      </c>
      <c r="AD17" s="85">
        <f>+AC17-AA17</f>
        <v>0</v>
      </c>
      <c r="AE17" s="86">
        <f t="shared" si="11"/>
        <v>1</v>
      </c>
      <c r="AF17" s="86">
        <f t="shared" si="10"/>
        <v>-0.94167683634281996</v>
      </c>
      <c r="AG17" s="220">
        <v>45127.340000000004</v>
      </c>
      <c r="AH17" s="220">
        <v>88004.18</v>
      </c>
      <c r="AI17" s="220">
        <v>45127.340000000004</v>
      </c>
      <c r="AJ17" s="10"/>
      <c r="AK17" s="20"/>
    </row>
    <row r="18" spans="1:37" x14ac:dyDescent="0.25">
      <c r="A18" s="181"/>
      <c r="B18" s="181"/>
      <c r="C18" s="112" t="s">
        <v>60</v>
      </c>
      <c r="D18" s="114">
        <v>0</v>
      </c>
      <c r="E18" s="113" t="e">
        <f t="shared" si="13"/>
        <v>#DIV/0!</v>
      </c>
      <c r="F18" s="114">
        <v>0</v>
      </c>
      <c r="G18" s="644" t="e">
        <f t="shared" si="14"/>
        <v>#DIV/0!</v>
      </c>
      <c r="H18" s="117">
        <v>0</v>
      </c>
      <c r="I18" s="115" t="e">
        <f t="shared" si="17"/>
        <v>#DIV/0!</v>
      </c>
      <c r="J18" s="116" t="str">
        <f t="shared" si="6"/>
        <v/>
      </c>
      <c r="K18" s="116" t="str">
        <f t="shared" si="7"/>
        <v/>
      </c>
      <c r="L18" s="117">
        <v>0</v>
      </c>
      <c r="M18" s="113" t="e">
        <f t="shared" si="18"/>
        <v>#DIV/0!</v>
      </c>
      <c r="N18" s="117">
        <v>0</v>
      </c>
      <c r="O18" s="113" t="e">
        <f t="shared" si="16"/>
        <v>#DIV/0!</v>
      </c>
      <c r="P18" s="114">
        <f>+P14</f>
        <v>0</v>
      </c>
      <c r="Q18" s="113" t="e">
        <f t="shared" si="19"/>
        <v>#DIV/0!</v>
      </c>
      <c r="R18" s="370" t="str">
        <f t="shared" si="8"/>
        <v/>
      </c>
      <c r="S18" s="645" t="str">
        <f t="shared" si="9"/>
        <v/>
      </c>
      <c r="T18" s="173"/>
      <c r="U18" s="173"/>
      <c r="V18" s="173"/>
      <c r="W18" s="81" t="s">
        <v>61</v>
      </c>
      <c r="X18" s="82"/>
      <c r="Y18" s="82"/>
      <c r="Z18" s="83"/>
      <c r="AA18" s="355">
        <f>+AG18+X18</f>
        <v>0</v>
      </c>
      <c r="AB18" s="355">
        <v>0</v>
      </c>
      <c r="AC18" s="356">
        <f>+Z18+AI18</f>
        <v>0</v>
      </c>
      <c r="AD18" s="85">
        <f t="shared" ref="AD18:AD21" si="21">+AC18-AA18</f>
        <v>0</v>
      </c>
      <c r="AE18" s="640" t="str">
        <f t="shared" si="11"/>
        <v/>
      </c>
      <c r="AF18" s="640" t="str">
        <f t="shared" si="10"/>
        <v/>
      </c>
      <c r="AG18" s="220">
        <v>0</v>
      </c>
      <c r="AH18" s="220">
        <v>0</v>
      </c>
      <c r="AI18" s="220">
        <v>0</v>
      </c>
      <c r="AJ18" s="10"/>
      <c r="AK18" s="20"/>
    </row>
    <row r="19" spans="1:37" ht="15.75" thickBot="1" x14ac:dyDescent="0.3">
      <c r="A19" s="181"/>
      <c r="B19" s="181"/>
      <c r="C19" s="119" t="s">
        <v>62</v>
      </c>
      <c r="D19" s="364">
        <f>+D16</f>
        <v>0</v>
      </c>
      <c r="E19" s="264" t="e">
        <f t="shared" si="13"/>
        <v>#DIV/0!</v>
      </c>
      <c r="F19" s="364">
        <f>+F16</f>
        <v>2100</v>
      </c>
      <c r="G19" s="646" t="e">
        <f t="shared" si="14"/>
        <v>#DIV/0!</v>
      </c>
      <c r="H19" s="364">
        <f>+H16</f>
        <v>0</v>
      </c>
      <c r="I19" s="365" t="e">
        <f t="shared" si="17"/>
        <v>#DIV/0!</v>
      </c>
      <c r="J19" s="124" t="str">
        <f t="shared" si="6"/>
        <v/>
      </c>
      <c r="K19" s="124">
        <f t="shared" si="7"/>
        <v>-1</v>
      </c>
      <c r="L19" s="364">
        <f>+L16</f>
        <v>0</v>
      </c>
      <c r="M19" s="264" t="e">
        <f t="shared" si="18"/>
        <v>#DIV/0!</v>
      </c>
      <c r="N19" s="364">
        <f>+N16</f>
        <v>8400</v>
      </c>
      <c r="O19" s="264" t="e">
        <f t="shared" si="16"/>
        <v>#DIV/0!</v>
      </c>
      <c r="P19" s="364">
        <f>+P16</f>
        <v>0</v>
      </c>
      <c r="Q19" s="264" t="e">
        <f t="shared" si="19"/>
        <v>#DIV/0!</v>
      </c>
      <c r="R19" s="124" t="str">
        <f t="shared" si="8"/>
        <v/>
      </c>
      <c r="S19" s="647">
        <f t="shared" si="9"/>
        <v>-1</v>
      </c>
      <c r="T19" s="173"/>
      <c r="U19" s="173"/>
      <c r="V19" s="173"/>
      <c r="W19" s="81" t="s">
        <v>63</v>
      </c>
      <c r="X19" s="82"/>
      <c r="Y19" s="82"/>
      <c r="Z19" s="83"/>
      <c r="AA19" s="355">
        <f>+AG19+X19</f>
        <v>0</v>
      </c>
      <c r="AB19" s="355">
        <v>0</v>
      </c>
      <c r="AC19" s="356">
        <f>+Z19+AI19</f>
        <v>0</v>
      </c>
      <c r="AD19" s="85">
        <f t="shared" si="21"/>
        <v>0</v>
      </c>
      <c r="AE19" s="86" t="str">
        <f t="shared" si="11"/>
        <v/>
      </c>
      <c r="AF19" s="86" t="str">
        <f t="shared" si="10"/>
        <v/>
      </c>
      <c r="AG19" s="220">
        <v>0</v>
      </c>
      <c r="AH19" s="220">
        <v>0</v>
      </c>
      <c r="AI19" s="220">
        <v>0</v>
      </c>
      <c r="AJ19" s="10"/>
      <c r="AK19" s="20"/>
    </row>
    <row r="20" spans="1:37" x14ac:dyDescent="0.25">
      <c r="A20" s="181"/>
      <c r="B20" s="181"/>
      <c r="C20" s="81" t="s">
        <v>64</v>
      </c>
      <c r="D20" s="83">
        <f>+H20</f>
        <v>0</v>
      </c>
      <c r="E20" s="126" t="e">
        <f t="shared" si="13"/>
        <v>#DIV/0!</v>
      </c>
      <c r="F20" s="83">
        <v>0</v>
      </c>
      <c r="G20" s="648" t="e">
        <f t="shared" si="14"/>
        <v>#DIV/0!</v>
      </c>
      <c r="H20" s="83">
        <v>0</v>
      </c>
      <c r="I20" s="127" t="e">
        <f t="shared" si="17"/>
        <v>#DIV/0!</v>
      </c>
      <c r="J20" s="128" t="str">
        <f t="shared" si="6"/>
        <v/>
      </c>
      <c r="K20" s="128" t="str">
        <f t="shared" si="7"/>
        <v/>
      </c>
      <c r="L20" s="83"/>
      <c r="M20" s="126" t="e">
        <f t="shared" si="18"/>
        <v>#DIV/0!</v>
      </c>
      <c r="N20" s="83">
        <v>0</v>
      </c>
      <c r="O20" s="126" t="e">
        <f t="shared" si="16"/>
        <v>#DIV/0!</v>
      </c>
      <c r="P20" s="83">
        <f t="shared" ref="P20:P21" si="22">+H20+V20</f>
        <v>0</v>
      </c>
      <c r="Q20" s="126" t="e">
        <f t="shared" si="19"/>
        <v>#DIV/0!</v>
      </c>
      <c r="R20" s="148" t="str">
        <f t="shared" si="8"/>
        <v/>
      </c>
      <c r="S20" s="649" t="str">
        <f t="shared" si="9"/>
        <v/>
      </c>
      <c r="T20" s="170"/>
      <c r="U20" s="170"/>
      <c r="V20" s="170"/>
      <c r="W20" s="81" t="s">
        <v>65</v>
      </c>
      <c r="X20" s="82"/>
      <c r="Y20" s="82"/>
      <c r="Z20" s="83"/>
      <c r="AA20" s="355">
        <f>+AG20+X20</f>
        <v>0</v>
      </c>
      <c r="AB20" s="355">
        <v>0</v>
      </c>
      <c r="AC20" s="356">
        <f t="shared" ref="AC20" si="23">+AH20+Z20</f>
        <v>0</v>
      </c>
      <c r="AD20" s="85">
        <f t="shared" si="21"/>
        <v>0</v>
      </c>
      <c r="AE20" s="640" t="str">
        <f t="shared" si="11"/>
        <v/>
      </c>
      <c r="AF20" s="640" t="str">
        <f t="shared" si="10"/>
        <v/>
      </c>
      <c r="AG20" s="220">
        <v>0</v>
      </c>
      <c r="AH20" s="220">
        <v>0</v>
      </c>
      <c r="AI20" s="220">
        <v>0</v>
      </c>
      <c r="AJ20" s="10"/>
      <c r="AK20" s="20"/>
    </row>
    <row r="21" spans="1:37" ht="15.75" thickBot="1" x14ac:dyDescent="0.3">
      <c r="A21" s="181"/>
      <c r="B21" s="181"/>
      <c r="C21" s="81" t="s">
        <v>66</v>
      </c>
      <c r="D21" s="83">
        <f>+H21</f>
        <v>0</v>
      </c>
      <c r="E21" s="126" t="e">
        <f t="shared" si="13"/>
        <v>#DIV/0!</v>
      </c>
      <c r="F21" s="83">
        <v>0</v>
      </c>
      <c r="G21" s="648" t="e">
        <f t="shared" si="14"/>
        <v>#DIV/0!</v>
      </c>
      <c r="H21" s="83">
        <v>0</v>
      </c>
      <c r="I21" s="127" t="e">
        <f t="shared" si="17"/>
        <v>#DIV/0!</v>
      </c>
      <c r="J21" s="128" t="str">
        <f t="shared" si="6"/>
        <v/>
      </c>
      <c r="K21" s="128" t="str">
        <f t="shared" si="7"/>
        <v/>
      </c>
      <c r="L21" s="83"/>
      <c r="M21" s="126" t="e">
        <f t="shared" si="18"/>
        <v>#DIV/0!</v>
      </c>
      <c r="N21" s="83">
        <v>0</v>
      </c>
      <c r="O21" s="126" t="e">
        <f t="shared" si="16"/>
        <v>#DIV/0!</v>
      </c>
      <c r="P21" s="83">
        <f t="shared" si="22"/>
        <v>0</v>
      </c>
      <c r="Q21" s="126" t="e">
        <f t="shared" si="19"/>
        <v>#DIV/0!</v>
      </c>
      <c r="R21" s="148" t="str">
        <f t="shared" si="8"/>
        <v/>
      </c>
      <c r="S21" s="649" t="str">
        <f t="shared" si="9"/>
        <v/>
      </c>
      <c r="T21" s="170"/>
      <c r="U21" s="170"/>
      <c r="V21" s="170"/>
      <c r="W21" s="81" t="s">
        <v>184</v>
      </c>
      <c r="X21" s="83">
        <f>+Z21</f>
        <v>0</v>
      </c>
      <c r="Y21" s="82">
        <v>0</v>
      </c>
      <c r="Z21" s="83">
        <v>0</v>
      </c>
      <c r="AA21" s="355">
        <f>+AC21</f>
        <v>0</v>
      </c>
      <c r="AB21" s="355">
        <v>46000</v>
      </c>
      <c r="AC21" s="83">
        <v>0</v>
      </c>
      <c r="AD21" s="85">
        <f t="shared" si="21"/>
        <v>0</v>
      </c>
      <c r="AE21" s="640" t="str">
        <f t="shared" si="11"/>
        <v/>
      </c>
      <c r="AF21" s="640">
        <f t="shared" si="10"/>
        <v>-1</v>
      </c>
      <c r="AG21" s="220">
        <v>27000</v>
      </c>
      <c r="AH21" s="220">
        <v>74000</v>
      </c>
      <c r="AI21" s="220">
        <v>27000</v>
      </c>
      <c r="AJ21" s="10"/>
      <c r="AK21" s="20"/>
    </row>
    <row r="22" spans="1:37" ht="15.75" thickBot="1" x14ac:dyDescent="0.3">
      <c r="A22" s="181"/>
      <c r="B22" s="181"/>
      <c r="C22" s="112" t="s">
        <v>68</v>
      </c>
      <c r="D22" s="117">
        <f>SUM(D20:D21)</f>
        <v>0</v>
      </c>
      <c r="E22" s="113" t="e">
        <f t="shared" si="13"/>
        <v>#DIV/0!</v>
      </c>
      <c r="F22" s="117">
        <f>SUM(F20:F21)</f>
        <v>0</v>
      </c>
      <c r="G22" s="644" t="e">
        <f t="shared" si="14"/>
        <v>#DIV/0!</v>
      </c>
      <c r="H22" s="117">
        <f>SUM(H20:H21)</f>
        <v>0</v>
      </c>
      <c r="I22" s="115" t="e">
        <f t="shared" si="17"/>
        <v>#DIV/0!</v>
      </c>
      <c r="J22" s="116" t="str">
        <f t="shared" si="6"/>
        <v/>
      </c>
      <c r="K22" s="116" t="str">
        <f t="shared" si="7"/>
        <v/>
      </c>
      <c r="L22" s="117"/>
      <c r="M22" s="263" t="e">
        <f t="shared" si="18"/>
        <v>#DIV/0!</v>
      </c>
      <c r="N22" s="117">
        <f t="shared" ref="N22:N23" si="24">+U22+F22</f>
        <v>0</v>
      </c>
      <c r="O22" s="263" t="e">
        <f t="shared" si="16"/>
        <v>#DIV/0!</v>
      </c>
      <c r="P22" s="117">
        <f t="shared" ref="P22" si="25">+V22+H22</f>
        <v>0</v>
      </c>
      <c r="Q22" s="263" t="e">
        <f t="shared" si="19"/>
        <v>#DIV/0!</v>
      </c>
      <c r="R22" s="370" t="str">
        <f t="shared" si="8"/>
        <v/>
      </c>
      <c r="S22" s="645" t="str">
        <f t="shared" si="9"/>
        <v/>
      </c>
      <c r="T22" s="173"/>
      <c r="U22" s="173"/>
      <c r="V22" s="173"/>
      <c r="W22" s="73" t="s">
        <v>69</v>
      </c>
      <c r="X22" s="75">
        <f>X17-X18-X19-X20-X21</f>
        <v>3084</v>
      </c>
      <c r="Y22" s="75">
        <v>6877.7900000000009</v>
      </c>
      <c r="Z22" s="74">
        <f>Z17-Z18-Z19-Z20-Z21</f>
        <v>3084</v>
      </c>
      <c r="AA22" s="424">
        <f t="shared" ref="AA22:AC22" si="26">AA17-AA18-AA19-AA20-AA21</f>
        <v>3084</v>
      </c>
      <c r="AB22" s="75">
        <v>6877.7900000000009</v>
      </c>
      <c r="AC22" s="425">
        <f t="shared" si="26"/>
        <v>3084</v>
      </c>
      <c r="AD22" s="76">
        <f t="shared" ref="AD22" si="27">Z22-X22</f>
        <v>0</v>
      </c>
      <c r="AE22" s="77">
        <f t="shared" ref="AE22" si="28">IF(X22=0,"",(Z22-X22)/ABS(X22)+1)</f>
        <v>1</v>
      </c>
      <c r="AF22" s="77">
        <f t="shared" ref="AF22" si="29">IF(Y22=0,"",(Z22-Y22)/ABS(Y22))</f>
        <v>-0.55160015062978085</v>
      </c>
      <c r="AG22" s="220">
        <v>18127.340000000004</v>
      </c>
      <c r="AH22" s="220">
        <v>14004.179999999993</v>
      </c>
      <c r="AI22" s="220">
        <v>18127.340000000004</v>
      </c>
      <c r="AJ22" s="10"/>
      <c r="AK22" s="20"/>
    </row>
    <row r="23" spans="1:37" x14ac:dyDescent="0.25">
      <c r="A23" s="181"/>
      <c r="B23" s="181"/>
      <c r="C23" s="81" t="s">
        <v>70</v>
      </c>
      <c r="D23" s="83">
        <f>+H23</f>
        <v>0</v>
      </c>
      <c r="E23" s="126" t="e">
        <f t="shared" si="13"/>
        <v>#DIV/0!</v>
      </c>
      <c r="F23" s="83"/>
      <c r="G23" s="648" t="e">
        <f t="shared" si="14"/>
        <v>#DIV/0!</v>
      </c>
      <c r="H23" s="83"/>
      <c r="I23" s="127" t="e">
        <f t="shared" si="17"/>
        <v>#DIV/0!</v>
      </c>
      <c r="J23" s="128" t="str">
        <f t="shared" si="6"/>
        <v/>
      </c>
      <c r="K23" s="128" t="str">
        <f t="shared" si="7"/>
        <v/>
      </c>
      <c r="L23" s="83"/>
      <c r="M23" s="126" t="e">
        <f t="shared" si="18"/>
        <v>#DIV/0!</v>
      </c>
      <c r="N23" s="83">
        <f t="shared" si="24"/>
        <v>0</v>
      </c>
      <c r="O23" s="126" t="e">
        <f t="shared" si="16"/>
        <v>#DIV/0!</v>
      </c>
      <c r="P23" s="83">
        <f t="shared" ref="P23" si="30">+H23+V23</f>
        <v>0</v>
      </c>
      <c r="Q23" s="126" t="e">
        <f t="shared" si="19"/>
        <v>#DIV/0!</v>
      </c>
      <c r="R23" s="148" t="str">
        <f t="shared" si="8"/>
        <v/>
      </c>
      <c r="S23" s="649" t="str">
        <f t="shared" si="9"/>
        <v/>
      </c>
      <c r="T23" s="170"/>
      <c r="U23" s="170"/>
      <c r="V23" s="170"/>
      <c r="X23" s="177"/>
      <c r="Y23" s="177" t="s">
        <v>71</v>
      </c>
      <c r="Z23" s="177" t="s">
        <v>71</v>
      </c>
      <c r="AA23" s="650"/>
      <c r="AB23" s="177" t="s">
        <v>71</v>
      </c>
      <c r="AC23" s="650"/>
      <c r="AD23" s="177"/>
      <c r="AE23" s="177"/>
      <c r="AF23" s="177"/>
      <c r="AK23" s="20"/>
    </row>
    <row r="24" spans="1:37" x14ac:dyDescent="0.25">
      <c r="A24" s="181"/>
      <c r="B24" s="187" t="s">
        <v>185</v>
      </c>
      <c r="C24" s="81" t="s">
        <v>186</v>
      </c>
      <c r="D24" s="83">
        <f>+H24</f>
        <v>1875</v>
      </c>
      <c r="E24" s="126" t="e">
        <f t="shared" si="13"/>
        <v>#DIV/0!</v>
      </c>
      <c r="F24" s="83">
        <v>0</v>
      </c>
      <c r="G24" s="648" t="e">
        <f t="shared" si="14"/>
        <v>#DIV/0!</v>
      </c>
      <c r="H24" s="83">
        <v>1875</v>
      </c>
      <c r="I24" s="127" t="e">
        <f t="shared" si="17"/>
        <v>#DIV/0!</v>
      </c>
      <c r="J24" s="128">
        <f t="shared" si="6"/>
        <v>1</v>
      </c>
      <c r="K24" s="128" t="str">
        <f t="shared" si="7"/>
        <v/>
      </c>
      <c r="L24" s="83">
        <f>+P24</f>
        <v>3795</v>
      </c>
      <c r="M24" s="126" t="e">
        <f t="shared" si="18"/>
        <v>#DIV/0!</v>
      </c>
      <c r="N24" s="83">
        <v>0</v>
      </c>
      <c r="O24" s="126" t="e">
        <f t="shared" si="16"/>
        <v>#DIV/0!</v>
      </c>
      <c r="P24" s="83">
        <v>3795</v>
      </c>
      <c r="Q24" s="126" t="e">
        <f t="shared" si="19"/>
        <v>#DIV/0!</v>
      </c>
      <c r="R24" s="148">
        <f t="shared" si="8"/>
        <v>1</v>
      </c>
      <c r="S24" s="649" t="str">
        <f t="shared" si="9"/>
        <v/>
      </c>
      <c r="T24" s="170">
        <v>1650</v>
      </c>
      <c r="U24" s="170"/>
      <c r="V24" s="170">
        <v>1650</v>
      </c>
      <c r="W24" s="15"/>
      <c r="X24" s="178"/>
      <c r="Y24" s="427"/>
      <c r="Z24" s="427"/>
      <c r="AA24" s="427"/>
      <c r="AB24" s="427"/>
      <c r="AC24" s="427"/>
      <c r="AD24" s="178"/>
      <c r="AE24" s="177"/>
      <c r="AF24" s="178"/>
      <c r="AK24" s="20"/>
    </row>
    <row r="25" spans="1:37" x14ac:dyDescent="0.25">
      <c r="A25" s="181"/>
      <c r="B25" s="187"/>
      <c r="C25" s="112" t="s">
        <v>73</v>
      </c>
      <c r="D25" s="117">
        <f>SUM(D23:D24)</f>
        <v>1875</v>
      </c>
      <c r="E25" s="263" t="e">
        <f t="shared" si="13"/>
        <v>#DIV/0!</v>
      </c>
      <c r="F25" s="117">
        <f>SUM(F23:F24)</f>
        <v>0</v>
      </c>
      <c r="G25" s="651" t="e">
        <f t="shared" si="14"/>
        <v>#DIV/0!</v>
      </c>
      <c r="H25" s="117">
        <f>SUM(H23:H24)</f>
        <v>1875</v>
      </c>
      <c r="I25" s="363" t="e">
        <f t="shared" si="17"/>
        <v>#DIV/0!</v>
      </c>
      <c r="J25" s="370">
        <f t="shared" si="6"/>
        <v>1</v>
      </c>
      <c r="K25" s="370" t="str">
        <f t="shared" si="7"/>
        <v/>
      </c>
      <c r="L25" s="83">
        <f>+P25</f>
        <v>3795</v>
      </c>
      <c r="M25" s="263" t="e">
        <f t="shared" si="18"/>
        <v>#DIV/0!</v>
      </c>
      <c r="N25" s="83">
        <f>+N24</f>
        <v>0</v>
      </c>
      <c r="O25" s="263" t="e">
        <f t="shared" si="16"/>
        <v>#DIV/0!</v>
      </c>
      <c r="P25" s="117">
        <f>SUM(P23:P24)</f>
        <v>3795</v>
      </c>
      <c r="Q25" s="263" t="e">
        <f t="shared" si="19"/>
        <v>#DIV/0!</v>
      </c>
      <c r="R25" s="370">
        <f t="shared" si="8"/>
        <v>1</v>
      </c>
      <c r="S25" s="645" t="str">
        <f t="shared" si="9"/>
        <v/>
      </c>
      <c r="T25" s="173"/>
      <c r="U25" s="173"/>
      <c r="V25" s="173"/>
      <c r="W25" s="15"/>
      <c r="X25" s="178"/>
      <c r="Y25" s="178"/>
      <c r="Z25" s="178"/>
      <c r="AA25" s="427"/>
      <c r="AB25" s="427"/>
      <c r="AC25" s="427"/>
      <c r="AD25" s="178"/>
      <c r="AE25" s="177"/>
      <c r="AF25" s="192"/>
      <c r="AG25" s="87"/>
      <c r="AK25" s="15"/>
    </row>
    <row r="26" spans="1:37" ht="15.75" thickBot="1" x14ac:dyDescent="0.3">
      <c r="A26" s="181"/>
      <c r="B26" s="187"/>
      <c r="C26" s="112" t="s">
        <v>75</v>
      </c>
      <c r="D26" s="117">
        <f>D22+D25</f>
        <v>1875</v>
      </c>
      <c r="E26" s="263" t="e">
        <f t="shared" si="13"/>
        <v>#DIV/0!</v>
      </c>
      <c r="F26" s="117">
        <f>F22+F25</f>
        <v>0</v>
      </c>
      <c r="G26" s="651" t="e">
        <f t="shared" si="14"/>
        <v>#DIV/0!</v>
      </c>
      <c r="H26" s="117">
        <f>H22+H25</f>
        <v>1875</v>
      </c>
      <c r="I26" s="363" t="e">
        <f t="shared" si="17"/>
        <v>#DIV/0!</v>
      </c>
      <c r="J26" s="370">
        <f t="shared" si="6"/>
        <v>1</v>
      </c>
      <c r="K26" s="370" t="str">
        <f t="shared" si="7"/>
        <v/>
      </c>
      <c r="L26" s="117">
        <f>L22+L25</f>
        <v>3795</v>
      </c>
      <c r="M26" s="263" t="e">
        <f t="shared" si="18"/>
        <v>#DIV/0!</v>
      </c>
      <c r="N26" s="117">
        <f>+N25</f>
        <v>0</v>
      </c>
      <c r="O26" s="263" t="e">
        <f t="shared" si="16"/>
        <v>#DIV/0!</v>
      </c>
      <c r="P26" s="117">
        <f>P22+P25</f>
        <v>3795</v>
      </c>
      <c r="Q26" s="263" t="e">
        <f t="shared" si="19"/>
        <v>#DIV/0!</v>
      </c>
      <c r="R26" s="370">
        <f t="shared" si="8"/>
        <v>1</v>
      </c>
      <c r="S26" s="645" t="str">
        <f t="shared" si="9"/>
        <v/>
      </c>
      <c r="T26" s="173"/>
      <c r="U26" s="173"/>
      <c r="V26" s="173"/>
      <c r="W26" s="15"/>
      <c r="X26" s="15"/>
      <c r="Y26" s="15"/>
      <c r="Z26" s="15"/>
      <c r="AA26" s="15"/>
      <c r="AB26" s="15"/>
      <c r="AC26" s="15"/>
      <c r="AD26" s="15"/>
      <c r="AF26" s="20"/>
      <c r="AK26" s="15"/>
    </row>
    <row r="27" spans="1:37" ht="15.75" thickBot="1" x14ac:dyDescent="0.3">
      <c r="A27" s="181"/>
      <c r="B27" s="187"/>
      <c r="C27" s="73" t="s">
        <v>76</v>
      </c>
      <c r="D27" s="74">
        <f>+D19-D26</f>
        <v>-1875</v>
      </c>
      <c r="E27" s="77" t="e">
        <f t="shared" si="13"/>
        <v>#DIV/0!</v>
      </c>
      <c r="F27" s="74">
        <f>+F19-F26</f>
        <v>2100</v>
      </c>
      <c r="G27" s="652" t="e">
        <f t="shared" si="14"/>
        <v>#DIV/0!</v>
      </c>
      <c r="H27" s="74">
        <f>+H19-H26</f>
        <v>-1875</v>
      </c>
      <c r="I27" s="145" t="e">
        <f t="shared" si="17"/>
        <v>#DIV/0!</v>
      </c>
      <c r="J27" s="146">
        <f t="shared" si="6"/>
        <v>1</v>
      </c>
      <c r="K27" s="146">
        <f t="shared" si="7"/>
        <v>-1.8928571428571428</v>
      </c>
      <c r="L27" s="74">
        <f>+L19-L26</f>
        <v>-3795</v>
      </c>
      <c r="M27" s="77" t="e">
        <f t="shared" si="18"/>
        <v>#DIV/0!</v>
      </c>
      <c r="N27" s="74">
        <f>+N19-N26</f>
        <v>8400</v>
      </c>
      <c r="O27" s="77" t="e">
        <f t="shared" si="16"/>
        <v>#DIV/0!</v>
      </c>
      <c r="P27" s="74">
        <f>+P19-P26</f>
        <v>-3795</v>
      </c>
      <c r="Q27" s="77" t="e">
        <f t="shared" si="19"/>
        <v>#DIV/0!</v>
      </c>
      <c r="R27" s="146">
        <f t="shared" si="8"/>
        <v>1</v>
      </c>
      <c r="S27" s="653">
        <f t="shared" si="9"/>
        <v>-1.4517857142857142</v>
      </c>
      <c r="T27" s="173"/>
      <c r="U27" s="173"/>
      <c r="V27" s="173"/>
      <c r="W27" s="15"/>
      <c r="X27" s="15"/>
      <c r="Y27" s="138"/>
      <c r="Z27" s="15"/>
      <c r="AA27" s="15"/>
      <c r="AB27" s="138"/>
      <c r="AC27" s="15"/>
      <c r="AD27" s="15"/>
      <c r="AE27" s="15"/>
      <c r="AF27" s="15"/>
      <c r="AK27" s="15"/>
    </row>
    <row r="28" spans="1:37" x14ac:dyDescent="0.25">
      <c r="A28" s="181"/>
      <c r="B28" s="187" t="s">
        <v>187</v>
      </c>
      <c r="C28" s="81" t="s">
        <v>77</v>
      </c>
      <c r="D28" s="83">
        <f>+H28</f>
        <v>0</v>
      </c>
      <c r="E28" s="126" t="e">
        <f t="shared" si="13"/>
        <v>#DIV/0!</v>
      </c>
      <c r="F28" s="83">
        <v>0</v>
      </c>
      <c r="G28" s="648" t="e">
        <f t="shared" si="14"/>
        <v>#DIV/0!</v>
      </c>
      <c r="H28" s="83">
        <v>0</v>
      </c>
      <c r="I28" s="127" t="e">
        <f t="shared" si="17"/>
        <v>#DIV/0!</v>
      </c>
      <c r="J28" s="128" t="str">
        <f t="shared" si="6"/>
        <v/>
      </c>
      <c r="K28" s="128" t="str">
        <f t="shared" si="7"/>
        <v/>
      </c>
      <c r="L28" s="83">
        <f>+P28</f>
        <v>0</v>
      </c>
      <c r="M28" s="126" t="e">
        <f t="shared" si="18"/>
        <v>#DIV/0!</v>
      </c>
      <c r="N28" s="83">
        <v>0</v>
      </c>
      <c r="O28" s="126" t="e">
        <f t="shared" si="16"/>
        <v>#DIV/0!</v>
      </c>
      <c r="P28" s="83">
        <v>0</v>
      </c>
      <c r="Q28" s="126" t="e">
        <f t="shared" si="19"/>
        <v>#DIV/0!</v>
      </c>
      <c r="R28" s="128" t="str">
        <f t="shared" si="8"/>
        <v/>
      </c>
      <c r="S28" s="654" t="str">
        <f t="shared" si="9"/>
        <v/>
      </c>
      <c r="T28" s="170"/>
      <c r="U28" s="170"/>
      <c r="V28" s="170"/>
      <c r="W28" s="15"/>
      <c r="X28" s="15"/>
      <c r="Y28" s="138"/>
      <c r="Z28" s="15"/>
      <c r="AA28" s="15"/>
      <c r="AB28" s="138"/>
      <c r="AC28" s="15"/>
      <c r="AD28" s="15"/>
      <c r="AE28" s="15"/>
      <c r="AF28" s="15"/>
      <c r="AI28" s="20"/>
    </row>
    <row r="29" spans="1:37" ht="15.75" thickBot="1" x14ac:dyDescent="0.3">
      <c r="A29" s="181"/>
      <c r="B29" s="187" t="s">
        <v>188</v>
      </c>
      <c r="C29" s="81" t="s">
        <v>78</v>
      </c>
      <c r="D29" s="83">
        <f>+H29</f>
        <v>0</v>
      </c>
      <c r="E29" s="126" t="e">
        <f t="shared" si="13"/>
        <v>#DIV/0!</v>
      </c>
      <c r="F29" s="83">
        <v>262.5</v>
      </c>
      <c r="G29" s="648" t="e">
        <f t="shared" si="14"/>
        <v>#DIV/0!</v>
      </c>
      <c r="H29" s="83">
        <v>0</v>
      </c>
      <c r="I29" s="127" t="e">
        <f t="shared" si="17"/>
        <v>#DIV/0!</v>
      </c>
      <c r="J29" s="128" t="str">
        <f t="shared" si="6"/>
        <v/>
      </c>
      <c r="K29" s="128">
        <f t="shared" si="7"/>
        <v>-1</v>
      </c>
      <c r="L29" s="83">
        <f>+P29</f>
        <v>50</v>
      </c>
      <c r="M29" s="126" t="e">
        <f t="shared" si="18"/>
        <v>#DIV/0!</v>
      </c>
      <c r="N29" s="83">
        <v>1527.5</v>
      </c>
      <c r="O29" s="126" t="e">
        <f t="shared" si="16"/>
        <v>#DIV/0!</v>
      </c>
      <c r="P29" s="83">
        <v>50</v>
      </c>
      <c r="Q29" s="126" t="e">
        <f t="shared" si="19"/>
        <v>#DIV/0!</v>
      </c>
      <c r="R29" s="128">
        <f t="shared" si="8"/>
        <v>1</v>
      </c>
      <c r="S29" s="654">
        <f t="shared" si="9"/>
        <v>-0.96726677577741405</v>
      </c>
      <c r="T29" s="170">
        <v>2788</v>
      </c>
      <c r="U29" s="170"/>
      <c r="V29" s="170">
        <v>2788</v>
      </c>
      <c r="W29" s="15"/>
      <c r="X29" s="15"/>
      <c r="Y29" s="138"/>
      <c r="Z29" s="15"/>
      <c r="AA29" s="15"/>
      <c r="AB29" s="138"/>
      <c r="AC29" s="15"/>
      <c r="AD29" s="15"/>
      <c r="AE29" s="15"/>
      <c r="AF29" s="15"/>
    </row>
    <row r="30" spans="1:37" ht="15.75" thickBot="1" x14ac:dyDescent="0.3">
      <c r="A30" s="181"/>
      <c r="B30" s="187"/>
      <c r="C30" s="73" t="s">
        <v>79</v>
      </c>
      <c r="D30" s="74">
        <f>D27+D28-D29</f>
        <v>-1875</v>
      </c>
      <c r="E30" s="77" t="e">
        <f t="shared" si="13"/>
        <v>#DIV/0!</v>
      </c>
      <c r="F30" s="74">
        <f>+F27-F29+F28</f>
        <v>1837.5</v>
      </c>
      <c r="G30" s="652" t="e">
        <f t="shared" si="14"/>
        <v>#DIV/0!</v>
      </c>
      <c r="H30" s="74">
        <f>+H27-H29+H28</f>
        <v>-1875</v>
      </c>
      <c r="I30" s="145" t="e">
        <f t="shared" si="17"/>
        <v>#DIV/0!</v>
      </c>
      <c r="J30" s="146">
        <f t="shared" si="6"/>
        <v>1</v>
      </c>
      <c r="K30" s="146">
        <f t="shared" si="7"/>
        <v>-2.0204081632653059</v>
      </c>
      <c r="L30" s="74">
        <f>L27+L28-L29</f>
        <v>-3845</v>
      </c>
      <c r="M30" s="77" t="e">
        <f t="shared" si="18"/>
        <v>#DIV/0!</v>
      </c>
      <c r="N30" s="74">
        <f>N27+N28-N29</f>
        <v>6872.5</v>
      </c>
      <c r="O30" s="77" t="e">
        <f t="shared" si="16"/>
        <v>#DIV/0!</v>
      </c>
      <c r="P30" s="74">
        <f>+P27-P29+P28</f>
        <v>-3845</v>
      </c>
      <c r="Q30" s="77" t="e">
        <f t="shared" si="19"/>
        <v>#DIV/0!</v>
      </c>
      <c r="R30" s="146">
        <f t="shared" si="8"/>
        <v>1</v>
      </c>
      <c r="S30" s="653">
        <f t="shared" si="9"/>
        <v>-1.5594761731538742</v>
      </c>
      <c r="T30" s="173"/>
      <c r="U30" s="173"/>
      <c r="V30" s="10"/>
      <c r="W30" s="15"/>
      <c r="X30" s="15"/>
      <c r="Y30" s="138"/>
      <c r="Z30" s="15"/>
      <c r="AA30" s="15"/>
      <c r="AB30" s="138"/>
      <c r="AC30" s="15"/>
      <c r="AD30" s="15"/>
      <c r="AE30" s="15"/>
      <c r="AF30" s="15"/>
    </row>
    <row r="31" spans="1:37" ht="15.75" thickBot="1" x14ac:dyDescent="0.3">
      <c r="A31" s="181"/>
      <c r="B31" s="187"/>
      <c r="C31" s="81" t="s">
        <v>63</v>
      </c>
      <c r="D31" s="83"/>
      <c r="E31" s="126" t="e">
        <f t="shared" si="13"/>
        <v>#DIV/0!</v>
      </c>
      <c r="F31" s="83"/>
      <c r="G31" s="648" t="e">
        <f t="shared" si="14"/>
        <v>#DIV/0!</v>
      </c>
      <c r="H31" s="83"/>
      <c r="I31" s="127" t="e">
        <f t="shared" si="17"/>
        <v>#DIV/0!</v>
      </c>
      <c r="J31" s="128" t="str">
        <f t="shared" si="6"/>
        <v/>
      </c>
      <c r="K31" s="128" t="str">
        <f t="shared" si="7"/>
        <v/>
      </c>
      <c r="L31" s="83">
        <f>+T31+D31</f>
        <v>0</v>
      </c>
      <c r="M31" s="126" t="e">
        <f t="shared" si="18"/>
        <v>#DIV/0!</v>
      </c>
      <c r="N31" s="83">
        <f>+F31</f>
        <v>0</v>
      </c>
      <c r="O31" s="126" t="e">
        <f t="shared" si="16"/>
        <v>#DIV/0!</v>
      </c>
      <c r="P31" s="83"/>
      <c r="Q31" s="126" t="e">
        <f t="shared" si="19"/>
        <v>#DIV/0!</v>
      </c>
      <c r="R31" s="148" t="str">
        <f t="shared" si="8"/>
        <v/>
      </c>
      <c r="S31" s="649" t="str">
        <f t="shared" si="9"/>
        <v/>
      </c>
      <c r="T31" s="170"/>
      <c r="U31" s="170"/>
      <c r="V31" s="10"/>
      <c r="W31" s="15"/>
      <c r="X31" s="15"/>
      <c r="Y31" s="138"/>
      <c r="Z31" s="15"/>
      <c r="AA31" s="15"/>
      <c r="AB31" s="138"/>
      <c r="AC31" s="15"/>
      <c r="AD31" s="15"/>
      <c r="AE31" s="15"/>
      <c r="AF31" s="15"/>
    </row>
    <row r="32" spans="1:37" ht="15.75" thickBot="1" x14ac:dyDescent="0.3">
      <c r="A32" s="181"/>
      <c r="B32" s="181"/>
      <c r="C32" s="73" t="s">
        <v>80</v>
      </c>
      <c r="D32" s="141">
        <f>+D30-D31</f>
        <v>-1875</v>
      </c>
      <c r="E32" s="142" t="e">
        <f t="shared" si="13"/>
        <v>#DIV/0!</v>
      </c>
      <c r="F32" s="141">
        <f>F30-F31</f>
        <v>1837.5</v>
      </c>
      <c r="G32" s="227" t="e">
        <f t="shared" si="14"/>
        <v>#DIV/0!</v>
      </c>
      <c r="H32" s="141">
        <f>H30-H31</f>
        <v>-1875</v>
      </c>
      <c r="I32" s="143" t="e">
        <f t="shared" si="17"/>
        <v>#DIV/0!</v>
      </c>
      <c r="J32" s="144">
        <f t="shared" si="6"/>
        <v>1</v>
      </c>
      <c r="K32" s="144">
        <f t="shared" si="7"/>
        <v>-2.0204081632653059</v>
      </c>
      <c r="L32" s="141">
        <f>L30-L31</f>
        <v>-3845</v>
      </c>
      <c r="M32" s="142" t="e">
        <f t="shared" si="18"/>
        <v>#DIV/0!</v>
      </c>
      <c r="N32" s="141">
        <f>N30-N31</f>
        <v>6872.5</v>
      </c>
      <c r="O32" s="142" t="e">
        <f t="shared" si="16"/>
        <v>#DIV/0!</v>
      </c>
      <c r="P32" s="141">
        <f>P30-P31</f>
        <v>-3845</v>
      </c>
      <c r="Q32" s="142" t="e">
        <f t="shared" si="19"/>
        <v>#DIV/0!</v>
      </c>
      <c r="R32" s="146">
        <f t="shared" si="8"/>
        <v>1</v>
      </c>
      <c r="S32" s="653">
        <f t="shared" si="9"/>
        <v>-1.5594761731538742</v>
      </c>
      <c r="T32" s="173"/>
      <c r="U32" s="173"/>
      <c r="V32" s="10"/>
      <c r="W32" s="15"/>
      <c r="X32" s="15"/>
      <c r="Y32" s="138"/>
      <c r="Z32" s="15"/>
      <c r="AA32" s="15"/>
      <c r="AB32" s="138"/>
      <c r="AC32" s="15"/>
      <c r="AD32" s="15"/>
      <c r="AE32" s="15"/>
    </row>
    <row r="33" spans="1:31" ht="15.75" thickBot="1" x14ac:dyDescent="0.3">
      <c r="A33" s="181"/>
      <c r="B33" s="181"/>
      <c r="C33" s="73" t="s">
        <v>82</v>
      </c>
      <c r="D33" s="141">
        <f>+D27</f>
        <v>-1875</v>
      </c>
      <c r="E33" s="141" t="e">
        <f t="shared" ref="E33:G33" si="31">+E27</f>
        <v>#DIV/0!</v>
      </c>
      <c r="F33" s="141">
        <f>+F27</f>
        <v>2100</v>
      </c>
      <c r="G33" s="141" t="e">
        <f t="shared" si="31"/>
        <v>#DIV/0!</v>
      </c>
      <c r="H33" s="141">
        <f>+H27</f>
        <v>-1875</v>
      </c>
      <c r="I33" s="143" t="e">
        <f t="shared" si="17"/>
        <v>#DIV/0!</v>
      </c>
      <c r="J33" s="144">
        <f t="shared" si="6"/>
        <v>1</v>
      </c>
      <c r="K33" s="144">
        <f t="shared" si="7"/>
        <v>-1.8928571428571428</v>
      </c>
      <c r="L33" s="141">
        <f>+L27</f>
        <v>-3795</v>
      </c>
      <c r="M33" s="142" t="e">
        <f t="shared" si="18"/>
        <v>#DIV/0!</v>
      </c>
      <c r="N33" s="141">
        <f>+N27</f>
        <v>8400</v>
      </c>
      <c r="O33" s="142" t="e">
        <f t="shared" si="16"/>
        <v>#DIV/0!</v>
      </c>
      <c r="P33" s="141">
        <f>+P27</f>
        <v>-3795</v>
      </c>
      <c r="Q33" s="142" t="e">
        <f t="shared" si="19"/>
        <v>#DIV/0!</v>
      </c>
      <c r="R33" s="146">
        <f t="shared" si="8"/>
        <v>1</v>
      </c>
      <c r="S33" s="653">
        <f t="shared" si="9"/>
        <v>-1.4517857142857142</v>
      </c>
      <c r="T33" s="173"/>
      <c r="U33" s="173"/>
      <c r="V33" s="10"/>
      <c r="W33" s="15"/>
      <c r="X33" s="15"/>
      <c r="Y33" s="138"/>
      <c r="Z33" s="15"/>
      <c r="AA33" s="15"/>
      <c r="AB33" s="138"/>
      <c r="AC33" s="15"/>
      <c r="AD33" s="15"/>
      <c r="AE33" s="15"/>
    </row>
    <row r="34" spans="1:31" ht="15.75" thickBot="1" x14ac:dyDescent="0.3">
      <c r="A34" s="181"/>
      <c r="B34" s="181"/>
      <c r="C34" s="153" t="s">
        <v>46</v>
      </c>
      <c r="D34" s="154">
        <v>0</v>
      </c>
      <c r="E34" s="155" t="e">
        <f t="shared" si="13"/>
        <v>#DIV/0!</v>
      </c>
      <c r="F34" s="154">
        <v>0</v>
      </c>
      <c r="G34" s="655" t="e">
        <f t="shared" si="14"/>
        <v>#DIV/0!</v>
      </c>
      <c r="H34" s="154">
        <v>0</v>
      </c>
      <c r="I34" s="156" t="e">
        <f t="shared" si="17"/>
        <v>#DIV/0!</v>
      </c>
      <c r="J34" s="157" t="str">
        <f t="shared" si="6"/>
        <v/>
      </c>
      <c r="K34" s="157" t="str">
        <f t="shared" si="7"/>
        <v/>
      </c>
      <c r="L34" s="154">
        <v>0</v>
      </c>
      <c r="M34" s="155" t="e">
        <f t="shared" si="18"/>
        <v>#DIV/0!</v>
      </c>
      <c r="N34" s="154">
        <v>0</v>
      </c>
      <c r="O34" s="155" t="e">
        <f t="shared" si="16"/>
        <v>#DIV/0!</v>
      </c>
      <c r="P34" s="154">
        <v>0</v>
      </c>
      <c r="Q34" s="155" t="e">
        <f t="shared" si="19"/>
        <v>#DIV/0!</v>
      </c>
      <c r="R34" s="160" t="str">
        <f t="shared" si="8"/>
        <v/>
      </c>
      <c r="S34" s="656" t="str">
        <f t="shared" si="9"/>
        <v/>
      </c>
      <c r="T34" s="173"/>
      <c r="U34" s="173"/>
      <c r="V34" s="10"/>
      <c r="W34" s="87"/>
      <c r="X34" s="15"/>
      <c r="Y34" s="138"/>
      <c r="Z34" s="15"/>
      <c r="AA34" s="15"/>
      <c r="AB34" s="138"/>
      <c r="AC34" s="15"/>
      <c r="AD34" s="15"/>
      <c r="AE34" s="15"/>
    </row>
    <row r="35" spans="1:31" x14ac:dyDescent="0.25">
      <c r="A35" s="181"/>
      <c r="B35" s="181"/>
      <c r="F35" s="10" t="s">
        <v>71</v>
      </c>
      <c r="N35" s="657" t="s">
        <v>71</v>
      </c>
      <c r="S35" s="658"/>
      <c r="U35" s="443"/>
    </row>
    <row r="36" spans="1:31" x14ac:dyDescent="0.25">
      <c r="A36" s="181"/>
      <c r="B36" s="181"/>
      <c r="I36" s="149"/>
      <c r="J36" s="149"/>
      <c r="K36" s="149"/>
      <c r="L36" s="149"/>
      <c r="N36" s="149"/>
      <c r="T36" s="149"/>
      <c r="U36" s="149"/>
      <c r="V36" s="10"/>
    </row>
    <row r="37" spans="1:31" x14ac:dyDescent="0.25">
      <c r="A37" s="181"/>
      <c r="B37" s="181"/>
      <c r="N37" s="149"/>
      <c r="T37" s="10"/>
      <c r="U37" s="149"/>
      <c r="V37" s="10"/>
    </row>
    <row r="38" spans="1:31" x14ac:dyDescent="0.25">
      <c r="N38" s="149"/>
      <c r="T38" s="10"/>
      <c r="U38" s="149"/>
      <c r="V38" s="10"/>
    </row>
    <row r="39" spans="1:31" x14ac:dyDescent="0.25">
      <c r="C39" s="15"/>
      <c r="D39" s="15"/>
      <c r="E39" s="15"/>
      <c r="F39" s="15"/>
      <c r="G39" s="15"/>
      <c r="H39" s="15"/>
      <c r="I39" s="15"/>
      <c r="J39" s="15"/>
      <c r="K39" s="15"/>
      <c r="L39" s="87"/>
      <c r="M39" s="15"/>
      <c r="N39" s="15"/>
      <c r="O39" s="15"/>
      <c r="P39" s="15"/>
      <c r="Q39" s="15"/>
      <c r="R39" s="15"/>
      <c r="S39" s="20"/>
      <c r="T39" s="149"/>
      <c r="U39" s="10"/>
      <c r="V39" s="10"/>
    </row>
    <row r="40" spans="1:31" x14ac:dyDescent="0.25"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T40" s="10"/>
    </row>
    <row r="41" spans="1:31" x14ac:dyDescent="0.25"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</row>
    <row r="42" spans="1:31" x14ac:dyDescent="0.25"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1:31" x14ac:dyDescent="0.25">
      <c r="B43" s="11" t="s">
        <v>83</v>
      </c>
    </row>
    <row r="44" spans="1:31" x14ac:dyDescent="0.25">
      <c r="D44" s="304"/>
      <c r="E44" s="304"/>
      <c r="G44" s="304"/>
      <c r="H44" s="304"/>
      <c r="I44" s="78"/>
      <c r="J44" s="78"/>
      <c r="K44" s="78"/>
      <c r="L44" s="78"/>
      <c r="M44" s="78"/>
      <c r="O44" s="78"/>
      <c r="P44" s="78"/>
      <c r="T44" s="231"/>
    </row>
    <row r="45" spans="1:31" x14ac:dyDescent="0.25">
      <c r="F45" s="220"/>
      <c r="N45" s="78"/>
      <c r="U45" s="231"/>
    </row>
  </sheetData>
  <mergeCells count="9">
    <mergeCell ref="L5:M5"/>
    <mergeCell ref="N5:O5"/>
    <mergeCell ref="AA6:AC6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30C9D-8DFA-4B99-8C7F-1D7EE6D1EEAC}">
  <dimension ref="A1:AL41"/>
  <sheetViews>
    <sheetView topLeftCell="U3" workbookViewId="0">
      <selection activeCell="Y8" sqref="Y8"/>
    </sheetView>
  </sheetViews>
  <sheetFormatPr baseColWidth="10" defaultRowHeight="15" x14ac:dyDescent="0.25"/>
  <cols>
    <col min="1" max="1" width="0" style="10" hidden="1" customWidth="1"/>
    <col min="2" max="2" width="11.42578125" style="10" hidden="1" customWidth="1"/>
    <col min="3" max="3" width="35.7109375" style="10" customWidth="1"/>
    <col min="4" max="4" width="7.85546875" style="10" customWidth="1"/>
    <col min="5" max="5" width="8.5703125" style="10" customWidth="1"/>
    <col min="6" max="6" width="10.42578125" style="10" customWidth="1"/>
    <col min="7" max="7" width="5.85546875" style="10" customWidth="1"/>
    <col min="8" max="8" width="11.140625" style="10" customWidth="1"/>
    <col min="9" max="9" width="8.5703125" style="10" customWidth="1"/>
    <col min="10" max="10" width="7.42578125" style="10" customWidth="1"/>
    <col min="11" max="11" width="9.5703125" style="10" customWidth="1"/>
    <col min="12" max="12" width="11.7109375" style="10" customWidth="1"/>
    <col min="13" max="13" width="8.42578125" style="10" customWidth="1"/>
    <col min="14" max="14" width="9.85546875" style="10" customWidth="1"/>
    <col min="15" max="15" width="6.7109375" style="10" customWidth="1"/>
    <col min="16" max="16" width="9.42578125" style="10" customWidth="1"/>
    <col min="17" max="17" width="8.42578125" style="10" customWidth="1"/>
    <col min="18" max="19" width="9.5703125" style="10" customWidth="1"/>
    <col min="20" max="20" width="11.42578125" style="443"/>
    <col min="21" max="22" width="11.42578125" style="443" customWidth="1"/>
    <col min="23" max="23" width="34.140625" style="10" customWidth="1"/>
    <col min="24" max="30" width="11.42578125" style="10"/>
    <col min="31" max="31" width="9.85546875" style="10" customWidth="1"/>
    <col min="32" max="32" width="10" style="10" customWidth="1"/>
    <col min="33" max="33" width="11.42578125" style="10"/>
    <col min="34" max="34" width="14.28515625" style="10" customWidth="1"/>
    <col min="35" max="16384" width="11.42578125" style="10"/>
  </cols>
  <sheetData>
    <row r="1" spans="1:38" s="4" customFormat="1" ht="30" hidden="1" x14ac:dyDescent="0.25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443" t="s">
        <v>5</v>
      </c>
      <c r="U1" s="443" t="s">
        <v>6</v>
      </c>
      <c r="V1" s="443" t="s">
        <v>7</v>
      </c>
    </row>
    <row r="2" spans="1:38" ht="30.75" hidden="1" x14ac:dyDescent="0.3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0" t="str">
        <f>+F2</f>
        <v>201201</v>
      </c>
      <c r="P2" s="11">
        <f>D2</f>
        <v>201301</v>
      </c>
      <c r="T2" s="443" t="s">
        <v>10</v>
      </c>
      <c r="U2" s="443" t="s">
        <v>84</v>
      </c>
      <c r="V2" s="443">
        <v>201301</v>
      </c>
      <c r="Z2" s="14"/>
      <c r="AA2" s="14"/>
      <c r="AB2" s="14"/>
      <c r="AC2" s="14"/>
    </row>
    <row r="3" spans="1:38" ht="19.5" thickBot="1" x14ac:dyDescent="0.35">
      <c r="B3" s="10">
        <v>1000</v>
      </c>
      <c r="C3" s="17" t="s">
        <v>189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W3" s="19" t="str">
        <f>+C3</f>
        <v>MUSICAR S.A. CONSOLIDADO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8" ht="19.5" thickBot="1" x14ac:dyDescent="0.35">
      <c r="A4" s="10" t="s">
        <v>94</v>
      </c>
      <c r="B4" s="10">
        <v>1</v>
      </c>
      <c r="C4" s="21"/>
      <c r="D4" s="182" t="str">
        <f>+'EL SALVADOR USD'!D4:K4</f>
        <v>31/04/2022</v>
      </c>
      <c r="E4" s="26"/>
      <c r="F4" s="26"/>
      <c r="G4" s="26"/>
      <c r="H4" s="27"/>
      <c r="I4" s="27"/>
      <c r="J4" s="27"/>
      <c r="K4" s="183"/>
      <c r="L4" s="25" t="s">
        <v>13</v>
      </c>
      <c r="M4" s="26"/>
      <c r="N4" s="26"/>
      <c r="O4" s="26"/>
      <c r="P4" s="27"/>
      <c r="Q4" s="27"/>
      <c r="R4" s="27"/>
      <c r="S4" s="28"/>
      <c r="T4" s="443" t="s">
        <v>13</v>
      </c>
      <c r="W4" s="14"/>
      <c r="X4" s="201" t="str">
        <f>+'COLOMB$ '!X4:Z4</f>
        <v>ABRIL</v>
      </c>
      <c r="Y4" s="202"/>
      <c r="Z4" s="202"/>
      <c r="AA4" s="659" t="str">
        <f>+'COLOMB$ '!AA4:AC4</f>
        <v>ACUM  ABRIL</v>
      </c>
      <c r="AB4" s="660"/>
      <c r="AC4" s="661"/>
      <c r="AD4" s="10" t="s">
        <v>24</v>
      </c>
      <c r="AE4" s="10" t="s">
        <v>20</v>
      </c>
      <c r="AF4" s="10" t="s">
        <v>21</v>
      </c>
    </row>
    <row r="5" spans="1:38" ht="15.75" customHeight="1" thickTop="1" thickBot="1" x14ac:dyDescent="0.3">
      <c r="A5" s="10" t="s">
        <v>95</v>
      </c>
      <c r="B5" s="10" t="s">
        <v>96</v>
      </c>
      <c r="C5" s="36" t="s">
        <v>113</v>
      </c>
      <c r="D5" s="184" t="str">
        <f>+'COLOMB$ '!D5:E5</f>
        <v>Ppto 2022</v>
      </c>
      <c r="E5" s="185"/>
      <c r="F5" s="184" t="str">
        <f>+'COLOMB$ '!F5:G5</f>
        <v>Real 2021</v>
      </c>
      <c r="G5" s="185"/>
      <c r="H5" s="184" t="str">
        <f>+'COLOMB$ '!H5:I5</f>
        <v>real 2022</v>
      </c>
      <c r="I5" s="185"/>
      <c r="J5" s="39" t="s">
        <v>20</v>
      </c>
      <c r="K5" s="40" t="s">
        <v>21</v>
      </c>
      <c r="L5" s="184" t="str">
        <f>+D5</f>
        <v>Ppto 2022</v>
      </c>
      <c r="M5" s="206"/>
      <c r="N5" s="184" t="str">
        <f>+F5</f>
        <v>Real 2021</v>
      </c>
      <c r="O5" s="206"/>
      <c r="P5" s="184" t="str">
        <f>+H5</f>
        <v>real 2022</v>
      </c>
      <c r="Q5" s="206"/>
      <c r="R5" s="39" t="s">
        <v>20</v>
      </c>
      <c r="S5" s="41" t="s">
        <v>21</v>
      </c>
      <c r="T5" s="443" t="s">
        <v>171</v>
      </c>
      <c r="U5" s="443" t="s">
        <v>172</v>
      </c>
      <c r="V5" s="443" t="s">
        <v>88</v>
      </c>
      <c r="W5" s="208" t="s">
        <v>113</v>
      </c>
      <c r="X5" s="662" t="str">
        <f>+D5</f>
        <v>Ppto 2022</v>
      </c>
      <c r="Y5" s="662" t="str">
        <f>+F5</f>
        <v>Real 2021</v>
      </c>
      <c r="Z5" s="210" t="str">
        <f>+P5</f>
        <v>real 2022</v>
      </c>
      <c r="AA5" s="663" t="str">
        <f>+X5</f>
        <v>Ppto 2022</v>
      </c>
      <c r="AB5" s="664" t="str">
        <f>+Y5</f>
        <v>Real 2021</v>
      </c>
      <c r="AC5" s="665" t="str">
        <f t="shared" ref="AC5" si="0">+H5</f>
        <v>real 2022</v>
      </c>
      <c r="AD5" s="47" t="s">
        <v>24</v>
      </c>
      <c r="AE5" s="47" t="s">
        <v>20</v>
      </c>
      <c r="AF5" s="47" t="s">
        <v>21</v>
      </c>
    </row>
    <row r="6" spans="1:38" ht="16.5" thickTop="1" thickBot="1" x14ac:dyDescent="0.3">
      <c r="C6" s="50" t="s">
        <v>26</v>
      </c>
      <c r="D6" s="247" t="s">
        <v>27</v>
      </c>
      <c r="E6" s="248" t="s">
        <v>28</v>
      </c>
      <c r="F6" s="247" t="s">
        <v>27</v>
      </c>
      <c r="G6" s="53" t="s">
        <v>28</v>
      </c>
      <c r="H6" s="186" t="s">
        <v>27</v>
      </c>
      <c r="I6" s="54" t="s">
        <v>28</v>
      </c>
      <c r="J6" s="55" t="s">
        <v>29</v>
      </c>
      <c r="K6" s="52" t="s">
        <v>29</v>
      </c>
      <c r="L6" s="51" t="s">
        <v>27</v>
      </c>
      <c r="M6" s="52" t="s">
        <v>28</v>
      </c>
      <c r="N6" s="247" t="s">
        <v>27</v>
      </c>
      <c r="O6" s="54" t="s">
        <v>28</v>
      </c>
      <c r="P6" s="186" t="s">
        <v>27</v>
      </c>
      <c r="Q6" s="54" t="s">
        <v>28</v>
      </c>
      <c r="R6" s="55" t="s">
        <v>29</v>
      </c>
      <c r="S6" s="56" t="s">
        <v>29</v>
      </c>
      <c r="T6" s="443" t="s">
        <v>27</v>
      </c>
      <c r="U6" s="443" t="s">
        <v>27</v>
      </c>
      <c r="V6" s="443" t="s">
        <v>27</v>
      </c>
      <c r="W6" s="57" t="str">
        <f>+'COLOMB$ '!W6</f>
        <v xml:space="preserve">Flujo de Caja </v>
      </c>
      <c r="X6" s="615" t="s">
        <v>27</v>
      </c>
      <c r="Y6" s="615" t="s">
        <v>27</v>
      </c>
      <c r="Z6" s="617" t="s">
        <v>27</v>
      </c>
      <c r="AA6" s="666" t="s">
        <v>190</v>
      </c>
      <c r="AB6" s="667"/>
      <c r="AC6" s="668"/>
      <c r="AD6" s="621" t="s">
        <v>27</v>
      </c>
      <c r="AE6" s="616" t="s">
        <v>29</v>
      </c>
      <c r="AF6" s="616" t="s">
        <v>29</v>
      </c>
    </row>
    <row r="7" spans="1:38" ht="15.75" thickBot="1" x14ac:dyDescent="0.3">
      <c r="B7" s="11" t="s">
        <v>97</v>
      </c>
      <c r="C7" s="255" t="str">
        <f>+'PANAMA USD'!C7</f>
        <v>Fact. Musical Experience  (Ambiental)</v>
      </c>
      <c r="D7" s="66">
        <f>'COLOMBIA USD'!D7+'EL SALVADOR USD'!D7+'VENEZUELA USD'!D7+'PANAMA USD'!D7</f>
        <v>122871.58823529413</v>
      </c>
      <c r="E7" s="102">
        <f t="shared" ref="E7:E34" si="1">+D7/$D$17</f>
        <v>0.46849278335332906</v>
      </c>
      <c r="F7" s="66">
        <f>'COLOMBIA USD'!F7+'EL SALVADOR USD'!F7+'VENEZUELA USD'!F7+'PANAMA USD'!F7</f>
        <v>1889690.920804831</v>
      </c>
      <c r="G7" s="102">
        <f t="shared" ref="G7:G34" si="2">+F7/$F$17</f>
        <v>0.47802626862583875</v>
      </c>
      <c r="H7" s="669">
        <f>'COLOMBIA USD'!H7+'EL SALVADOR USD'!H7+'VENEZUELA USD'!H7+'PANAMA USD'!H7</f>
        <v>98517.54230437192</v>
      </c>
      <c r="I7" s="68">
        <f t="shared" ref="I7:I34" si="3">+H7/$H$17</f>
        <v>0.47386181789068083</v>
      </c>
      <c r="J7" s="69">
        <f>IF(D7=0,"",(H7-D7)/ABS(D7)+1)</f>
        <v>0.8017926985343008</v>
      </c>
      <c r="K7" s="69">
        <f>IF(F7=0,"",(H7-F7)/ABS(F7))</f>
        <v>-0.94786579052704945</v>
      </c>
      <c r="L7" s="66">
        <f>'COLOMBIA USD'!L7+'EL SALVADOR USD'!L7+'VENEZUELA USD'!L7+'PANAMA USD'!L7</f>
        <v>458595.9411764706</v>
      </c>
      <c r="M7" s="67">
        <f t="shared" ref="M7:M34" si="4">+L7/$L$17</f>
        <v>0.45975884004147444</v>
      </c>
      <c r="N7" s="66">
        <f>'COLOMBIA USD'!N7+'EL SALVADOR USD'!N7+'VENEZUELA USD'!N7+'PANAMA USD'!N7</f>
        <v>6154670.7805061135</v>
      </c>
      <c r="O7" s="67">
        <f t="shared" ref="O7:O34" si="5">+N7/$N$17</f>
        <v>0.48247591693443154</v>
      </c>
      <c r="P7" s="669">
        <f>'COLOMBIA USD'!P7+'EL SALVADOR USD'!P7+'VENEZUELA USD'!P7+'PANAMA USD'!P7</f>
        <v>393745.16192591679</v>
      </c>
      <c r="Q7" s="68">
        <f t="shared" ref="Q7:Q34" si="6">+P7/$P$17</f>
        <v>0.47713025854081609</v>
      </c>
      <c r="R7" s="69">
        <f>IF(L7=0,"",(P7-L7)/ABS(L7)+1)</f>
        <v>0.85858841427120525</v>
      </c>
      <c r="S7" s="349">
        <f>IF(N7=0,"",(P7-N7)/ABS(N7))</f>
        <v>-0.93602498395640621</v>
      </c>
      <c r="T7" s="443">
        <v>2956718.2826860175</v>
      </c>
      <c r="U7" s="443">
        <v>2931981.4973882008</v>
      </c>
      <c r="V7" s="443">
        <v>2663157.4020066904</v>
      </c>
      <c r="W7" s="73" t="s">
        <v>35</v>
      </c>
      <c r="X7" s="75">
        <f>'COLOMBIA USD'!X7+'EL SALVADOR USD'!X7+'VENEZUELA USD'!X7+'PANAMA USD'!X7</f>
        <v>25436.861628308954</v>
      </c>
      <c r="Y7" s="75">
        <f>'COLOMBIA USD'!Y7+'EL SALVADOR USD'!Y7+'VENEZUELA USD'!Y7+'PANAMA USD'!Y7</f>
        <v>1174861.9799152501</v>
      </c>
      <c r="Z7" s="74">
        <f>'COLOMBIA USD'!Z7+'EL SALVADOR USD'!Z7+'VENEZUELA USD'!Z7+'PANAMA USD'!Z7</f>
        <v>39319.901695821463</v>
      </c>
      <c r="AA7" s="670">
        <f>'COLOMBIA USD'!AA7+'EL SALVADOR USD'!AA7+'VENEZUELA USD'!AA7+'PANAMA USD'!AA7</f>
        <v>174131.01842770175</v>
      </c>
      <c r="AB7" s="671">
        <f>'COLOMBIA USD'!AB7+'EL SALVADOR USD'!AB7+'VENEZUELA USD'!AB7+'PANAMA USD'!AB7</f>
        <v>685321.15188850148</v>
      </c>
      <c r="AC7" s="672">
        <f>'COLOMBIA USD'!AC7+'EL SALVADOR USD'!AC7+'VENEZUELA USD'!AC7+'PANAMA USD'!AC7</f>
        <v>153547.99101120984</v>
      </c>
      <c r="AD7" s="76">
        <f>+AC7-AA7</f>
        <v>-20583.02741649191</v>
      </c>
      <c r="AE7" s="77">
        <f>IF(AA7=0,"",(AC7-AA7)/ABS(AA7)+1)</f>
        <v>0.88179574436338648</v>
      </c>
      <c r="AF7" s="77">
        <f>IF(Y7=0,"",(AC7-AB7)/ABS(AB7))</f>
        <v>-0.77594739256465928</v>
      </c>
      <c r="AG7" s="149"/>
      <c r="AH7" s="87">
        <f>+'COLOMBIA USD'!Y7+'EL SALVADOR USD'!Y7+'VENEZUELA USD'!Y7+'PANAMA USD'!Y7</f>
        <v>1174861.9799152501</v>
      </c>
      <c r="AI7" s="87">
        <f>+'COLOMBIA USD'!Z7+'EL SALVADOR USD'!Z7+'VENEZUELA USD'!Z7+'PANAMA USD'!Z7</f>
        <v>39319.901695821463</v>
      </c>
      <c r="AJ7" s="87">
        <f>+'COLOMBIA USD'!AA7+'EL SALVADOR USD'!AA7+'VENEZUELA USD'!AA7+'PANAMA USD'!AA7</f>
        <v>174131.01842770175</v>
      </c>
      <c r="AK7" s="87">
        <f>+'COLOMBIA USD'!AB7+'EL SALVADOR USD'!AB7+'VENEZUELA USD'!AB7+'PANAMA USD'!AB7</f>
        <v>685321.15188850148</v>
      </c>
      <c r="AL7" s="87">
        <f>+'COLOMBIA USD'!AC7+'EL SALVADOR USD'!AC7+'VENEZUELA USD'!AC7+'PANAMA USD'!AC7</f>
        <v>153547.99101120984</v>
      </c>
    </row>
    <row r="8" spans="1:38" x14ac:dyDescent="0.25">
      <c r="B8" s="11" t="s">
        <v>98</v>
      </c>
      <c r="C8" s="255" t="str">
        <f>+'PANAMA USD'!C8</f>
        <v>Instalaciones</v>
      </c>
      <c r="D8" s="66">
        <f>'COLOMBIA USD'!D8+'EL SALVADOR USD'!D8+'VENEZUELA USD'!D8+'PANAMA USD'!D8</f>
        <v>13407.915294117647</v>
      </c>
      <c r="E8" s="102">
        <f t="shared" si="1"/>
        <v>5.1122571501867504E-2</v>
      </c>
      <c r="F8" s="66">
        <f>'COLOMBIA USD'!F8+'EL SALVADOR USD'!F8+'VENEZUELA USD'!F8+'PANAMA USD'!F8</f>
        <v>502770.96443751425</v>
      </c>
      <c r="G8" s="102">
        <f t="shared" si="2"/>
        <v>0.12718361794378411</v>
      </c>
      <c r="H8" s="669">
        <f>'COLOMBIA USD'!H8+'EL SALVADOR USD'!H8+'VENEZUELA USD'!H8+'PANAMA USD'!H8</f>
        <v>5391.6594509132128</v>
      </c>
      <c r="I8" s="68">
        <f t="shared" si="3"/>
        <v>2.5933468183400126E-2</v>
      </c>
      <c r="J8" s="69">
        <f t="shared" ref="J8:J34" si="7">IF(D8=0,"",(H8-D8)/ABS(D8)+1)</f>
        <v>0.40212511286364216</v>
      </c>
      <c r="K8" s="69">
        <f t="shared" ref="K8:K34" si="8">IF(F8=0,"",(H8-F8)/ABS(F8))</f>
        <v>-0.98927611212205691</v>
      </c>
      <c r="L8" s="66">
        <f>'COLOMBIA USD'!L8+'EL SALVADOR USD'!L8+'VENEZUELA USD'!L8+'PANAMA USD'!L8</f>
        <v>42985.309411764705</v>
      </c>
      <c r="M8" s="67">
        <f t="shared" si="4"/>
        <v>4.3094310741777664E-2</v>
      </c>
      <c r="N8" s="66">
        <f>'COLOMBIA USD'!N8+'EL SALVADOR USD'!N8+'VENEZUELA USD'!N8+'PANAMA USD'!N8</f>
        <v>1528545.2427678024</v>
      </c>
      <c r="O8" s="67">
        <f t="shared" si="5"/>
        <v>0.11982546165036523</v>
      </c>
      <c r="P8" s="669">
        <f>'COLOMBIA USD'!P8+'EL SALVADOR USD'!P8+'VENEZUELA USD'!P8+'PANAMA USD'!P8</f>
        <v>30100.00505098543</v>
      </c>
      <c r="Q8" s="68">
        <f t="shared" si="6"/>
        <v>3.6474411829747616E-2</v>
      </c>
      <c r="R8" s="69">
        <f t="shared" ref="R8:R34" si="9">IF(L8=0,"",(P8-L8)/ABS(L8)+1)</f>
        <v>0.70023934834693358</v>
      </c>
      <c r="S8" s="349">
        <f t="shared" ref="S8:S34" si="10">IF(N8=0,"",(P8-N8)/ABS(N8))</f>
        <v>-0.98030807057010494</v>
      </c>
      <c r="T8" s="443">
        <v>515074.48582066695</v>
      </c>
      <c r="U8" s="443">
        <v>349988.04682248656</v>
      </c>
      <c r="V8" s="443">
        <v>424359.99280429352</v>
      </c>
      <c r="W8" s="81" t="s">
        <v>38</v>
      </c>
      <c r="X8" s="82">
        <f>'COLOMBIA USD'!X8+'EL SALVADOR USD'!X8+'VENEZUELA USD'!X8+'PANAMA USD'!X8</f>
        <v>310319.91563019605</v>
      </c>
      <c r="Y8" s="82">
        <f>'COLOMBIA USD'!Y8+'EL SALVADOR USD'!Y8+'VENEZUELA USD'!Y8+'PANAMA USD'!Y8</f>
        <v>2762915.9108335106</v>
      </c>
      <c r="Z8" s="83">
        <f>'COLOMBIA USD'!Z8+'EL SALVADOR USD'!Z8+'VENEZUELA USD'!Z8+'PANAMA USD'!Z8</f>
        <v>252883.20845939961</v>
      </c>
      <c r="AA8" s="673">
        <f>'COLOMBIA USD'!AA8+'EL SALVADOR USD'!AA8+'VENEZUELA USD'!AA8+'PANAMA USD'!AA8</f>
        <v>1153817.6820679738</v>
      </c>
      <c r="AB8" s="674">
        <f>'COLOMBIA USD'!AB8+'EL SALVADOR USD'!AB8+'VENEZUELA USD'!AB8+'PANAMA USD'!AB8</f>
        <v>8376748.6236517988</v>
      </c>
      <c r="AC8" s="262">
        <f>'COLOMBIA USD'!AC8+'EL SALVADOR USD'!AC8+'VENEZUELA USD'!AC8+'PANAMA USD'!AC8</f>
        <v>1024918.0575713819</v>
      </c>
      <c r="AD8" s="85">
        <f>+AC8-AA8</f>
        <v>-128899.62449659186</v>
      </c>
      <c r="AE8" s="86">
        <f>IF(AA8=0,"",(AC8-AA8)/ABS(AA8)+1)</f>
        <v>0.88828423545601543</v>
      </c>
      <c r="AF8" s="86">
        <f>IF(AB8=0,"",(AC8-AB8)/ABS(AB8))</f>
        <v>-0.87764727060359427</v>
      </c>
      <c r="AG8" s="149"/>
      <c r="AH8" s="87">
        <f>+'COLOMBIA USD'!Y8+'EL SALVADOR USD'!Y8+'VENEZUELA USD'!Y8+'PANAMA USD'!Y8</f>
        <v>2762915.9108335106</v>
      </c>
      <c r="AI8" s="87">
        <f>+'COLOMBIA USD'!Z8+'EL SALVADOR USD'!Z8+'VENEZUELA USD'!Z8+'PANAMA USD'!Z8</f>
        <v>252883.20845939961</v>
      </c>
      <c r="AJ8" s="87">
        <f>+'COLOMBIA USD'!AD8+'EL SALVADOR USD'!AD8+'VENEZUELA USD'!AD8+'PANAMA USD'!AD8</f>
        <v>-128899.62449659198</v>
      </c>
      <c r="AL8" s="87">
        <f>+'COLOMBIA USD'!AC8+'EL SALVADOR USD'!AC8+'VENEZUELA USD'!AC8+'PANAMA USD'!AC8</f>
        <v>1024918.0575713819</v>
      </c>
    </row>
    <row r="9" spans="1:38" x14ac:dyDescent="0.25">
      <c r="B9" s="11" t="s">
        <v>99</v>
      </c>
      <c r="C9" s="255" t="str">
        <f>+'PANAMA USD'!C9</f>
        <v>Publihold- Audicom</v>
      </c>
      <c r="D9" s="66">
        <f>'COLOMBIA USD'!D9+'EL SALVADOR USD'!D9+'VENEZUELA USD'!D9+'PANAMA USD'!D9</f>
        <v>26598.707647058825</v>
      </c>
      <c r="E9" s="102">
        <f t="shared" si="1"/>
        <v>0.10141728253165554</v>
      </c>
      <c r="F9" s="66">
        <f>'COLOMBIA USD'!F9+'EL SALVADOR USD'!F9+'VENEZUELA USD'!F9+'PANAMA USD'!F9</f>
        <v>450549.79467733909</v>
      </c>
      <c r="G9" s="102">
        <f t="shared" si="2"/>
        <v>0.11397347302066563</v>
      </c>
      <c r="H9" s="669">
        <f>'COLOMBIA USD'!H9+'EL SALVADOR USD'!H9+'VENEZUELA USD'!H9+'PANAMA USD'!H9</f>
        <v>26866.260367304436</v>
      </c>
      <c r="I9" s="68">
        <f t="shared" si="3"/>
        <v>0.12922465055251658</v>
      </c>
      <c r="J9" s="69">
        <f t="shared" si="7"/>
        <v>1.0100588616483099</v>
      </c>
      <c r="K9" s="69">
        <f t="shared" si="8"/>
        <v>-0.94037005302256393</v>
      </c>
      <c r="L9" s="66">
        <f>'COLOMBIA USD'!L9+'EL SALVADOR USD'!L9+'VENEZUELA USD'!L9+'PANAMA USD'!L9</f>
        <v>108308.44470588237</v>
      </c>
      <c r="M9" s="67">
        <f t="shared" si="4"/>
        <v>0.10858309119990865</v>
      </c>
      <c r="N9" s="66">
        <f>'COLOMBIA USD'!N9+'EL SALVADOR USD'!N9+'VENEZUELA USD'!N9+'PANAMA USD'!N9</f>
        <v>2418457.7451631436</v>
      </c>
      <c r="O9" s="67">
        <f t="shared" si="5"/>
        <v>0.18958733290179541</v>
      </c>
      <c r="P9" s="669">
        <f>'COLOMBIA USD'!P9+'EL SALVADOR USD'!P9+'VENEZUELA USD'!P9+'PANAMA USD'!P9</f>
        <v>101437.95889404784</v>
      </c>
      <c r="Q9" s="68">
        <f t="shared" si="6"/>
        <v>0.12291990920278539</v>
      </c>
      <c r="R9" s="69">
        <f t="shared" si="9"/>
        <v>0.93656555746422432</v>
      </c>
      <c r="S9" s="349">
        <f t="shared" si="10"/>
        <v>-0.95805675782555166</v>
      </c>
      <c r="T9" s="443">
        <v>1693244.9035184504</v>
      </c>
      <c r="U9" s="443">
        <v>1431513.90248228</v>
      </c>
      <c r="V9" s="443">
        <v>1585373.1001398442</v>
      </c>
      <c r="W9" s="81" t="s">
        <v>41</v>
      </c>
      <c r="X9" s="82">
        <f>'COLOMBIA USD'!X9+'EL SALVADOR USD'!X9+'VENEZUELA USD'!X9+'PANAMA USD'!X9</f>
        <v>35263.235294117643</v>
      </c>
      <c r="Y9" s="82">
        <f>'COLOMBIA USD'!Y9+'EL SALVADOR USD'!Y9+'VENEZUELA USD'!Y9+'PANAMA USD'!Y9</f>
        <v>28031.298667614719</v>
      </c>
      <c r="Z9" s="91">
        <f>'COLOMBIA USD'!Z9+'EL SALVADOR USD'!Z9+'VENEZUELA USD'!Z9+'PANAMA USD'!Z9</f>
        <v>18413.289059998438</v>
      </c>
      <c r="AA9" s="673">
        <f>'COLOMBIA USD'!AA9+'EL SALVADOR USD'!AA9+'VENEZUELA USD'!AA9+'PANAMA USD'!AA9</f>
        <v>165939.5882352941</v>
      </c>
      <c r="AB9" s="674">
        <f>'COLOMBIA USD'!AB9+'EL SALVADOR USD'!AB9+'VENEZUELA USD'!AB9+'PANAMA USD'!AB9</f>
        <v>159456.9439223893</v>
      </c>
      <c r="AC9" s="262">
        <f>'COLOMBIA USD'!AC9+'EL SALVADOR USD'!AC9+'VENEZUELA USD'!AC9+'PANAMA USD'!AC9</f>
        <v>141532.39025482381</v>
      </c>
      <c r="AD9" s="85">
        <f>+AA9-AC9</f>
        <v>24407.197980470286</v>
      </c>
      <c r="AE9" s="86">
        <f>IF(AA9=0,"",(AC9-AA9)/ABS(AA9)+1)</f>
        <v>0.85291515882357083</v>
      </c>
      <c r="AF9" s="86">
        <f t="shared" ref="AF9:AF21" si="11">IF(AB9=0,"",(AC9-AB9)/ABS(AB9))</f>
        <v>-0.11240999122803774</v>
      </c>
      <c r="AG9" s="149"/>
      <c r="AH9" s="87">
        <f>+'COLOMBIA USD'!Y9+'EL SALVADOR USD'!Y9+'VENEZUELA USD'!Y9+'PANAMA USD'!Y9</f>
        <v>28031.298667614719</v>
      </c>
      <c r="AI9" s="87">
        <f>+'COLOMBIA USD'!Z9+'EL SALVADOR USD'!Z9+'VENEZUELA USD'!Z9+'PANAMA USD'!Z9</f>
        <v>18413.289059998438</v>
      </c>
      <c r="AJ9" s="87">
        <f>+'COLOMBIA USD'!AD9+'EL SALVADOR USD'!AD9+'VENEZUELA USD'!AD9+'PANAMA USD'!AD9</f>
        <v>24407.19798047029</v>
      </c>
      <c r="AL9" s="87">
        <f>+'COLOMBIA USD'!AC9+'EL SALVADOR USD'!AC9+'VENEZUELA USD'!AC9+'PANAMA USD'!AC9</f>
        <v>141532.39025482381</v>
      </c>
    </row>
    <row r="10" spans="1:38" x14ac:dyDescent="0.25">
      <c r="B10" s="11"/>
      <c r="C10" s="255" t="str">
        <f>+'PANAMA USD'!C10</f>
        <v>Soluciones para Redes de Audio</v>
      </c>
      <c r="D10" s="66">
        <f>'COLOMBIA USD'!D10+'EL SALVADOR USD'!D10+'VENEZUELA USD'!D10+'PANAMA USD'!D10</f>
        <v>26893.817647058826</v>
      </c>
      <c r="E10" s="102">
        <f t="shared" si="1"/>
        <v>0.10254249713399831</v>
      </c>
      <c r="F10" s="66">
        <f>'COLOMBIA USD'!F10+'EL SALVADOR USD'!F10+'VENEZUELA USD'!F10+'PANAMA USD'!F10</f>
        <v>347408.08602114313</v>
      </c>
      <c r="G10" s="102">
        <f t="shared" si="2"/>
        <v>8.7882197677280019E-2</v>
      </c>
      <c r="H10" s="669">
        <f>'COLOMBIA USD'!H10+'EL SALVADOR USD'!H10+'VENEZUELA USD'!H10+'PANAMA USD'!H10</f>
        <v>15446.852773983355</v>
      </c>
      <c r="I10" s="68">
        <f t="shared" si="3"/>
        <v>7.4298176395379209E-2</v>
      </c>
      <c r="J10" s="69">
        <f t="shared" si="7"/>
        <v>0.57436444972968204</v>
      </c>
      <c r="K10" s="69">
        <f t="shared" si="8"/>
        <v>-0.95553686458223863</v>
      </c>
      <c r="L10" s="66">
        <f>'COLOMBIA USD'!L10+'EL SALVADOR USD'!L10+'VENEZUELA USD'!L10+'PANAMA USD'!L10</f>
        <v>98076.231764705895</v>
      </c>
      <c r="M10" s="67">
        <f t="shared" si="4"/>
        <v>9.8324931607775681E-2</v>
      </c>
      <c r="N10" s="66">
        <f>'COLOMBIA USD'!N10+'EL SALVADOR USD'!N10+'VENEZUELA USD'!N10+'PANAMA USD'!N10</f>
        <v>414107.71682818647</v>
      </c>
      <c r="O10" s="67">
        <f t="shared" si="5"/>
        <v>3.2462662506518893E-2</v>
      </c>
      <c r="P10" s="669">
        <f>'COLOMBIA USD'!P10+'EL SALVADOR USD'!P10+'VENEZUELA USD'!P10+'PANAMA USD'!P10</f>
        <v>59393.073950579033</v>
      </c>
      <c r="Q10" s="68">
        <f t="shared" si="6"/>
        <v>7.1970999188824131E-2</v>
      </c>
      <c r="R10" s="69">
        <f t="shared" si="9"/>
        <v>0.60558070882116066</v>
      </c>
      <c r="S10" s="349">
        <f t="shared" si="10"/>
        <v>-0.85657578563014014</v>
      </c>
      <c r="T10" s="443">
        <v>983583.34269472759</v>
      </c>
      <c r="U10" s="443">
        <v>477243.50370787311</v>
      </c>
      <c r="V10" s="443">
        <v>809910.14876960241</v>
      </c>
      <c r="W10" s="81" t="s">
        <v>44</v>
      </c>
      <c r="X10" s="82">
        <f>'COLOMBIA USD'!X10+'EL SALVADOR USD'!X10+'VENEZUELA USD'!X10+'PANAMA USD'!X10</f>
        <v>2456.7647058823527</v>
      </c>
      <c r="Y10" s="82">
        <f>'COLOMBIA USD'!Y10+'EL SALVADOR USD'!Y10+'VENEZUELA USD'!Y10+'PANAMA USD'!Y10</f>
        <v>2018.1640177866836</v>
      </c>
      <c r="Z10" s="91">
        <f>'COLOMBIA USD'!Z10+'EL SALVADOR USD'!Z10+'VENEZUELA USD'!Z10+'PANAMA USD'!Z10</f>
        <v>2404.0433455110215</v>
      </c>
      <c r="AA10" s="673">
        <f>'COLOMBIA USD'!AA10+'EL SALVADOR USD'!AA10+'VENEZUELA USD'!AA10+'PANAMA USD'!AA10</f>
        <v>9827.0588235294108</v>
      </c>
      <c r="AB10" s="674">
        <f>'COLOMBIA USD'!AB10+'EL SALVADOR USD'!AB10+'VENEZUELA USD'!AB10+'PANAMA USD'!AB10</f>
        <v>7936.5370371866666</v>
      </c>
      <c r="AC10" s="262">
        <f>'COLOMBIA USD'!AC10+'EL SALVADOR USD'!AC10+'VENEZUELA USD'!AC10+'PANAMA USD'!AC10</f>
        <v>9382.2029261749703</v>
      </c>
      <c r="AD10" s="85">
        <f>+AA10-AC10</f>
        <v>444.85589735444046</v>
      </c>
      <c r="AE10" s="86">
        <f t="shared" ref="AE10:AE21" si="12">IF(AA10=0,"",(AC10-AA10)/ABS(AA10)+1)</f>
        <v>0.95473153205419914</v>
      </c>
      <c r="AF10" s="86">
        <f t="shared" si="11"/>
        <v>0.18215323411390033</v>
      </c>
      <c r="AG10" s="149"/>
      <c r="AH10" s="87">
        <f>+'COLOMBIA USD'!Y10+'EL SALVADOR USD'!Y10+'VENEZUELA USD'!Y10+'PANAMA USD'!Y10</f>
        <v>2018.1640177866836</v>
      </c>
      <c r="AI10" s="87">
        <f>+'COLOMBIA USD'!Z10+'EL SALVADOR USD'!Z10+'VENEZUELA USD'!Z10+'PANAMA USD'!Z10</f>
        <v>2404.0433455110215</v>
      </c>
      <c r="AJ10" s="87">
        <f>+'COLOMBIA USD'!AD10+'EL SALVADOR USD'!AD10+'VENEZUELA USD'!AD10+'PANAMA USD'!AD10</f>
        <v>444.85589735444046</v>
      </c>
      <c r="AL10" s="87">
        <f>+'COLOMBIA USD'!AC10+'EL SALVADOR USD'!AC10+'VENEZUELA USD'!AC10+'PANAMA USD'!AC10</f>
        <v>9382.2029261749703</v>
      </c>
    </row>
    <row r="11" spans="1:38" x14ac:dyDescent="0.25">
      <c r="B11" s="11"/>
      <c r="C11" s="255" t="str">
        <f>+'PANAMA USD'!C11</f>
        <v>POP Satelital</v>
      </c>
      <c r="D11" s="66">
        <f>'COLOMBIA USD'!D11+'EL SALVADOR USD'!D11+'VENEZUELA USD'!D11+'PANAMA USD'!D11</f>
        <v>0</v>
      </c>
      <c r="E11" s="102">
        <f t="shared" si="1"/>
        <v>0</v>
      </c>
      <c r="F11" s="66">
        <f>'COLOMBIA USD'!F11+'EL SALVADOR USD'!F11+'VENEZUELA USD'!F11+'PANAMA USD'!F11</f>
        <v>0</v>
      </c>
      <c r="G11" s="102">
        <f t="shared" si="2"/>
        <v>0</v>
      </c>
      <c r="H11" s="669">
        <f>'COLOMBIA USD'!H11+'EL SALVADOR USD'!H14+'VENEZUELA USD'!H11+'PANAMA USD'!H11</f>
        <v>0</v>
      </c>
      <c r="I11" s="68">
        <f t="shared" si="3"/>
        <v>0</v>
      </c>
      <c r="J11" s="69" t="str">
        <f t="shared" si="7"/>
        <v/>
      </c>
      <c r="K11" s="69" t="str">
        <f t="shared" si="8"/>
        <v/>
      </c>
      <c r="L11" s="66">
        <f>'COLOMBIA USD'!L11+'EL SALVADOR USD'!L14+'VENEZUELA USD'!L11+'PANAMA USD'!L11</f>
        <v>0</v>
      </c>
      <c r="M11" s="67">
        <f t="shared" si="4"/>
        <v>0</v>
      </c>
      <c r="N11" s="66">
        <f>'COLOMBIA USD'!N11+'EL SALVADOR USD'!N14+'VENEZUELA USD'!N11+'PANAMA USD'!N11</f>
        <v>0</v>
      </c>
      <c r="O11" s="67">
        <f t="shared" si="5"/>
        <v>0</v>
      </c>
      <c r="P11" s="669">
        <f>'COLOMBIA USD'!P11+'EL SALVADOR USD'!P11+'VENEZUELA USD'!P11+'PANAMA USD'!P11</f>
        <v>0</v>
      </c>
      <c r="Q11" s="68">
        <f t="shared" si="6"/>
        <v>0</v>
      </c>
      <c r="R11" s="69" t="str">
        <f t="shared" si="9"/>
        <v/>
      </c>
      <c r="S11" s="349" t="str">
        <f t="shared" si="10"/>
        <v/>
      </c>
      <c r="T11" s="443">
        <v>59552.243559122326</v>
      </c>
      <c r="U11" s="443">
        <v>70628.289132133621</v>
      </c>
      <c r="V11" s="443">
        <v>73014.288292304918</v>
      </c>
      <c r="W11" s="81" t="s">
        <v>46</v>
      </c>
      <c r="X11" s="82">
        <f>'COLOMBIA USD'!X11+'EL SALVADOR USD'!X11+'VENEZUELA USD'!X11+'PANAMA USD'!X11</f>
        <v>108630.0584311147</v>
      </c>
      <c r="Y11" s="82">
        <f>'COLOMBIA USD'!Y11+'EL SALVADOR USD'!Y11+'VENEZUELA USD'!Y11+'PANAMA USD'!Y11</f>
        <v>659335.90932464378</v>
      </c>
      <c r="Z11" s="91">
        <f>'COLOMBIA USD'!Z11+'EL SALVADOR USD'!Z11+'VENEZUELA USD'!Z11+'PANAMA USD'!Z11</f>
        <v>97012.707532156841</v>
      </c>
      <c r="AA11" s="673">
        <f>'COLOMBIA USD'!AA11+'EL SALVADOR USD'!AA11+'VENEZUELA USD'!AA11+'PANAMA USD'!AA11</f>
        <v>495120.70470510877</v>
      </c>
      <c r="AB11" s="674">
        <f>'COLOMBIA USD'!AB11+'EL SALVADOR USD'!AB11+'VENEZUELA USD'!AB11+'PANAMA USD'!AB11</f>
        <v>1773335.2264879083</v>
      </c>
      <c r="AC11" s="262">
        <f>'COLOMBIA USD'!AC11+'EL SALVADOR USD'!AC11+'VENEZUELA USD'!AC11+'PANAMA USD'!AC11</f>
        <v>424889.76027547201</v>
      </c>
      <c r="AD11" s="85">
        <f>+AA11-AC11</f>
        <v>70230.944429636758</v>
      </c>
      <c r="AE11" s="86">
        <f t="shared" si="12"/>
        <v>0.85815389305630851</v>
      </c>
      <c r="AF11" s="86">
        <f t="shared" si="11"/>
        <v>-0.76040076691141667</v>
      </c>
      <c r="AG11" s="149"/>
      <c r="AH11" s="87">
        <f>+'COLOMBIA USD'!Y11+'EL SALVADOR USD'!Y11+'VENEZUELA USD'!Y11+'PANAMA USD'!Y11</f>
        <v>659335.90932464378</v>
      </c>
      <c r="AI11" s="87">
        <f>+'COLOMBIA USD'!Z11+'EL SALVADOR USD'!Z11+'VENEZUELA USD'!Z11+'PANAMA USD'!Z11</f>
        <v>97012.707532156841</v>
      </c>
      <c r="AJ11" s="87">
        <f>+'COLOMBIA USD'!AD11+'EL SALVADOR USD'!AD11+'VENEZUELA USD'!AD11+'PANAMA USD'!AD11</f>
        <v>70230.944429636773</v>
      </c>
      <c r="AL11" s="87">
        <f>+'COLOMBIA USD'!AC11+'EL SALVADOR USD'!AC11+'VENEZUELA USD'!AC11+'PANAMA USD'!AC11</f>
        <v>424889.76027547201</v>
      </c>
    </row>
    <row r="12" spans="1:38" x14ac:dyDescent="0.25">
      <c r="B12" s="219" t="s">
        <v>100</v>
      </c>
      <c r="C12" s="255" t="str">
        <f>+'PANAMA USD'!C12</f>
        <v>Lineas Nuevas</v>
      </c>
      <c r="D12" s="66">
        <f>'COLOMBIA USD'!D12+'EL SALVADOR USD'!D12+'VENEZUELA USD'!D12+'PANAMA USD'!D12</f>
        <v>35878.23529411765</v>
      </c>
      <c r="E12" s="102">
        <f t="shared" si="1"/>
        <v>0.13679886909705158</v>
      </c>
      <c r="F12" s="66">
        <f>'COLOMBIA USD'!F12+'EL SALVADOR USD'!F12+'VENEZUELA USD'!F12+'PANAMA USD'!F12</f>
        <v>727540.22754632554</v>
      </c>
      <c r="G12" s="102">
        <f t="shared" si="2"/>
        <v>0.1840424465293195</v>
      </c>
      <c r="H12" s="669">
        <f>'COLOMBIA USD'!H12+'EL SALVADOR USD'!H12+'VENEZUELA USD'!H12+'PANAMA USD'!H12</f>
        <v>30560.00807145932</v>
      </c>
      <c r="I12" s="68">
        <f t="shared" si="3"/>
        <v>0.14699129353791196</v>
      </c>
      <c r="J12" s="69">
        <f t="shared" si="7"/>
        <v>0.85177010019970878</v>
      </c>
      <c r="K12" s="69">
        <f t="shared" si="8"/>
        <v>-0.95799543872024107</v>
      </c>
      <c r="L12" s="66">
        <f>'COLOMBIA USD'!L12+'EL SALVADOR USD'!L12+'VENEZUELA USD'!L12+'PANAMA USD'!L12</f>
        <v>147615.5882352941</v>
      </c>
      <c r="M12" s="67">
        <f t="shared" si="4"/>
        <v>0.14798990903624867</v>
      </c>
      <c r="N12" s="66">
        <f>'COLOMBIA USD'!N12+'EL SALVADOR USD'!N12+'VENEZUELA USD'!N12+'PANAMA USD'!N12</f>
        <v>2137244.2257293509</v>
      </c>
      <c r="O12" s="67">
        <f t="shared" si="5"/>
        <v>0.16754248997162319</v>
      </c>
      <c r="P12" s="669">
        <f>'COLOMBIA USD'!P12+'EL SALVADOR USD'!P12+'VENEZUELA USD'!P12+'PANAMA USD'!P12</f>
        <v>124765.00837158851</v>
      </c>
      <c r="Q12" s="68">
        <f t="shared" si="6"/>
        <v>0.15118702769580578</v>
      </c>
      <c r="R12" s="69">
        <f t="shared" si="9"/>
        <v>0.84520212169406828</v>
      </c>
      <c r="S12" s="349">
        <f t="shared" si="10"/>
        <v>-0.94162342007076349</v>
      </c>
      <c r="T12" s="443">
        <v>524200.39701495704</v>
      </c>
      <c r="U12" s="443">
        <v>437981.56227969984</v>
      </c>
      <c r="V12" s="443">
        <v>536120.82178759866</v>
      </c>
      <c r="W12" s="81" t="s">
        <v>49</v>
      </c>
      <c r="X12" s="82">
        <f>'COLOMBIA USD'!X12+'EL SALVADOR USD'!X12+'VENEZUELA USD'!X12+'PANAMA USD'!X12</f>
        <v>76851.796176470583</v>
      </c>
      <c r="Y12" s="82">
        <f>'COLOMBIA USD'!Y12+'EL SALVADOR USD'!Y12+'VENEZUELA USD'!Y12+'PANAMA USD'!Y12</f>
        <v>1422543.500424895</v>
      </c>
      <c r="Z12" s="266">
        <f>'COLOMBIA USD'!Z12+'EL SALVADOR USD'!Z12+'VENEZUELA USD'!Z12+'PANAMA USD'!Z12</f>
        <v>69720.737107611421</v>
      </c>
      <c r="AA12" s="673">
        <f>'COLOMBIA USD'!AA12+'EL SALVADOR USD'!AA12+'VENEZUELA USD'!AA12+'PANAMA USD'!AA12</f>
        <v>313322.35529411765</v>
      </c>
      <c r="AB12" s="674">
        <f>'COLOMBIA USD'!AB12+'EL SALVADOR USD'!AB12+'VENEZUELA USD'!AB12+'PANAMA USD'!AB12</f>
        <v>4615011.2693323204</v>
      </c>
      <c r="AC12" s="262">
        <f>'COLOMBIA USD'!AC12+'EL SALVADOR USD'!AC12+'VENEZUELA USD'!AC12+'PANAMA USD'!AC12</f>
        <v>280655.92721304321</v>
      </c>
      <c r="AD12" s="85">
        <f>+AA12-AC12</f>
        <v>32666.428081074439</v>
      </c>
      <c r="AE12" s="86">
        <f t="shared" si="12"/>
        <v>0.89574178947298455</v>
      </c>
      <c r="AF12" s="86">
        <f t="shared" si="11"/>
        <v>-0.93918629645000906</v>
      </c>
      <c r="AG12" s="149"/>
      <c r="AH12" s="87">
        <f>+'COLOMBIA USD'!Y12+'EL SALVADOR USD'!Y12+'VENEZUELA USD'!Y12+'PANAMA USD'!Y12</f>
        <v>1422543.500424895</v>
      </c>
      <c r="AI12" s="87">
        <f>+'COLOMBIA USD'!Z12+'EL SALVADOR USD'!Z12+'VENEZUELA USD'!Z12+'PANAMA USD'!Z12</f>
        <v>69720.737107611421</v>
      </c>
      <c r="AJ12" s="87">
        <f>+'COLOMBIA USD'!AD12+'EL SALVADOR USD'!AD12+'VENEZUELA USD'!AD12+'PANAMA USD'!AD12</f>
        <v>32666.428081074406</v>
      </c>
      <c r="AL12" s="87">
        <f>+'COLOMBIA USD'!AC12+'EL SALVADOR USD'!AC12+'VENEZUELA USD'!AC12+'PANAMA USD'!AC12</f>
        <v>280655.92721304321</v>
      </c>
    </row>
    <row r="13" spans="1:38" ht="15.75" thickBot="1" x14ac:dyDescent="0.3">
      <c r="B13" s="11">
        <v>4170250500</v>
      </c>
      <c r="C13" s="255" t="str">
        <f>+'PANAMA USD'!C13</f>
        <v>Fact. Servicio Satelital</v>
      </c>
      <c r="D13" s="66">
        <f>'COLOMBIA USD'!D13+'EL SALVADOR USD'!D13+'VENEZUELA USD'!D13+'PANAMA USD'!D13</f>
        <v>0</v>
      </c>
      <c r="E13" s="102">
        <f t="shared" si="1"/>
        <v>0</v>
      </c>
      <c r="F13" s="66">
        <f>'COLOMBIA USD'!F13+'EL SALVADOR USD'!F13+'VENEZUELA USD'!F13+'PANAMA USD'!F13</f>
        <v>0</v>
      </c>
      <c r="G13" s="102">
        <f t="shared" si="2"/>
        <v>0</v>
      </c>
      <c r="H13" s="669">
        <f>'COLOMBIA USD'!H13+'EL SALVADOR USD'!H13+'VENEZUELA USD'!H13+'PANAMA USD'!H13</f>
        <v>0</v>
      </c>
      <c r="I13" s="68">
        <f t="shared" si="3"/>
        <v>0</v>
      </c>
      <c r="J13" s="69" t="str">
        <f t="shared" si="7"/>
        <v/>
      </c>
      <c r="K13" s="69" t="str">
        <f t="shared" si="8"/>
        <v/>
      </c>
      <c r="L13" s="66">
        <f>'COLOMBIA USD'!L13+'EL SALVADOR USD'!L13+'VENEZUELA USD'!L13+'PANAMA USD'!L13</f>
        <v>0</v>
      </c>
      <c r="M13" s="67">
        <f t="shared" si="4"/>
        <v>0</v>
      </c>
      <c r="N13" s="66">
        <f>'COLOMBIA USD'!N13+'EL SALVADOR USD'!N13+'VENEZUELA USD'!N13+'PANAMA USD'!N13</f>
        <v>0</v>
      </c>
      <c r="O13" s="67">
        <f t="shared" si="5"/>
        <v>0</v>
      </c>
      <c r="P13" s="669">
        <f>'COLOMBIA USD'!P13+'EL SALVADOR USD'!P13+'VENEZUELA USD'!P13+'PANAMA USD'!P13</f>
        <v>0</v>
      </c>
      <c r="Q13" s="68">
        <f t="shared" si="6"/>
        <v>0</v>
      </c>
      <c r="R13" s="69" t="str">
        <f t="shared" si="9"/>
        <v/>
      </c>
      <c r="S13" s="349" t="str">
        <f t="shared" si="10"/>
        <v/>
      </c>
      <c r="T13" s="443">
        <v>84060.486396399268</v>
      </c>
      <c r="U13" s="443">
        <v>62767.402412166848</v>
      </c>
      <c r="V13" s="443">
        <v>83372.07785314694</v>
      </c>
      <c r="W13" s="81" t="s">
        <v>51</v>
      </c>
      <c r="X13" s="90">
        <f>SUM(X9:X12)</f>
        <v>223201.85460758526</v>
      </c>
      <c r="Y13" s="90">
        <f>SUM(Y9:Y12)</f>
        <v>2111928.8724349402</v>
      </c>
      <c r="Z13" s="91">
        <f>SUM(Z9:Z12)</f>
        <v>187550.7770452777</v>
      </c>
      <c r="AA13" s="673">
        <f>'COLOMBIA USD'!AA13+'EL SALVADOR USD'!AA13+'VENEZUELA USD'!AA13+'PANAMA USD'!AA13</f>
        <v>984209.70705804997</v>
      </c>
      <c r="AB13" s="675">
        <f>'COLOMBIA USD'!AB13+'EL SALVADOR USD'!AB13+'VENEZUELA USD'!AB13+'PANAMA USD'!AB13</f>
        <v>6555739.9767798046</v>
      </c>
      <c r="AC13" s="262">
        <f>'COLOMBIA USD'!AC13+'EL SALVADOR USD'!AC13+'VENEZUELA USD'!AC13+'PANAMA USD'!AC13</f>
        <v>856460.28066951421</v>
      </c>
      <c r="AD13" s="85">
        <f>+AC13-AA13</f>
        <v>-127749.42638853576</v>
      </c>
      <c r="AE13" s="86">
        <f t="shared" si="12"/>
        <v>0.87020100952834745</v>
      </c>
      <c r="AF13" s="86">
        <f t="shared" si="11"/>
        <v>-0.86935719175820492</v>
      </c>
      <c r="AG13" s="149"/>
      <c r="AH13" s="87">
        <f>+'COLOMBIA USD'!Y13+'EL SALVADOR USD'!Y13+'VENEZUELA USD'!Y13+'PANAMA USD'!Y13</f>
        <v>2111928.8724349402</v>
      </c>
      <c r="AI13" s="87">
        <f>+'COLOMBIA USD'!Z13+'EL SALVADOR USD'!Z13+'VENEZUELA USD'!Z13+'PANAMA USD'!Z13</f>
        <v>187550.77704527767</v>
      </c>
      <c r="AJ13" s="87">
        <f>+'COLOMBIA USD'!AD13+'EL SALVADOR USD'!AD13+'VENEZUELA USD'!AD13+'PANAMA USD'!AD13</f>
        <v>-127749.42638853585</v>
      </c>
      <c r="AL13" s="87">
        <f>+'COLOMBIA USD'!AC13+'EL SALVADOR USD'!AC13+'VENEZUELA USD'!AC13+'PANAMA USD'!AC13</f>
        <v>856460.28066951421</v>
      </c>
    </row>
    <row r="14" spans="1:38" ht="15.75" thickBot="1" x14ac:dyDescent="0.3">
      <c r="B14" s="11"/>
      <c r="C14" s="255" t="str">
        <f>+'PANAMA USD'!C14</f>
        <v>Fact. Visual Experience</v>
      </c>
      <c r="D14" s="66">
        <f>'COLOMBIA USD'!D14+'EL SALVADOR USD'!D14+'VENEZUELA USD'!D14+'PANAMA USD'!D14</f>
        <v>5212.6470588235297</v>
      </c>
      <c r="E14" s="102">
        <f t="shared" si="1"/>
        <v>1.9875119743306979E-2</v>
      </c>
      <c r="F14" s="66">
        <f>'COLOMBIA USD'!F14+'EL SALVADOR USD'!F14+'VENEZUELA USD'!F14+'PANAMA USD'!F14</f>
        <v>3256.9591342592967</v>
      </c>
      <c r="G14" s="102">
        <f t="shared" si="2"/>
        <v>8.2389770987189551E-4</v>
      </c>
      <c r="H14" s="669">
        <f>'COLOMBIA USD'!H14+'EL SALVADOR USD'!H14+'VENEZUELA USD'!H14+'PANAMA USD'!H14</f>
        <v>3224.0767774256415</v>
      </c>
      <c r="I14" s="68">
        <f t="shared" si="3"/>
        <v>1.5507561872077321E-2</v>
      </c>
      <c r="J14" s="69">
        <f t="shared" si="7"/>
        <v>0.61851046906546192</v>
      </c>
      <c r="K14" s="69">
        <f t="shared" si="8"/>
        <v>-1.0096029909547317E-2</v>
      </c>
      <c r="L14" s="66">
        <f>'COLOMBIA USD'!L14+'EL SALVADOR USD'!L14+'VENEZUELA USD'!L14+'PANAMA USD'!L14</f>
        <v>17254.705882352941</v>
      </c>
      <c r="M14" s="67">
        <f t="shared" si="4"/>
        <v>1.7298460037339765E-2</v>
      </c>
      <c r="N14" s="66">
        <f>'COLOMBIA USD'!N14+'EL SALVADOR USD'!N14+'VENEZUELA USD'!N14+'PANAMA USD'!N14</f>
        <v>16074.034242867416</v>
      </c>
      <c r="O14" s="67">
        <f t="shared" si="5"/>
        <v>1.2600729895621107E-3</v>
      </c>
      <c r="P14" s="669">
        <f>'COLOMBIA USD'!P14+'EL SALVADOR USD'!P14+'VENEZUELA USD'!P14+'PANAMA USD'!P14</f>
        <v>12906.962713078032</v>
      </c>
      <c r="Q14" s="68">
        <f t="shared" si="6"/>
        <v>1.5640325397639501E-2</v>
      </c>
      <c r="R14" s="69">
        <f t="shared" si="9"/>
        <v>0.74802565752676697</v>
      </c>
      <c r="S14" s="349">
        <f t="shared" si="10"/>
        <v>-0.19703028386882521</v>
      </c>
      <c r="T14" s="443">
        <v>71837.945712981542</v>
      </c>
      <c r="U14" s="443">
        <v>590.19941089355098</v>
      </c>
      <c r="V14" s="443">
        <v>20084.286063076546</v>
      </c>
      <c r="W14" s="73" t="s">
        <v>53</v>
      </c>
      <c r="X14" s="75">
        <f>X8-X13</f>
        <v>87118.061022610782</v>
      </c>
      <c r="Y14" s="75">
        <f>Y8-Y13</f>
        <v>650987.03839857038</v>
      </c>
      <c r="Z14" s="74">
        <f t="shared" ref="Z14:AC14" si="13">Z8-Z13</f>
        <v>65332.431414121907</v>
      </c>
      <c r="AA14" s="676">
        <f t="shared" si="13"/>
        <v>169607.9750099238</v>
      </c>
      <c r="AB14" s="677">
        <f>AB8-AB13</f>
        <v>1821008.6468719942</v>
      </c>
      <c r="AC14" s="678">
        <f t="shared" si="13"/>
        <v>168457.77690186771</v>
      </c>
      <c r="AD14" s="76">
        <f>+AC14-AA14</f>
        <v>-1150.1981080560945</v>
      </c>
      <c r="AE14" s="77">
        <f t="shared" si="12"/>
        <v>0.99321849041597954</v>
      </c>
      <c r="AF14" s="77">
        <f t="shared" si="11"/>
        <v>-0.9074920499739344</v>
      </c>
      <c r="AG14" s="149"/>
      <c r="AH14" s="87">
        <f>+'COLOMBIA USD'!Y14+'EL SALVADOR USD'!Y14+'VENEZUELA USD'!Y14+'PANAMA USD'!Y14</f>
        <v>650987.03839857015</v>
      </c>
      <c r="AI14" s="87">
        <f>+'COLOMBIA USD'!Z14+'EL SALVADOR USD'!Z14+'VENEZUELA USD'!Z14+'PANAMA USD'!Z14</f>
        <v>65332.431414121907</v>
      </c>
      <c r="AJ14" s="87">
        <f>+'COLOMBIA USD'!AD14+'EL SALVADOR USD'!AD14+'VENEZUELA USD'!AD14+'PANAMA USD'!AD14</f>
        <v>-1150.1981080561325</v>
      </c>
      <c r="AL14" s="87">
        <f>+'COLOMBIA USD'!AC14+'EL SALVADOR USD'!AC14+'VENEZUELA USD'!AC14+'PANAMA USD'!AC14</f>
        <v>168457.77690186771</v>
      </c>
    </row>
    <row r="15" spans="1:38" ht="15.75" thickBot="1" x14ac:dyDescent="0.3">
      <c r="B15" s="11"/>
      <c r="C15" s="255" t="str">
        <f>+'PANAMA USD'!C15</f>
        <v>Fac.   Olfa Experience</v>
      </c>
      <c r="D15" s="66">
        <f>'COLOMBIA USD'!D15+'EL SALVADOR USD'!D15+'VENEZUELA USD'!D15+'PANAMA USD'!D15</f>
        <v>31407.058823529413</v>
      </c>
      <c r="E15" s="102">
        <f t="shared" si="1"/>
        <v>0.11975087663879097</v>
      </c>
      <c r="F15" s="66">
        <f>'COLOMBIA USD'!F15+'EL SALVADOR USD'!F15+'VENEZUELA USD'!F15+'PANAMA USD'!F15</f>
        <v>20634.124092014572</v>
      </c>
      <c r="G15" s="102">
        <f t="shared" si="2"/>
        <v>5.2197178054214591E-3</v>
      </c>
      <c r="H15" s="669">
        <f>'COLOMBIA USD'!H15+'EL SALVADOR USD'!H15+'VENEZUELA USD'!H15+'PANAMA USD'!H15</f>
        <v>27897.125258744363</v>
      </c>
      <c r="I15" s="68">
        <f t="shared" si="3"/>
        <v>0.13418303156803371</v>
      </c>
      <c r="J15" s="69">
        <f t="shared" si="7"/>
        <v>0.88824379944308918</v>
      </c>
      <c r="K15" s="69">
        <f t="shared" si="8"/>
        <v>0.35198979779037876</v>
      </c>
      <c r="L15" s="66">
        <f>'COLOMBIA USD'!L15+'EL SALVADOR USD'!L15+'VENEZUELA USD'!L15+'PANAMA USD'!L15</f>
        <v>124634.41176470589</v>
      </c>
      <c r="M15" s="67">
        <f t="shared" si="4"/>
        <v>0.12495045733547518</v>
      </c>
      <c r="N15" s="66">
        <f>'COLOMBIA USD'!N15+'EL SALVADOR USD'!N15+'VENEZUELA USD'!N15+'PANAMA USD'!N15</f>
        <v>78931.331388756473</v>
      </c>
      <c r="O15" s="67">
        <f t="shared" si="5"/>
        <v>6.1875716581406073E-3</v>
      </c>
      <c r="P15" s="669">
        <f>'COLOMBIA USD'!P15+'EL SALVADOR USD'!P15+'VENEZUELA USD'!P15+'PANAMA USD'!P15</f>
        <v>102888.03006351055</v>
      </c>
      <c r="Q15" s="68">
        <f t="shared" si="6"/>
        <v>0.12467706814438148</v>
      </c>
      <c r="R15" s="69">
        <f t="shared" si="9"/>
        <v>0.82551863972969386</v>
      </c>
      <c r="S15" s="349">
        <f t="shared" si="10"/>
        <v>0.30351317092019353</v>
      </c>
      <c r="W15" s="89"/>
      <c r="X15" s="97"/>
      <c r="Y15" s="97"/>
      <c r="Z15" s="270"/>
      <c r="AA15" s="670"/>
      <c r="AB15" s="270"/>
      <c r="AC15" s="272"/>
      <c r="AD15" s="103"/>
      <c r="AE15" s="102"/>
      <c r="AF15" s="102"/>
      <c r="AG15" s="149"/>
      <c r="AH15" s="87"/>
      <c r="AI15" s="87"/>
      <c r="AJ15" s="87"/>
      <c r="AL15" s="87"/>
    </row>
    <row r="16" spans="1:38" ht="15.75" thickBot="1" x14ac:dyDescent="0.3">
      <c r="B16" s="11"/>
      <c r="C16" s="255" t="str">
        <f>+'PANAMA USD'!C16</f>
        <v>Otros</v>
      </c>
      <c r="D16" s="66">
        <f>'COLOMBIA USD'!D16+'EL SALVADOR USD'!D16+'VENEZUELA USD'!D16+'PANAMA USD'!D16</f>
        <v>0</v>
      </c>
      <c r="E16" s="102">
        <f t="shared" si="1"/>
        <v>0</v>
      </c>
      <c r="F16" s="66">
        <f>'COLOMBIA USD'!F16+'EL SALVADOR USD'!F16+'VENEZUELA USD'!F16+'PANAMA USD'!F16</f>
        <v>11259.965148442319</v>
      </c>
      <c r="G16" s="102">
        <f t="shared" si="2"/>
        <v>2.8483806878187284E-3</v>
      </c>
      <c r="H16" s="669">
        <f>'COLOMBIA USD'!H16+'EL SALVADOR USD'!H16+'VENEZUELA USD'!H16+'PANAMA USD'!H16</f>
        <v>0</v>
      </c>
      <c r="I16" s="68">
        <f t="shared" si="3"/>
        <v>0</v>
      </c>
      <c r="J16" s="69" t="str">
        <f t="shared" si="7"/>
        <v/>
      </c>
      <c r="K16" s="69">
        <f t="shared" si="8"/>
        <v>-1</v>
      </c>
      <c r="L16" s="66">
        <f>'COLOMBIA USD'!L16+'EL SALVADOR USD'!L16+'VENEZUELA USD'!L16+'PANAMA USD'!L16</f>
        <v>0</v>
      </c>
      <c r="M16" s="67">
        <f t="shared" si="4"/>
        <v>0</v>
      </c>
      <c r="N16" s="66">
        <f>'COLOMBIA USD'!N16+'EL SALVADOR USD'!N16+'VENEZUELA USD'!N16+'PANAMA USD'!N16</f>
        <v>8400</v>
      </c>
      <c r="O16" s="67">
        <f t="shared" si="5"/>
        <v>6.5849138756304902E-4</v>
      </c>
      <c r="P16" s="669">
        <f>'COLOMBIA USD'!P16+'EL SALVADOR USD'!P16+'VENEZUELA USD'!P16+'PANAMA USD'!P16</f>
        <v>0</v>
      </c>
      <c r="Q16" s="68">
        <f t="shared" si="6"/>
        <v>0</v>
      </c>
      <c r="R16" s="69" t="str">
        <f t="shared" si="9"/>
        <v/>
      </c>
      <c r="S16" s="349">
        <f t="shared" si="10"/>
        <v>-1</v>
      </c>
      <c r="T16" s="443">
        <v>38054</v>
      </c>
      <c r="U16" s="443">
        <v>70800</v>
      </c>
      <c r="V16" s="443">
        <v>775743.30158730166</v>
      </c>
      <c r="W16" s="89"/>
      <c r="X16" s="97"/>
      <c r="Y16" s="97"/>
      <c r="Z16" s="270"/>
      <c r="AA16" s="670"/>
      <c r="AB16" s="679"/>
      <c r="AC16" s="272"/>
      <c r="AD16" s="103"/>
      <c r="AE16" s="102"/>
      <c r="AF16" s="102" t="str">
        <f t="shared" si="11"/>
        <v/>
      </c>
      <c r="AG16" s="149"/>
      <c r="AH16" s="87"/>
      <c r="AI16" s="87"/>
      <c r="AJ16" s="87"/>
      <c r="AL16" s="87">
        <f>+'COLOMBIA USD'!AC16+'EL SALVADOR USD'!AC16+'VENEZUELA USD'!AC16+'PANAMA USD'!AC16</f>
        <v>0</v>
      </c>
    </row>
    <row r="17" spans="1:38" x14ac:dyDescent="0.25">
      <c r="B17" s="11"/>
      <c r="C17" s="104" t="s">
        <v>58</v>
      </c>
      <c r="D17" s="680">
        <f>SUM(D7:D16)</f>
        <v>262269.97000000003</v>
      </c>
      <c r="E17" s="106">
        <f t="shared" si="1"/>
        <v>1</v>
      </c>
      <c r="F17" s="680">
        <f>SUM(F7:F16)</f>
        <v>3953111.0418618689</v>
      </c>
      <c r="G17" s="106">
        <f t="shared" si="2"/>
        <v>1</v>
      </c>
      <c r="H17" s="680">
        <f>SUM(H7:H16)</f>
        <v>207903.5250042023</v>
      </c>
      <c r="I17" s="107">
        <f t="shared" si="3"/>
        <v>1</v>
      </c>
      <c r="J17" s="108">
        <f t="shared" si="7"/>
        <v>0.79270808245489288</v>
      </c>
      <c r="K17" s="108">
        <f t="shared" si="8"/>
        <v>-0.9474076182524126</v>
      </c>
      <c r="L17" s="680">
        <f>SUM(L7:L16)</f>
        <v>997470.63294117642</v>
      </c>
      <c r="M17" s="106">
        <f t="shared" si="4"/>
        <v>1</v>
      </c>
      <c r="N17" s="680">
        <f>SUM(N7:N16)</f>
        <v>12756431.076626221</v>
      </c>
      <c r="O17" s="106">
        <f t="shared" si="5"/>
        <v>1</v>
      </c>
      <c r="P17" s="680">
        <f>SUM(P7:P16)</f>
        <v>825236.20096970617</v>
      </c>
      <c r="Q17" s="107">
        <f t="shared" si="6"/>
        <v>1</v>
      </c>
      <c r="R17" s="108">
        <f t="shared" si="9"/>
        <v>0.82732881923188673</v>
      </c>
      <c r="S17" s="108">
        <f t="shared" si="10"/>
        <v>-0.93530822249478562</v>
      </c>
      <c r="T17" s="443">
        <v>6888272.0874033226</v>
      </c>
      <c r="U17" s="443">
        <v>5833494.4036357338</v>
      </c>
      <c r="V17" s="443">
        <v>6971135.4193038587</v>
      </c>
      <c r="W17" s="81" t="s">
        <v>59</v>
      </c>
      <c r="X17" s="82">
        <f>X7+X14</f>
        <v>112554.92265091973</v>
      </c>
      <c r="Y17" s="82">
        <f>'COLOMBIA USD'!Y17+'EL SALVADOR USD'!Y17+'VENEZUELA USD'!Y17+'PANAMA USD'!Y17</f>
        <v>1825849.0183138205</v>
      </c>
      <c r="Z17" s="83">
        <f t="shared" ref="Z17" si="14">Z7+Z14</f>
        <v>104652.33310994337</v>
      </c>
      <c r="AA17" s="673">
        <f>AA7+AA14</f>
        <v>343738.99343762558</v>
      </c>
      <c r="AB17" s="681">
        <f>AB7+AB14</f>
        <v>2506329.7987604956</v>
      </c>
      <c r="AC17" s="262">
        <f>AC7+AC14</f>
        <v>322005.76791307755</v>
      </c>
      <c r="AD17" s="85">
        <f>+AC17-AA17</f>
        <v>-21733.225524548034</v>
      </c>
      <c r="AE17" s="86">
        <f t="shared" si="12"/>
        <v>0.93677404676379339</v>
      </c>
      <c r="AF17" s="86">
        <f t="shared" si="11"/>
        <v>-0.8715229862916184</v>
      </c>
      <c r="AG17" s="149"/>
      <c r="AH17" s="87">
        <f>+'COLOMBIA USD'!Y17+'EL SALVADOR USD'!Y17+'VENEZUELA USD'!Y17+'PANAMA USD'!Y17</f>
        <v>1825849.0183138205</v>
      </c>
      <c r="AI17" s="87">
        <f>+'COLOMBIA USD'!Z17+'EL SALVADOR USD'!Z17+'VENEZUELA USD'!Z17+'PANAMA USD'!Z17</f>
        <v>104652.33310994337</v>
      </c>
      <c r="AJ17" s="87">
        <f>+'COLOMBIA USD'!AD17+'EL SALVADOR USD'!AD17+'VENEZUELA USD'!AD17+'PANAMA USD'!AD17</f>
        <v>-21733.225524548139</v>
      </c>
      <c r="AL17" s="87">
        <f>+'COLOMBIA USD'!AC17+'EL SALVADOR USD'!AC17+'VENEZUELA USD'!AC17+'PANAMA USD'!AC17</f>
        <v>322005.76791307755</v>
      </c>
    </row>
    <row r="18" spans="1:38" x14ac:dyDescent="0.25">
      <c r="B18" s="11" t="s">
        <v>101</v>
      </c>
      <c r="C18" s="112" t="s">
        <v>60</v>
      </c>
      <c r="D18" s="114">
        <f>'COLOMBIA USD'!D18+'EL SALVADOR USD'!D18+'VENEZUELA USD'!D18+'PANAMA USD'!D18</f>
        <v>21337.704705882348</v>
      </c>
      <c r="E18" s="113">
        <f t="shared" si="1"/>
        <v>8.1357788334983014E-2</v>
      </c>
      <c r="F18" s="114">
        <f>'COLOMBIA USD'!F18+'EL SALVADOR USD'!F18+'VENEZUELA USD'!F18+'PANAMA USD'!F18</f>
        <v>10094.825076961612</v>
      </c>
      <c r="G18" s="113">
        <f t="shared" si="2"/>
        <v>2.5536406567034015E-3</v>
      </c>
      <c r="H18" s="114">
        <f>'COLOMBIA USD'!H18+'EL SALVADOR USD'!H18+'VENEZUELA USD'!H18+'PANAMA USD'!H18</f>
        <v>19448.843469243391</v>
      </c>
      <c r="I18" s="115">
        <f t="shared" si="3"/>
        <v>9.3547444512305775E-2</v>
      </c>
      <c r="J18" s="116">
        <f t="shared" si="7"/>
        <v>0.91147776845378137</v>
      </c>
      <c r="K18" s="116">
        <f t="shared" si="8"/>
        <v>0.92661520343027048</v>
      </c>
      <c r="L18" s="117">
        <f>'COLOMBIA USD'!L18+'EL SALVADOR USD'!L18+'VENEZUELA USD'!L18+'PANAMA USD'!L18</f>
        <v>77688.830588235302</v>
      </c>
      <c r="M18" s="113">
        <f t="shared" si="4"/>
        <v>7.7885832447176243E-2</v>
      </c>
      <c r="N18" s="114">
        <f>'COLOMBIA USD'!N18+'EL SALVADOR USD'!N18+'VENEZUELA USD'!N18+'PANAMA USD'!N18</f>
        <v>43299.798641597248</v>
      </c>
      <c r="O18" s="113">
        <f t="shared" si="5"/>
        <v>3.394350534369762E-3</v>
      </c>
      <c r="P18" s="114">
        <f>'COLOMBIA USD'!P18+'EL SALVADOR USD'!P18+'VENEZUELA USD'!P18+'PANAMA USD'!P18</f>
        <v>59710.908227820088</v>
      </c>
      <c r="Q18" s="115">
        <f t="shared" si="6"/>
        <v>7.2356142590031661E-2</v>
      </c>
      <c r="R18" s="116">
        <f t="shared" si="9"/>
        <v>0.7685906426407495</v>
      </c>
      <c r="S18" s="370">
        <f t="shared" si="10"/>
        <v>0.37901122178561392</v>
      </c>
      <c r="T18" s="443">
        <v>568400.27910388424</v>
      </c>
      <c r="U18" s="443">
        <v>238659.01212380966</v>
      </c>
      <c r="V18" s="443">
        <v>787568.46972571395</v>
      </c>
      <c r="W18" s="81" t="s">
        <v>61</v>
      </c>
      <c r="X18" s="82">
        <f>'COLOMBIA USD'!X18+'EL SALVADOR USD'!X18+'VENEZUELA USD'!X18+'PANAMA USD'!X18</f>
        <v>0</v>
      </c>
      <c r="Y18" s="82">
        <f>'COLOMBIA USD'!Y18+'EL SALVADOR USD'!Y18+'VENEZUELA USD'!Y18+'PANAMA USD'!Y18</f>
        <v>0</v>
      </c>
      <c r="Z18" s="83">
        <f>'COLOMBIA USD'!Z18+'EL SALVADOR USD'!Z18+'VENEZUELA USD'!Z18+'PANAMA USD'!Z18</f>
        <v>12925.419600783607</v>
      </c>
      <c r="AA18" s="673">
        <f>'COLOMBIA USD'!AA18+'EL SALVADOR USD'!AA18+'VENEZUELA USD'!AA18+'PANAMA USD'!AA18</f>
        <v>129594.41176470589</v>
      </c>
      <c r="AB18" s="681">
        <f>'COLOMBIA USD'!AB18+'EL SALVADOR USD'!AB18+'VENEZUELA USD'!AB18+'PANAMA USD'!AB18</f>
        <v>70.549356431243595</v>
      </c>
      <c r="AC18" s="262">
        <f>'COLOMBIA USD'!AC18+'EL SALVADOR USD'!AC18+'VENEZUELA USD'!AC18+'PANAMA USD'!AC18</f>
        <v>123584.11711507286</v>
      </c>
      <c r="AD18" s="85">
        <f t="shared" ref="AD18:AD21" si="15">+AC18-AA18</f>
        <v>-6010.294649633026</v>
      </c>
      <c r="AE18" s="86">
        <f t="shared" si="12"/>
        <v>0.95362226991279964</v>
      </c>
      <c r="AF18" s="86">
        <f t="shared" si="11"/>
        <v>1750.7398225385116</v>
      </c>
      <c r="AG18" s="149"/>
      <c r="AH18" s="87">
        <f>+'COLOMBIA USD'!Y18+'EL SALVADOR USD'!Y18+'VENEZUELA USD'!Y18+'PANAMA USD'!Y18</f>
        <v>0</v>
      </c>
      <c r="AI18" s="87">
        <f>+'COLOMBIA USD'!Z18+'EL SALVADOR USD'!Z18+'VENEZUELA USD'!Z18+'PANAMA USD'!Z18</f>
        <v>12925.419600783607</v>
      </c>
      <c r="AJ18" s="87">
        <f>+'COLOMBIA USD'!AD18+'EL SALVADOR USD'!AD18+'VENEZUELA USD'!AD18+'PANAMA USD'!AD18</f>
        <v>-6010.294649633026</v>
      </c>
      <c r="AL18" s="87">
        <f>+'COLOMBIA USD'!AC18+'EL SALVADOR USD'!AC18+'VENEZUELA USD'!AC18+'PANAMA USD'!AC18</f>
        <v>123584.11711507286</v>
      </c>
    </row>
    <row r="19" spans="1:38" ht="15.75" thickBot="1" x14ac:dyDescent="0.3">
      <c r="B19" s="11"/>
      <c r="C19" s="119" t="s">
        <v>62</v>
      </c>
      <c r="D19" s="624">
        <f>+D17-D18</f>
        <v>240932.26529411768</v>
      </c>
      <c r="E19" s="121">
        <f t="shared" si="1"/>
        <v>0.91864221166501692</v>
      </c>
      <c r="F19" s="624">
        <f>'COLOMBIA USD'!F19+'EL SALVADOR USD'!F19+'VENEZUELA USD'!F19+'PANAMA USD'!F19</f>
        <v>3943016.2167849075</v>
      </c>
      <c r="G19" s="121">
        <f t="shared" si="2"/>
        <v>0.99744635934329662</v>
      </c>
      <c r="H19" s="624">
        <f>'COLOMBIA USD'!H19+'EL SALVADOR USD'!H19+'VENEZUELA USD'!H19+'PANAMA USD'!H19</f>
        <v>188454.68153495892</v>
      </c>
      <c r="I19" s="122">
        <f t="shared" si="3"/>
        <v>0.90645255548769432</v>
      </c>
      <c r="J19" s="123">
        <f t="shared" si="7"/>
        <v>0.78218947265076</v>
      </c>
      <c r="K19" s="123">
        <f t="shared" si="8"/>
        <v>-0.95220545106237908</v>
      </c>
      <c r="L19" s="120">
        <f>'COLOMBIA USD'!L19+'EL SALVADOR USD'!L19+'VENEZUELA USD'!L19+'PANAMA USD'!L19</f>
        <v>919781.80235294125</v>
      </c>
      <c r="M19" s="121">
        <f t="shared" si="4"/>
        <v>0.92211416755282394</v>
      </c>
      <c r="N19" s="624">
        <f>'COLOMBIA USD'!N19+'EL SALVADOR USD'!N19+'VENEZUELA USD'!N19+'PANAMA USD'!N19</f>
        <v>12634199.946595868</v>
      </c>
      <c r="O19" s="121">
        <f t="shared" si="5"/>
        <v>0.99041807780748969</v>
      </c>
      <c r="P19" s="624">
        <f>'COLOMBIA USD'!P19+'EL SALVADOR USD'!P19+'VENEZUELA USD'!P19+'PANAMA USD'!P19</f>
        <v>765525.29274188611</v>
      </c>
      <c r="Q19" s="122">
        <f t="shared" si="6"/>
        <v>0.92764385740996835</v>
      </c>
      <c r="R19" s="124">
        <f t="shared" si="9"/>
        <v>0.83229010487439126</v>
      </c>
      <c r="S19" s="124">
        <f t="shared" si="10"/>
        <v>-0.93940848680741773</v>
      </c>
      <c r="T19" s="443">
        <v>6319871.8082994381</v>
      </c>
      <c r="U19" s="443">
        <v>5594835.3915119246</v>
      </c>
      <c r="V19" s="443">
        <v>6183566.9495781446</v>
      </c>
      <c r="W19" s="81" t="s">
        <v>63</v>
      </c>
      <c r="X19" s="82">
        <f>'COLOMBIA USD'!X19+'EL SALVADOR USD'!X19+'VENEZUELA USD'!X19+'PANAMA USD'!X19</f>
        <v>16238.336749505883</v>
      </c>
      <c r="Y19" s="82">
        <f>'COLOMBIA USD'!Y19+'EL SALVADOR USD'!Y19+'VENEZUELA USD'!Y19+'PANAMA USD'!Y19</f>
        <v>285130.51181300683</v>
      </c>
      <c r="Z19" s="83">
        <f>'COLOMBIA USD'!Z19+'EL SALVADOR USD'!Z19+'VENEZUELA USD'!Z19+'PANAMA USD'!Z19</f>
        <v>12793.424819318139</v>
      </c>
      <c r="AA19" s="673">
        <f>'COLOMBIA USD'!AA19+'EL SALVADOR USD'!AA19+'VENEZUELA USD'!AA19+'PANAMA USD'!AA19</f>
        <v>185463.87812444704</v>
      </c>
      <c r="AB19" s="681">
        <f>'COLOMBIA USD'!AB19+'EL SALVADOR USD'!AB19+'VENEZUELA USD'!AB19+'PANAMA USD'!AB19</f>
        <v>874935.93585868482</v>
      </c>
      <c r="AC19" s="262">
        <f>'COLOMBIA USD'!AC19+'EL SALVADOR USD'!AC19+'VENEZUELA USD'!AC19+'PANAMA USD'!AC19</f>
        <v>169096.77934551713</v>
      </c>
      <c r="AD19" s="85">
        <f t="shared" si="15"/>
        <v>-16367.098778929911</v>
      </c>
      <c r="AE19" s="86">
        <f t="shared" si="12"/>
        <v>0.91175047699613221</v>
      </c>
      <c r="AF19" s="86">
        <f t="shared" si="11"/>
        <v>-0.80673238757811316</v>
      </c>
      <c r="AG19" s="149"/>
      <c r="AH19" s="87">
        <f>+'COLOMBIA USD'!Y19+'EL SALVADOR USD'!Y19+'VENEZUELA USD'!Y19+'PANAMA USD'!Y19</f>
        <v>285130.51181300683</v>
      </c>
      <c r="AI19" s="87">
        <f>+'COLOMBIA USD'!Z19+'EL SALVADOR USD'!Z19+'VENEZUELA USD'!Z19+'PANAMA USD'!Z19</f>
        <v>12793.424819318139</v>
      </c>
      <c r="AJ19" s="87">
        <f>+'COLOMBIA USD'!AD19+'EL SALVADOR USD'!AD19+'VENEZUELA USD'!AD19+'PANAMA USD'!AD19</f>
        <v>-16367.098778929916</v>
      </c>
      <c r="AL19" s="87">
        <f>+'COLOMBIA USD'!AC19+'EL SALVADOR USD'!AC19+'VENEZUELA USD'!AC19+'PANAMA USD'!AC19</f>
        <v>169096.77934551713</v>
      </c>
    </row>
    <row r="20" spans="1:38" x14ac:dyDescent="0.25">
      <c r="B20" s="11" t="s">
        <v>102</v>
      </c>
      <c r="C20" s="81" t="s">
        <v>64</v>
      </c>
      <c r="D20" s="117">
        <f>'COLOMBIA USD'!D20+'EL SALVADOR USD'!D20+'VENEZUELA USD'!D20+'PANAMA USD'!D20</f>
        <v>57246.752352941177</v>
      </c>
      <c r="E20" s="126">
        <f t="shared" si="1"/>
        <v>0.21827414077540472</v>
      </c>
      <c r="F20" s="117">
        <f>'COLOMBIA USD'!F20+'EL SALVADOR USD'!F20+'VENEZUELA USD'!F20+'PANAMA USD'!F20</f>
        <v>93289.902565256139</v>
      </c>
      <c r="G20" s="126">
        <f t="shared" si="2"/>
        <v>2.3599110062265716E-2</v>
      </c>
      <c r="H20" s="91">
        <f>'COLOMBIA USD'!H20+'EL SALVADOR USD'!H20+'VENEZUELA USD'!H20+'PANAMA USD'!H20</f>
        <v>50864.991541264688</v>
      </c>
      <c r="I20" s="127">
        <f t="shared" si="3"/>
        <v>0.24465670574963347</v>
      </c>
      <c r="J20" s="128">
        <f t="shared" si="7"/>
        <v>0.8885218715582105</v>
      </c>
      <c r="K20" s="128">
        <f t="shared" si="8"/>
        <v>-0.45476423339937883</v>
      </c>
      <c r="L20" s="83">
        <f>'COLOMBIA USD'!L20+'EL SALVADOR USD'!L20+'VENEZUELA USD'!L20+'PANAMA USD'!L20</f>
        <v>220923.18588235296</v>
      </c>
      <c r="M20" s="126">
        <f t="shared" si="4"/>
        <v>0.2214833986950886</v>
      </c>
      <c r="N20" s="117">
        <f>'COLOMBIA USD'!N20+'EL SALVADOR USD'!N20+'VENEZUELA USD'!N20+'PANAMA USD'!N20</f>
        <v>338297.12773054582</v>
      </c>
      <c r="O20" s="126">
        <f t="shared" si="5"/>
        <v>2.6519731553319187E-2</v>
      </c>
      <c r="P20" s="91">
        <f>'COLOMBIA USD'!P20+'EL SALVADOR USD'!P20+'VENEZUELA USD'!P20+'PANAMA USD'!P20</f>
        <v>198057.81383250016</v>
      </c>
      <c r="Q20" s="127">
        <f t="shared" si="6"/>
        <v>0.24000136397284724</v>
      </c>
      <c r="R20" s="128">
        <f t="shared" si="9"/>
        <v>0.89650080430204748</v>
      </c>
      <c r="S20" s="148">
        <f t="shared" si="10"/>
        <v>-0.41454479628259361</v>
      </c>
      <c r="T20" s="443">
        <v>1906317.1174807756</v>
      </c>
      <c r="U20" s="443">
        <v>1268295.3505251447</v>
      </c>
      <c r="V20" s="443">
        <v>1613945.1271809663</v>
      </c>
      <c r="W20" s="81" t="s">
        <v>65</v>
      </c>
      <c r="X20" s="82">
        <f>'COLOMBIA USD'!X20+'EL SALVADOR USD'!X20+'VENEZUELA USD'!X20+'PANAMA USD'!X20</f>
        <v>21516.176470588234</v>
      </c>
      <c r="Y20" s="82">
        <f>'COLOMBIA USD'!Y20+'EL SALVADOR USD'!Y20+'VENEZUELA USD'!Y20+'PANAMA USD'!Y20</f>
        <v>14418.484695210471</v>
      </c>
      <c r="Z20" s="83">
        <f>'COLOMBIA USD'!Z20+'EL SALVADOR USD'!Z20+'VENEZUELA USD'!Z20+'PANAMA USD'!Z20</f>
        <v>-1616.1088402957942</v>
      </c>
      <c r="AA20" s="673">
        <f>'COLOMBIA USD'!AA20+'EL SALVADOR USD'!AA20+'VENEZUELA USD'!AA20+'PANAMA USD'!AA20</f>
        <v>-46119.705882352937</v>
      </c>
      <c r="AB20" s="681">
        <f>'COLOMBIA USD'!AB20+'EL SALVADOR USD'!AB20+'VENEZUELA USD'!AB20+'PANAMA USD'!AB20</f>
        <v>59023.159220984191</v>
      </c>
      <c r="AC20" s="262">
        <f>'COLOMBIA USD'!AC20+'EL SALVADOR USD'!AC20+'VENEZUELA USD'!AC20+'PANAMA USD'!AC20</f>
        <v>-51214.516071775244</v>
      </c>
      <c r="AD20" s="85">
        <f t="shared" si="15"/>
        <v>-5094.8101894223073</v>
      </c>
      <c r="AE20" s="86">
        <f t="shared" si="12"/>
        <v>0.88953073112784597</v>
      </c>
      <c r="AF20" s="86">
        <f t="shared" si="11"/>
        <v>-1.8677020469207148</v>
      </c>
      <c r="AG20" s="149"/>
      <c r="AH20" s="87">
        <f>+'COLOMBIA USD'!Y20+'EL SALVADOR USD'!Y20+'VENEZUELA USD'!Y20+'PANAMA USD'!Y20</f>
        <v>14418.484695210471</v>
      </c>
      <c r="AI20" s="87">
        <f>+'COLOMBIA USD'!Z20+'EL SALVADOR USD'!Z20+'VENEZUELA USD'!Z20+'PANAMA USD'!Z20</f>
        <v>-1616.1088402957942</v>
      </c>
      <c r="AJ20" s="87">
        <f>+'COLOMBIA USD'!AD20+'EL SALVADOR USD'!AD20+'VENEZUELA USD'!AD20+'PANAMA USD'!AD20</f>
        <v>-5094.8101894223073</v>
      </c>
      <c r="AL20" s="87">
        <f>+'COLOMBIA USD'!AC20+'EL SALVADOR USD'!AC20+'VENEZUELA USD'!AC20+'PANAMA USD'!AC20</f>
        <v>-51214.516071775244</v>
      </c>
    </row>
    <row r="21" spans="1:38" ht="15.75" thickBot="1" x14ac:dyDescent="0.3">
      <c r="B21" s="11" t="s">
        <v>103</v>
      </c>
      <c r="C21" s="81" t="s">
        <v>66</v>
      </c>
      <c r="D21" s="117">
        <f>'COLOMBIA USD'!D21+'EL SALVADOR USD'!D21+'VENEZUELA USD'!D21+'PANAMA USD'!D21</f>
        <v>86844.24</v>
      </c>
      <c r="E21" s="126">
        <f t="shared" si="1"/>
        <v>0.3311253667356579</v>
      </c>
      <c r="F21" s="117">
        <f>'COLOMBIA USD'!F21+'EL SALVADOR USD'!F21+'VENEZUELA USD'!F21+'PANAMA USD'!F21</f>
        <v>1258106.5604882734</v>
      </c>
      <c r="G21" s="126">
        <f t="shared" si="2"/>
        <v>0.31825732876345408</v>
      </c>
      <c r="H21" s="91">
        <f>'COLOMBIA USD'!H21+'EL SALVADOR USD'!H21+'VENEZUELA USD'!H21+'PANAMA USD'!H21</f>
        <v>71984.013340743768</v>
      </c>
      <c r="I21" s="127">
        <f t="shared" si="3"/>
        <v>0.34623757985483306</v>
      </c>
      <c r="J21" s="128">
        <f t="shared" si="7"/>
        <v>0.82888644475147422</v>
      </c>
      <c r="K21" s="128">
        <f t="shared" si="8"/>
        <v>-0.9427838502703566</v>
      </c>
      <c r="L21" s="83">
        <f>'COLOMBIA USD'!L21+'EL SALVADOR USD'!L21+'VENEZUELA USD'!L21+'PANAMA USD'!L21</f>
        <v>338837.54823529418</v>
      </c>
      <c r="M21" s="126">
        <f t="shared" si="4"/>
        <v>0.33969676604531812</v>
      </c>
      <c r="N21" s="117">
        <f>'COLOMBIA USD'!N21+'EL SALVADOR USD'!N21+'VENEZUELA USD'!N21+'PANAMA USD'!N21</f>
        <v>2951646.252673551</v>
      </c>
      <c r="O21" s="126">
        <f t="shared" si="5"/>
        <v>0.23138495672836676</v>
      </c>
      <c r="P21" s="91">
        <f>'COLOMBIA USD'!P21+'EL SALVADOR USD'!P21+'VENEZUELA USD'!P21+'PANAMA USD'!P21</f>
        <v>281138.36603565974</v>
      </c>
      <c r="Q21" s="127">
        <f t="shared" si="6"/>
        <v>0.34067623997263313</v>
      </c>
      <c r="R21" s="128">
        <f t="shared" si="9"/>
        <v>0.82971432032801984</v>
      </c>
      <c r="S21" s="148">
        <f t="shared" si="10"/>
        <v>-0.90475201227755209</v>
      </c>
      <c r="T21" s="443">
        <v>1755883.5858226647</v>
      </c>
      <c r="U21" s="443">
        <v>1654492.9176644166</v>
      </c>
      <c r="V21" s="443">
        <v>1775735.7172193637</v>
      </c>
      <c r="W21" s="81" t="s">
        <v>67</v>
      </c>
      <c r="X21" s="82">
        <f>'COLOMBIA USD'!X21+'EL SALVADOR USD'!X21+'VENEZUELA USD'!X21+'PANAMA USD'!X21</f>
        <v>22794.117647058822</v>
      </c>
      <c r="Y21" s="82">
        <f>'COLOMBIA USD'!Y21+'EL SALVADOR USD'!Y21+'VENEZUELA USD'!Y21+'PANAMA USD'!Y21</f>
        <v>0</v>
      </c>
      <c r="Z21" s="83">
        <f>'COLOMBIA USD'!Z21+'EL SALVADOR USD'!Z21+'VENEZUELA USD'!Z21+'PANAMA USD'!Z21</f>
        <v>15044.420324385379</v>
      </c>
      <c r="AA21" s="673">
        <f>'COLOMBIA USD'!AA21+'EL SALVADOR USD'!AA21+'VENEZUELA USD'!AA21+'PANAMA USD'!AA21</f>
        <v>22794.117647058822</v>
      </c>
      <c r="AB21" s="681">
        <f>'COLOMBIA USD'!AB21+'EL SALVADOR USD'!AB21+'VENEZUELA USD'!AB21+'PANAMA USD'!AB21</f>
        <v>46000</v>
      </c>
      <c r="AC21" s="262">
        <f>'COLOMBIA USD'!AC21+'EL SALVADOR USD'!AC21+'VENEZUELA USD'!AC21+'PANAMA USD'!AC21</f>
        <v>15044.420324385379</v>
      </c>
      <c r="AD21" s="85">
        <f t="shared" si="15"/>
        <v>-7749.6973226734426</v>
      </c>
      <c r="AE21" s="86">
        <f t="shared" si="12"/>
        <v>0.66001327874722959</v>
      </c>
      <c r="AF21" s="86">
        <f t="shared" si="11"/>
        <v>-0.67294738425249179</v>
      </c>
      <c r="AG21" s="149"/>
      <c r="AH21" s="87">
        <f>+'COLOMBIA USD'!Y21+'EL SALVADOR USD'!Y21+'VENEZUELA USD'!Y21+'PANAMA USD'!Y21</f>
        <v>0</v>
      </c>
      <c r="AI21" s="87">
        <f>+'COLOMBIA USD'!Z21+'EL SALVADOR USD'!Z21+'VENEZUELA USD'!Z21+'PANAMA USD'!Z21</f>
        <v>15044.420324385379</v>
      </c>
      <c r="AJ21" s="87">
        <f>+'COLOMBIA USD'!AD21+'EL SALVADOR USD'!AD21+'VENEZUELA USD'!AD21+'PANAMA USD'!AD21</f>
        <v>-7749.6973226734426</v>
      </c>
      <c r="AL21" s="87">
        <f>+'COLOMBIA USD'!AC21+'EL SALVADOR USD'!AC21+'VENEZUELA USD'!AC21+'PANAMA USD'!AC21</f>
        <v>15044.420324385379</v>
      </c>
    </row>
    <row r="22" spans="1:38" ht="15.75" thickBot="1" x14ac:dyDescent="0.3">
      <c r="B22" s="11"/>
      <c r="C22" s="112" t="s">
        <v>68</v>
      </c>
      <c r="D22" s="117">
        <f>+D21+D20</f>
        <v>144090.99235294119</v>
      </c>
      <c r="E22" s="113">
        <f t="shared" si="1"/>
        <v>0.54939950751106259</v>
      </c>
      <c r="F22" s="117">
        <f>'COLOMBIA USD'!F22+'EL SALVADOR USD'!F22+'VENEZUELA USD'!F22+'PANAMA USD'!F22</f>
        <v>1351396.4630535294</v>
      </c>
      <c r="G22" s="113">
        <f t="shared" si="2"/>
        <v>0.34185643882571976</v>
      </c>
      <c r="H22" s="114">
        <f>'COLOMBIA USD'!H22+'EL SALVADOR USD'!H22+'VENEZUELA USD'!H22+'PANAMA USD'!H22</f>
        <v>122849.00488200845</v>
      </c>
      <c r="I22" s="115">
        <f t="shared" si="3"/>
        <v>0.59089428560446644</v>
      </c>
      <c r="J22" s="116">
        <f t="shared" si="7"/>
        <v>0.85257935194934376</v>
      </c>
      <c r="K22" s="116">
        <f t="shared" si="8"/>
        <v>-0.90909477104562875</v>
      </c>
      <c r="L22" s="117">
        <f>'COLOMBIA USD'!L22+'EL SALVADOR USD'!L22+'VENEZUELA USD'!L22+'PANAMA USD'!L22</f>
        <v>559760.73411764705</v>
      </c>
      <c r="M22" s="113">
        <f t="shared" si="4"/>
        <v>0.56118016474040666</v>
      </c>
      <c r="N22" s="117">
        <f>'COLOMBIA USD'!N22+'EL SALVADOR USD'!N22+'VENEZUELA USD'!N22+'PANAMA USD'!N22</f>
        <v>3289943.380404097</v>
      </c>
      <c r="O22" s="113">
        <f t="shared" si="5"/>
        <v>0.25790468828168595</v>
      </c>
      <c r="P22" s="114">
        <f>'COLOMBIA USD'!P22+'EL SALVADOR USD'!P22+'VENEZUELA USD'!P22+'PANAMA USD'!P22</f>
        <v>479196.17986815993</v>
      </c>
      <c r="Q22" s="115">
        <f t="shared" si="6"/>
        <v>0.5806776039454804</v>
      </c>
      <c r="R22" s="116">
        <f t="shared" si="9"/>
        <v>0.85607323033031013</v>
      </c>
      <c r="S22" s="370">
        <f t="shared" si="10"/>
        <v>-0.85434515903149033</v>
      </c>
      <c r="T22" s="443">
        <v>3662200.70330344</v>
      </c>
      <c r="U22" s="443">
        <v>2922788.2681895616</v>
      </c>
      <c r="V22" s="443">
        <v>3389680.84440033</v>
      </c>
      <c r="W22" s="73" t="s">
        <v>69</v>
      </c>
      <c r="X22" s="75">
        <f>X17-X18-X19-X20-X21</f>
        <v>52006.291783766792</v>
      </c>
      <c r="Y22" s="75">
        <f t="shared" ref="Y22:AC22" si="16">Y17-Y18-Y19-Y20-Y21</f>
        <v>1526300.0218056031</v>
      </c>
      <c r="Z22" s="74">
        <f t="shared" si="16"/>
        <v>65505.177205752036</v>
      </c>
      <c r="AA22" s="682">
        <f t="shared" si="16"/>
        <v>52006.291783766748</v>
      </c>
      <c r="AB22" s="683">
        <f t="shared" si="16"/>
        <v>1526300.1543243953</v>
      </c>
      <c r="AC22" s="684">
        <f t="shared" si="16"/>
        <v>65494.967199877436</v>
      </c>
      <c r="AD22" s="76">
        <f t="shared" ref="AD22" si="17">Z22-X22</f>
        <v>13498.885421985244</v>
      </c>
      <c r="AE22" s="77">
        <f t="shared" ref="AE22" si="18">IF(X22=0,"",(Z22-X22)/ABS(X22)+1)</f>
        <v>1.2595625444342635</v>
      </c>
      <c r="AF22" s="77">
        <f t="shared" ref="AF22" si="19">IF(Y22=0,"",(Z22-Y22)/ABS(Y22))</f>
        <v>-0.95708237157183562</v>
      </c>
      <c r="AG22" s="149"/>
      <c r="AH22" s="87">
        <f>+'COLOMBIA USD'!Y22+'EL SALVADOR USD'!Y22+'VENEZUELA USD'!Y22+'PANAMA USD'!Y22</f>
        <v>1526300.0218056031</v>
      </c>
      <c r="AI22" s="87">
        <f>+'COLOMBIA USD'!Z22+'EL SALVADOR USD'!Z22+'VENEZUELA USD'!Z22+'PANAMA USD'!Z22</f>
        <v>65505.17720575205</v>
      </c>
      <c r="AJ22" s="87">
        <f>+'COLOMBIA USD'!AD22+'EL SALVADOR USD'!AD22+'VENEZUELA USD'!AD22+'PANAMA USD'!AD22</f>
        <v>13488.675416110633</v>
      </c>
      <c r="AL22" s="87">
        <f>+'COLOMBIA USD'!AC22+'EL SALVADOR USD'!AC22+'VENEZUELA USD'!AC22+'PANAMA USD'!AC22</f>
        <v>65494.967199877421</v>
      </c>
    </row>
    <row r="23" spans="1:38" s="20" customFormat="1" x14ac:dyDescent="0.25">
      <c r="B23" s="475" t="s">
        <v>104</v>
      </c>
      <c r="C23" s="560" t="s">
        <v>70</v>
      </c>
      <c r="D23" s="544">
        <f>'COLOMBIA USD'!D23+'EL SALVADOR USD'!D23+'VENEZUELA USD'!D23+'PANAMA USD'!D23</f>
        <v>20872.337647058823</v>
      </c>
      <c r="E23" s="561">
        <f t="shared" si="1"/>
        <v>7.9583406545014737E-2</v>
      </c>
      <c r="F23" s="544">
        <f>'COLOMBIA USD'!F23+'EL SALVADOR USD'!F23+'VENEZUELA USD'!F23+'PANAMA USD'!F23</f>
        <v>1355706.5186343666</v>
      </c>
      <c r="G23" s="561">
        <f t="shared" si="2"/>
        <v>0.34294673341527099</v>
      </c>
      <c r="H23" s="566">
        <f>'COLOMBIA USD'!H23+'EL SALVADOR USD'!H23+'VENEZUELA USD'!H23+'PANAMA USD'!H23</f>
        <v>19243.94567451319</v>
      </c>
      <c r="I23" s="567">
        <f t="shared" si="3"/>
        <v>9.2561901844253086E-2</v>
      </c>
      <c r="J23" s="568">
        <f t="shared" si="7"/>
        <v>0.92198324883005645</v>
      </c>
      <c r="K23" s="568">
        <f t="shared" si="8"/>
        <v>-0.985805227451515</v>
      </c>
      <c r="L23" s="190">
        <f>'COLOMBIA USD'!L23+'EL SALVADOR USD'!L23+'VENEZUELA USD'!L23+'PANAMA USD'!L23</f>
        <v>85846.056470588228</v>
      </c>
      <c r="M23" s="561">
        <f t="shared" si="4"/>
        <v>8.6063743267768777E-2</v>
      </c>
      <c r="N23" s="544">
        <f>'COLOMBIA USD'!N23+'EL SALVADOR USD'!N23+'VENEZUELA USD'!N23+'PANAMA USD'!N23</f>
        <v>4707364.8241967298</v>
      </c>
      <c r="O23" s="561">
        <f t="shared" si="5"/>
        <v>0.36901895176795158</v>
      </c>
      <c r="P23" s="566">
        <f>'COLOMBIA USD'!P23+'EL SALVADOR USD'!P23+'VENEZUELA USD'!P28+'PANAMA USD'!P23</f>
        <v>73436.339737209026</v>
      </c>
      <c r="Q23" s="567">
        <f t="shared" si="6"/>
        <v>8.898826742079001E-2</v>
      </c>
      <c r="R23" s="568">
        <f t="shared" si="9"/>
        <v>0.8554422038287699</v>
      </c>
      <c r="S23" s="569">
        <f t="shared" si="10"/>
        <v>-0.98439969229499014</v>
      </c>
      <c r="T23" s="443">
        <v>489577.11590925977</v>
      </c>
      <c r="U23" s="443">
        <v>259369.55845243362</v>
      </c>
      <c r="V23" s="443">
        <v>253327.6270811818</v>
      </c>
      <c r="W23" s="591"/>
      <c r="X23" s="427">
        <f>+'COLOMBIA USD'!X22+'EL SALVADOR USD'!X22+'VENEZUELA USD'!X22+'PANAMA USD'!X22</f>
        <v>52006.291783766785</v>
      </c>
      <c r="Y23" s="427">
        <f>+'COLOMBIA USD'!Y22+'EL SALVADOR USD'!Y22+'VENEZUELA USD'!Y22+'PANAMA USD'!Y22</f>
        <v>1526300.0218056031</v>
      </c>
      <c r="Z23" s="427">
        <f>+'COLOMBIA USD'!Z22+'EL SALVADOR USD'!Z22+'VENEZUELA USD'!Z22+'PANAMA USD'!Z22</f>
        <v>65505.17720575205</v>
      </c>
      <c r="AA23" s="427">
        <f>+'COLOMBIA USD'!AA22+'EL SALVADOR USD'!AA22+'VENEZUELA USD'!AA22+'PANAMA USD'!AA22</f>
        <v>52006.291783766785</v>
      </c>
      <c r="AB23" s="427">
        <f>+'COLOMBIA USD'!AB22+'EL SALVADOR USD'!AB22+'VENEZUELA USD'!AB22+'PANAMA USD'!AB22</f>
        <v>1526300.1543243951</v>
      </c>
      <c r="AC23" s="427">
        <f>+'COLOMBIA USD'!AC22+'EL SALVADOR USD'!AC22+'VENEZUELA USD'!AC22+'PANAMA USD'!AC22</f>
        <v>65494.967199877421</v>
      </c>
      <c r="AD23" s="427">
        <f>+'COLOMBIA USD'!AD22+'EL SALVADOR USD'!AD22+'VENEZUELA USD'!AD22+'PANAMA USD'!AD22</f>
        <v>13488.675416110633</v>
      </c>
      <c r="AE23" s="178"/>
      <c r="AF23" s="685"/>
      <c r="AG23" s="149"/>
      <c r="AL23" s="87" t="e">
        <f>+'COLOMBIA USD'!AC23+'EL SALVADOR USD'!AC23+'VENEZUELA USD'!AC23+'PANAMA USD'!AC23</f>
        <v>#VALUE!</v>
      </c>
    </row>
    <row r="24" spans="1:38" x14ac:dyDescent="0.25">
      <c r="A24" s="11" t="s">
        <v>105</v>
      </c>
      <c r="B24" s="11" t="s">
        <v>106</v>
      </c>
      <c r="C24" s="81" t="s">
        <v>72</v>
      </c>
      <c r="D24" s="117">
        <f>'COLOMBIA USD'!D24+'EL SALVADOR USD'!D24+'VENEZUELA USD'!D24+'PANAMA USD'!D24</f>
        <v>52031.470588235294</v>
      </c>
      <c r="E24" s="126">
        <f t="shared" si="1"/>
        <v>0.19838897525414476</v>
      </c>
      <c r="F24" s="117">
        <f>'COLOMBIA USD'!F24+'EL SALVADOR USD'!F24+'VENEZUELA USD'!F24+'PANAMA USD'!F24</f>
        <v>808595.03503530764</v>
      </c>
      <c r="G24" s="126">
        <f t="shared" si="2"/>
        <v>0.204546501849457</v>
      </c>
      <c r="H24" s="91">
        <f>'COLOMBIA USD'!H24+'EL SALVADOR USD'!H24+'VENEZUELA USD'!H24+'PANAMA USD'!H24</f>
        <v>43919.405838212435</v>
      </c>
      <c r="I24" s="127">
        <f t="shared" si="3"/>
        <v>0.21124897154737854</v>
      </c>
      <c r="J24" s="128">
        <f t="shared" si="7"/>
        <v>0.84409311022131561</v>
      </c>
      <c r="K24" s="128">
        <f t="shared" si="8"/>
        <v>-0.94568429938937892</v>
      </c>
      <c r="L24" s="83">
        <f>'COLOMBIA USD'!L24+'EL SALVADOR USD'!L24+'VENEZUELA USD'!L24+'PANAMA USD'!L24</f>
        <v>220564.11764705883</v>
      </c>
      <c r="M24" s="126">
        <f t="shared" si="4"/>
        <v>0.22112341994139301</v>
      </c>
      <c r="N24" s="117">
        <f>'COLOMBIA USD'!N24+'EL SALVADOR USD'!N24+'VENEZUELA USD'!N24+'PANAMA USD'!N24</f>
        <v>2454699.8935314408</v>
      </c>
      <c r="O24" s="126">
        <f t="shared" si="5"/>
        <v>0.19242842130266516</v>
      </c>
      <c r="P24" s="91">
        <f>'COLOMBIA USD'!P24+'EL SALVADOR USD'!P24+'VENEZUELA USD'!P24+'PANAMA USD'!P24</f>
        <v>181729.89935523522</v>
      </c>
      <c r="Q24" s="127">
        <f t="shared" si="6"/>
        <v>0.22021561722775948</v>
      </c>
      <c r="R24" s="128">
        <f t="shared" si="9"/>
        <v>0.82393229367450804</v>
      </c>
      <c r="S24" s="148">
        <f t="shared" si="10"/>
        <v>-0.9259665510093007</v>
      </c>
      <c r="T24" s="443">
        <v>1325812.9354524652</v>
      </c>
      <c r="U24" s="443">
        <v>1398965.9676199039</v>
      </c>
      <c r="V24" s="443">
        <v>1452260.7260694457</v>
      </c>
      <c r="W24" s="591"/>
      <c r="X24" s="591"/>
      <c r="Y24" s="591"/>
      <c r="Z24" s="591"/>
      <c r="AA24" s="591"/>
      <c r="AB24" s="591"/>
      <c r="AC24" s="685"/>
      <c r="AD24" s="591"/>
      <c r="AE24" s="591"/>
      <c r="AF24" s="685"/>
      <c r="AG24" s="149"/>
      <c r="AL24" s="87">
        <f>+'COLOMBIA USD'!AC24+'EL SALVADOR USD'!AC24+'VENEZUELA USD'!AC24+'PANAMA USD'!AC24</f>
        <v>0</v>
      </c>
    </row>
    <row r="25" spans="1:38" x14ac:dyDescent="0.25">
      <c r="B25" s="11"/>
      <c r="C25" s="112" t="s">
        <v>73</v>
      </c>
      <c r="D25" s="117">
        <f>+D23+D24</f>
        <v>72903.808235294113</v>
      </c>
      <c r="E25" s="113">
        <f t="shared" si="1"/>
        <v>0.27797238179915951</v>
      </c>
      <c r="F25" s="117">
        <f>'COLOMBIA USD'!F25+'EL SALVADOR USD'!F25+'VENEZUELA USD'!F25+'PANAMA USD'!F25</f>
        <v>2164301.5536696743</v>
      </c>
      <c r="G25" s="113">
        <f t="shared" si="2"/>
        <v>0.54749323526472804</v>
      </c>
      <c r="H25" s="114">
        <f>'COLOMBIA USD'!H25+'EL SALVADOR USD'!H25+'VENEZUELA USD'!H25+'PANAMA USD'!H25</f>
        <v>63163.351512725625</v>
      </c>
      <c r="I25" s="115">
        <f t="shared" si="3"/>
        <v>0.30381087339163165</v>
      </c>
      <c r="J25" s="116">
        <f t="shared" si="7"/>
        <v>0.86639303270507417</v>
      </c>
      <c r="K25" s="116">
        <f t="shared" si="8"/>
        <v>-0.97081582674760403</v>
      </c>
      <c r="L25" s="117">
        <f>'COLOMBIA USD'!L25+'EL SALVADOR USD'!L25+'VENEZUELA USD'!L25+'PANAMA USD'!L25</f>
        <v>306410.17411764705</v>
      </c>
      <c r="M25" s="113">
        <f t="shared" si="4"/>
        <v>0.30718716320916178</v>
      </c>
      <c r="N25" s="117">
        <f>'COLOMBIA USD'!N25+'EL SALVADOR USD'!N25+'VENEZUELA USD'!N25+'PANAMA USD'!N25</f>
        <v>7162064.7177281696</v>
      </c>
      <c r="O25" s="113">
        <f t="shared" si="5"/>
        <v>0.56144737307061665</v>
      </c>
      <c r="P25" s="114">
        <f>'COLOMBIA USD'!P25+'EL SALVADOR USD'!P25+'VENEZUELA USD'!P25+'PANAMA USD'!P25</f>
        <v>255213.1733282941</v>
      </c>
      <c r="Q25" s="115">
        <f t="shared" si="6"/>
        <v>0.30926075834821842</v>
      </c>
      <c r="R25" s="116">
        <f t="shared" si="9"/>
        <v>0.8329135090348021</v>
      </c>
      <c r="S25" s="370">
        <f t="shared" si="10"/>
        <v>-0.96436597777501665</v>
      </c>
      <c r="T25" s="443">
        <v>1815390.051361725</v>
      </c>
      <c r="U25" s="443">
        <v>1658335.5260723373</v>
      </c>
      <c r="V25" s="443">
        <v>1937385.4960077705</v>
      </c>
      <c r="W25" s="12"/>
      <c r="X25" s="301"/>
      <c r="Y25" s="301"/>
      <c r="Z25" s="301"/>
      <c r="AA25" s="301"/>
      <c r="AB25" s="301"/>
      <c r="AC25" s="301"/>
      <c r="AD25" s="301"/>
      <c r="AE25" s="12"/>
      <c r="AF25" s="12"/>
      <c r="AG25" s="149"/>
      <c r="AL25" s="87">
        <f>+'COLOMBIA USD'!AC25+'EL SALVADOR USD'!AC25+'VENEZUELA USD'!AC25+'PANAMA USD'!AC25</f>
        <v>0</v>
      </c>
    </row>
    <row r="26" spans="1:38" ht="15.75" thickBot="1" x14ac:dyDescent="0.3">
      <c r="B26" s="11"/>
      <c r="C26" s="112" t="s">
        <v>75</v>
      </c>
      <c r="D26" s="117">
        <f>+D22+D25</f>
        <v>216994.80058823532</v>
      </c>
      <c r="E26" s="113">
        <f t="shared" si="1"/>
        <v>0.82737188931022221</v>
      </c>
      <c r="F26" s="117">
        <f>'COLOMBIA USD'!F26+'EL SALVADOR USD'!F26+'VENEZUELA USD'!F26+'PANAMA USD'!F26</f>
        <v>3515698.0167232035</v>
      </c>
      <c r="G26" s="113">
        <f t="shared" si="2"/>
        <v>0.88934967409044774</v>
      </c>
      <c r="H26" s="114">
        <f>'COLOMBIA USD'!H26+'EL SALVADOR USD'!H26+'VENEZUELA USD'!H26+'PANAMA USD'!H26</f>
        <v>186012.35639473409</v>
      </c>
      <c r="I26" s="115">
        <f t="shared" si="3"/>
        <v>0.89470515899609815</v>
      </c>
      <c r="J26" s="116">
        <f t="shared" si="7"/>
        <v>0.85722033841588285</v>
      </c>
      <c r="K26" s="116">
        <f t="shared" si="8"/>
        <v>-0.94709091750488095</v>
      </c>
      <c r="L26" s="117">
        <f>'COLOMBIA USD'!L26+'EL SALVADOR USD'!L26+'VENEZUELA USD'!L26+'PANAMA USD'!L26</f>
        <v>866170.90823529416</v>
      </c>
      <c r="M26" s="113">
        <f t="shared" si="4"/>
        <v>0.8683673279495685</v>
      </c>
      <c r="N26" s="117">
        <f>'COLOMBIA USD'!N26+'EL SALVADOR USD'!N26+'VENEZUELA USD'!N26+'PANAMA USD'!N26</f>
        <v>10452008.098132266</v>
      </c>
      <c r="O26" s="113">
        <f t="shared" si="5"/>
        <v>0.81935206135230254</v>
      </c>
      <c r="P26" s="114">
        <f>'COLOMBIA USD'!P26+'EL SALVADOR USD'!P26+'VENEZUELA USD'!P26+'PANAMA USD'!P26</f>
        <v>734409.353196454</v>
      </c>
      <c r="Q26" s="115">
        <f t="shared" si="6"/>
        <v>0.88993836229369883</v>
      </c>
      <c r="R26" s="116">
        <f t="shared" si="9"/>
        <v>0.84788041968843486</v>
      </c>
      <c r="S26" s="370">
        <f t="shared" si="10"/>
        <v>-0.92973509527535769</v>
      </c>
      <c r="T26" s="443">
        <v>5477590.7546651652</v>
      </c>
      <c r="U26" s="443">
        <v>4581123.7942618988</v>
      </c>
      <c r="V26" s="443">
        <v>5327066.3404081007</v>
      </c>
      <c r="W26" s="12"/>
      <c r="X26" s="301"/>
      <c r="Y26" s="301"/>
      <c r="Z26" s="301"/>
      <c r="AA26" s="301"/>
      <c r="AB26" s="301"/>
      <c r="AC26" s="301"/>
      <c r="AD26" s="301"/>
      <c r="AE26" s="12"/>
      <c r="AF26" s="12"/>
      <c r="AG26" s="149"/>
    </row>
    <row r="27" spans="1:38" ht="15.75" thickBot="1" x14ac:dyDescent="0.3">
      <c r="B27" s="11"/>
      <c r="C27" s="73" t="s">
        <v>76</v>
      </c>
      <c r="D27" s="141">
        <f>+D19-D26</f>
        <v>23937.464705882361</v>
      </c>
      <c r="E27" s="142">
        <f t="shared" si="1"/>
        <v>9.1270322354794792E-2</v>
      </c>
      <c r="F27" s="141">
        <f>+F19-F26</f>
        <v>427318.20006170403</v>
      </c>
      <c r="G27" s="142">
        <f t="shared" si="2"/>
        <v>0.10809668525284889</v>
      </c>
      <c r="H27" s="141">
        <f>+H19-H26</f>
        <v>2442.3251402248279</v>
      </c>
      <c r="I27" s="143">
        <f t="shared" si="3"/>
        <v>1.1747396491596099E-2</v>
      </c>
      <c r="J27" s="144">
        <f t="shared" si="7"/>
        <v>0.1020293991127913</v>
      </c>
      <c r="K27" s="144">
        <f t="shared" si="8"/>
        <v>-0.99428452815753654</v>
      </c>
      <c r="L27" s="141">
        <f>+L19-L26</f>
        <v>53610.894117647083</v>
      </c>
      <c r="M27" s="142">
        <f t="shared" si="4"/>
        <v>5.3746839603255429E-2</v>
      </c>
      <c r="N27" s="141">
        <f>+N19-N26</f>
        <v>2182191.8484636024</v>
      </c>
      <c r="O27" s="142">
        <f t="shared" si="5"/>
        <v>0.17106601645518718</v>
      </c>
      <c r="P27" s="141">
        <f>+P19-P26</f>
        <v>31115.939545432106</v>
      </c>
      <c r="Q27" s="145">
        <f t="shared" si="6"/>
        <v>3.7705495116269562E-2</v>
      </c>
      <c r="R27" s="146">
        <f t="shared" si="9"/>
        <v>0.58040329409819869</v>
      </c>
      <c r="S27" s="146">
        <f t="shared" si="10"/>
        <v>-0.98574096976517456</v>
      </c>
      <c r="T27" s="443">
        <v>842281.05363427289</v>
      </c>
      <c r="U27" s="443">
        <v>1013711.5972500257</v>
      </c>
      <c r="V27" s="443">
        <v>856500.60917004384</v>
      </c>
      <c r="W27" s="12"/>
      <c r="X27" s="301"/>
      <c r="Y27" s="301"/>
      <c r="Z27" s="301"/>
      <c r="AA27" s="301"/>
      <c r="AB27" s="301"/>
      <c r="AC27" s="301"/>
      <c r="AD27" s="301"/>
      <c r="AE27" s="301"/>
      <c r="AF27" s="301"/>
    </row>
    <row r="28" spans="1:38" x14ac:dyDescent="0.25">
      <c r="B28" s="11" t="s">
        <v>107</v>
      </c>
      <c r="C28" s="81" t="s">
        <v>77</v>
      </c>
      <c r="D28" s="117">
        <f>'COLOMBIA USD'!D28+'EL SALVADOR USD'!D28+'VENEZUELA USD'!D28+'PANAMA USD'!D28</f>
        <v>188.99529411764703</v>
      </c>
      <c r="E28" s="126">
        <f t="shared" si="1"/>
        <v>7.2061354991441462E-4</v>
      </c>
      <c r="F28" s="117">
        <f>'COLOMBIA USD'!F28+'EL SALVADOR USD'!F28+'VENEZUELA USD'!F28+'PANAMA USD'!F28</f>
        <v>10551.049605563323</v>
      </c>
      <c r="G28" s="126">
        <f t="shared" si="2"/>
        <v>2.6690496406075914E-3</v>
      </c>
      <c r="H28" s="91">
        <f>'COLOMBIA USD'!H28+'EL SALVADOR USD'!H28+'VENEZUELA USD'!H28+'PANAMA USD'!H28</f>
        <v>1214.889541054946</v>
      </c>
      <c r="I28" s="127">
        <f t="shared" si="3"/>
        <v>5.8435254574466201E-3</v>
      </c>
      <c r="J28" s="128">
        <f t="shared" si="7"/>
        <v>6.4281470431676118</v>
      </c>
      <c r="K28" s="128">
        <f t="shared" si="8"/>
        <v>-0.88485604878453383</v>
      </c>
      <c r="L28" s="83">
        <f>'COLOMBIA USD'!L28+'EL SALVADOR USD'!L28+'VENEZUELA USD'!L28+'PANAMA USD'!L28</f>
        <v>755.98117647058814</v>
      </c>
      <c r="M28" s="126">
        <f t="shared" si="4"/>
        <v>7.5789817915889498E-4</v>
      </c>
      <c r="N28" s="117">
        <f>'COLOMBIA USD'!N28+'EL SALVADOR USD'!N28+'VENEZUELA USD'!N28+'PANAMA USD'!N28</f>
        <v>43919.683518983868</v>
      </c>
      <c r="O28" s="126">
        <f t="shared" si="5"/>
        <v>3.4429444454459127E-3</v>
      </c>
      <c r="P28" s="91">
        <f>'COLOMBIA USD'!P28+'EL SALVADOR USD'!P28+'VENEZUELA USD'!P28+'PANAMA USD'!P28</f>
        <v>2055.3116933542092</v>
      </c>
      <c r="Q28" s="127">
        <f t="shared" si="6"/>
        <v>2.4905738392706042E-3</v>
      </c>
      <c r="R28" s="148">
        <f t="shared" si="9"/>
        <v>2.7187339543951889</v>
      </c>
      <c r="S28" s="148">
        <f t="shared" si="10"/>
        <v>-0.95320294845781794</v>
      </c>
      <c r="T28" s="443">
        <v>36967.506342685476</v>
      </c>
      <c r="U28" s="443">
        <v>93879.133684850676</v>
      </c>
      <c r="V28" s="443">
        <v>133949.53460005065</v>
      </c>
      <c r="W28" s="12"/>
      <c r="X28" s="301"/>
      <c r="Y28" s="301"/>
      <c r="Z28" s="301"/>
      <c r="AA28" s="301"/>
      <c r="AB28" s="301"/>
      <c r="AC28" s="301"/>
      <c r="AD28" s="301"/>
      <c r="AE28" s="12"/>
      <c r="AF28" s="12"/>
    </row>
    <row r="29" spans="1:38" ht="15.75" thickBot="1" x14ac:dyDescent="0.3">
      <c r="B29" s="11" t="s">
        <v>108</v>
      </c>
      <c r="C29" s="81" t="s">
        <v>78</v>
      </c>
      <c r="D29" s="117">
        <f>'COLOMBIA USD'!D29+'EL SALVADOR USD'!D29+'VENEZUELA USD'!D29+'PANAMA USD'!D29</f>
        <v>4630.0788235294121</v>
      </c>
      <c r="E29" s="126">
        <f t="shared" si="1"/>
        <v>1.7653865684772875E-2</v>
      </c>
      <c r="F29" s="117">
        <f>'COLOMBIA USD'!F29+'EL SALVADOR USD'!F29+'VENEZUELA USD'!F29+'PANAMA USD'!F29</f>
        <v>63337.17517254292</v>
      </c>
      <c r="G29" s="126">
        <f t="shared" si="2"/>
        <v>1.6022108790223068E-2</v>
      </c>
      <c r="H29" s="91">
        <f>'COLOMBIA USD'!H29+'EL SALVADOR USD'!H29+'VENEZUELA USD'!H29+'PANAMA USD'!H29</f>
        <v>3791.2933347492603</v>
      </c>
      <c r="I29" s="127">
        <f t="shared" si="3"/>
        <v>1.8235829982549013E-2</v>
      </c>
      <c r="J29" s="128">
        <f t="shared" si="7"/>
        <v>0.81883991164090741</v>
      </c>
      <c r="K29" s="128">
        <f t="shared" si="8"/>
        <v>-0.94014110473949886</v>
      </c>
      <c r="L29" s="83">
        <f>'COLOMBIA USD'!L29+'EL SALVADOR USD'!L29+'VENEZUELA USD'!L29+'PANAMA USD'!L29</f>
        <v>18572.962352941177</v>
      </c>
      <c r="M29" s="126">
        <f t="shared" si="4"/>
        <v>1.8620059317612486E-2</v>
      </c>
      <c r="N29" s="117">
        <f>'COLOMBIA USD'!N29+'EL SALVADOR USD'!N29+'VENEZUELA USD'!N29+'PANAMA USD'!N29</f>
        <v>193995.24085478915</v>
      </c>
      <c r="O29" s="126">
        <f t="shared" si="5"/>
        <v>1.5207642301321192E-2</v>
      </c>
      <c r="P29" s="91">
        <f>'COLOMBIA USD'!P29+'EL SALVADOR USD'!P29+'VENEZUELA USD'!P29+'PANAMA USD'!P29</f>
        <v>17776.262292774267</v>
      </c>
      <c r="Q29" s="127">
        <f t="shared" si="6"/>
        <v>2.15408173706946E-2</v>
      </c>
      <c r="R29" s="148">
        <f t="shared" si="9"/>
        <v>0.95710430867046115</v>
      </c>
      <c r="S29" s="148">
        <f t="shared" si="10"/>
        <v>-0.90836753409801274</v>
      </c>
      <c r="T29" s="443">
        <v>196255.56818784965</v>
      </c>
      <c r="U29" s="443">
        <v>228440.23274706514</v>
      </c>
      <c r="V29" s="443">
        <v>333599.69772224413</v>
      </c>
      <c r="X29" s="149"/>
      <c r="Y29" s="149"/>
      <c r="Z29" s="149"/>
      <c r="AA29" s="149"/>
      <c r="AB29" s="149"/>
      <c r="AC29" s="149"/>
      <c r="AD29" s="149"/>
    </row>
    <row r="30" spans="1:38" ht="15.75" thickBot="1" x14ac:dyDescent="0.3">
      <c r="B30" s="11"/>
      <c r="C30" s="73" t="s">
        <v>79</v>
      </c>
      <c r="D30" s="141">
        <f>+D27+D28-D29</f>
        <v>19496.381176470593</v>
      </c>
      <c r="E30" s="142">
        <f t="shared" si="1"/>
        <v>7.433707021993631E-2</v>
      </c>
      <c r="F30" s="141">
        <f>+F27+F28-F29</f>
        <v>374532.07449472445</v>
      </c>
      <c r="G30" s="142">
        <f t="shared" si="2"/>
        <v>9.4743626103233433E-2</v>
      </c>
      <c r="H30" s="141">
        <f>+H27+H28-H29</f>
        <v>-134.07865346948665</v>
      </c>
      <c r="I30" s="143">
        <f t="shared" si="3"/>
        <v>-6.4490803350629369E-4</v>
      </c>
      <c r="J30" s="144">
        <f t="shared" si="7"/>
        <v>-6.8771046409012992E-3</v>
      </c>
      <c r="K30" s="144">
        <f t="shared" si="8"/>
        <v>-1.0003579897760435</v>
      </c>
      <c r="L30" s="141">
        <f>+L27+L28-L29</f>
        <v>35793.912941176495</v>
      </c>
      <c r="M30" s="142">
        <f t="shared" si="4"/>
        <v>3.5884678464801839E-2</v>
      </c>
      <c r="N30" s="141">
        <f>+N27+N28-N29</f>
        <v>2032116.2911277972</v>
      </c>
      <c r="O30" s="142">
        <f t="shared" si="5"/>
        <v>0.15930131859931193</v>
      </c>
      <c r="P30" s="141">
        <f>+P27+P28-P29</f>
        <v>15394.98894601205</v>
      </c>
      <c r="Q30" s="143">
        <f t="shared" si="6"/>
        <v>1.8655251584845572E-2</v>
      </c>
      <c r="R30" s="144">
        <f t="shared" si="9"/>
        <v>0.43010075403915982</v>
      </c>
      <c r="S30" s="146">
        <f t="shared" si="10"/>
        <v>-0.99242415947688312</v>
      </c>
      <c r="T30" s="443">
        <v>682992.99178910861</v>
      </c>
      <c r="U30" s="443">
        <v>879150.49818781135</v>
      </c>
      <c r="V30" s="443">
        <v>656850.44604785042</v>
      </c>
      <c r="X30" s="149"/>
      <c r="Y30" s="149"/>
      <c r="Z30" s="149"/>
      <c r="AA30" s="149"/>
      <c r="AB30" s="149"/>
      <c r="AC30" s="149"/>
      <c r="AD30" s="149"/>
    </row>
    <row r="31" spans="1:38" ht="15.75" thickBot="1" x14ac:dyDescent="0.3">
      <c r="B31" s="11" t="s">
        <v>109</v>
      </c>
      <c r="C31" s="81" t="s">
        <v>63</v>
      </c>
      <c r="D31" s="117">
        <f>'COLOMBIA USD'!D31+'EL SALVADOR USD'!D31+'VENEZUELA USD'!D31+'PANAMA USD'!D31</f>
        <v>12125.75294117647</v>
      </c>
      <c r="E31" s="126">
        <f t="shared" si="1"/>
        <v>4.6233859489046604E-2</v>
      </c>
      <c r="F31" s="117">
        <f>'COLOMBIA USD'!F31+'EL SALVADOR USD'!F31+'VENEZUELA USD'!F31+'PANAMA USD'!F31</f>
        <v>8605.6984801596609</v>
      </c>
      <c r="G31" s="126">
        <f t="shared" si="2"/>
        <v>2.1769432705099215E-3</v>
      </c>
      <c r="H31" s="91">
        <f>'COLOMBIA USD'!H31+'EL SALVADOR USD'!H31+'VENEZUELA USD'!H31+'PANAMA USD'!H31</f>
        <v>5859.6111690076568</v>
      </c>
      <c r="I31" s="127">
        <f t="shared" si="3"/>
        <v>2.8184280035123108E-2</v>
      </c>
      <c r="J31" s="128">
        <f t="shared" si="7"/>
        <v>0.48323689237553802</v>
      </c>
      <c r="K31" s="128">
        <f t="shared" si="8"/>
        <v>-0.31910103723516192</v>
      </c>
      <c r="L31" s="83">
        <f>'COLOMBIA USD'!L31+'EL SALVADOR USD'!L31+'VENEZUELA USD'!L31+'PANAMA USD'!L31</f>
        <v>32159.827647058821</v>
      </c>
      <c r="M31" s="126">
        <f t="shared" si="4"/>
        <v>3.2241377926316726E-2</v>
      </c>
      <c r="N31" s="117">
        <f>'COLOMBIA USD'!N31+'EL SALVADOR USD'!N31+'VENEZUELA USD'!N31+'PANAMA USD'!N31</f>
        <v>59006.707826379345</v>
      </c>
      <c r="O31" s="126">
        <f t="shared" si="5"/>
        <v>4.6256439181095194E-3</v>
      </c>
      <c r="P31" s="91">
        <f>'COLOMBIA USD'!P31+'EL SALVADOR USD'!P31+'VENEZUELA USD'!P31+'PANAMA USD'!P31</f>
        <v>27080.053458639981</v>
      </c>
      <c r="Q31" s="127">
        <f t="shared" si="6"/>
        <v>3.2814912175228327E-2</v>
      </c>
      <c r="R31" s="148">
        <f t="shared" si="9"/>
        <v>0.84204597598695741</v>
      </c>
      <c r="S31" s="148">
        <f t="shared" si="10"/>
        <v>-0.54106821993323173</v>
      </c>
      <c r="T31" s="443">
        <v>280419.6325910202</v>
      </c>
      <c r="U31" s="443">
        <v>316141.88521195261</v>
      </c>
      <c r="V31" s="443">
        <v>205076.37559374908</v>
      </c>
      <c r="X31" s="149"/>
      <c r="Y31" s="149"/>
      <c r="Z31" s="149"/>
      <c r="AA31" s="149"/>
      <c r="AB31" s="149"/>
      <c r="AC31" s="149"/>
      <c r="AD31" s="149"/>
    </row>
    <row r="32" spans="1:38" ht="15.75" thickBot="1" x14ac:dyDescent="0.3">
      <c r="B32" s="11"/>
      <c r="C32" s="73" t="s">
        <v>80</v>
      </c>
      <c r="D32" s="141">
        <f>+D30-D31</f>
        <v>7370.6282352941234</v>
      </c>
      <c r="E32" s="142">
        <f t="shared" si="1"/>
        <v>2.810321073088971E-2</v>
      </c>
      <c r="F32" s="141">
        <f>+F30-F31</f>
        <v>365926.37601456477</v>
      </c>
      <c r="G32" s="142">
        <f t="shared" si="2"/>
        <v>9.2566682832723499E-2</v>
      </c>
      <c r="H32" s="141">
        <f>+H30-H31</f>
        <v>-5993.689822477143</v>
      </c>
      <c r="I32" s="143">
        <f t="shared" si="3"/>
        <v>-2.8829188068629399E-2</v>
      </c>
      <c r="J32" s="144">
        <f t="shared" si="7"/>
        <v>-0.81318574633522611</v>
      </c>
      <c r="K32" s="144">
        <f t="shared" si="8"/>
        <v>-1.0163794965745749</v>
      </c>
      <c r="L32" s="141">
        <f>+L30-L31</f>
        <v>3634.0852941176745</v>
      </c>
      <c r="M32" s="142">
        <f t="shared" si="4"/>
        <v>3.6433005384851128E-3</v>
      </c>
      <c r="N32" s="141">
        <f>+N30-N31</f>
        <v>1973109.5833014178</v>
      </c>
      <c r="O32" s="142">
        <f t="shared" si="5"/>
        <v>0.15467567468120239</v>
      </c>
      <c r="P32" s="141">
        <f>+P30-P31</f>
        <v>-11685.064512627931</v>
      </c>
      <c r="Q32" s="143">
        <f t="shared" si="6"/>
        <v>-1.4159660590382754E-2</v>
      </c>
      <c r="R32" s="144">
        <f t="shared" si="9"/>
        <v>-3.2154073355245689</v>
      </c>
      <c r="S32" s="146">
        <f t="shared" si="10"/>
        <v>-1.0059221568895713</v>
      </c>
      <c r="T32" s="443">
        <v>402573.35919808841</v>
      </c>
      <c r="U32" s="443">
        <v>563008.61297585873</v>
      </c>
      <c r="V32" s="443">
        <v>451774.07045410131</v>
      </c>
      <c r="X32" s="149"/>
      <c r="Y32" s="149"/>
      <c r="Z32" s="149"/>
      <c r="AA32" s="149"/>
      <c r="AB32" s="149"/>
      <c r="AC32" s="149"/>
      <c r="AD32" s="149"/>
    </row>
    <row r="33" spans="2:33" ht="15.75" thickBot="1" x14ac:dyDescent="0.3">
      <c r="B33" s="11"/>
      <c r="C33" s="73" t="s">
        <v>82</v>
      </c>
      <c r="D33" s="141">
        <f>'COLOMBIA USD'!D33+'EL SALVADOR USD'!D33+'VENEZUELA USD'!D33+'PANAMA USD'!D33</f>
        <v>49988.303529411765</v>
      </c>
      <c r="E33" s="142">
        <f t="shared" si="1"/>
        <v>0.19059865500198805</v>
      </c>
      <c r="F33" s="141">
        <f>'COLOMBIA USD'!F33+'EL SALVADOR USD'!F33+'VENEZUELA USD'!F33+'PANAMA USD'!F33</f>
        <v>375473.35452510463</v>
      </c>
      <c r="G33" s="142">
        <f t="shared" si="2"/>
        <v>9.4981737307399561E-2</v>
      </c>
      <c r="H33" s="627">
        <f>'COLOMBIA USD'!H33+'EL SALVADOR USD'!H33+'VENEZUELA USD'!H33+'PANAMA USD'!H33</f>
        <v>26687.701546869837</v>
      </c>
      <c r="I33" s="143">
        <f t="shared" si="3"/>
        <v>0.12836579632947737</v>
      </c>
      <c r="J33" s="144">
        <f t="shared" si="7"/>
        <v>0.53387892091932099</v>
      </c>
      <c r="K33" s="144">
        <f t="shared" si="8"/>
        <v>-0.92892251547217197</v>
      </c>
      <c r="L33" s="141">
        <f>'COLOMBIA USD'!L33+'EL SALVADOR USD'!L33+'VENEZUELA USD'!L33+'PANAMA USD'!L33</f>
        <v>156809.83764705883</v>
      </c>
      <c r="M33" s="142">
        <f t="shared" si="4"/>
        <v>0.15720747305079441</v>
      </c>
      <c r="N33" s="141">
        <f>'COLOMBIA USD'!N33+'EL SALVADOR USD'!N33+'VENEZUELA USD'!N33+'PANAMA USD'!N33</f>
        <v>2158283.2657970176</v>
      </c>
      <c r="O33" s="142">
        <f t="shared" si="5"/>
        <v>0.16919177886295086</v>
      </c>
      <c r="P33" s="627">
        <f>'COLOMBIA USD'!P33+'EL SALVADOR USD'!P33+'VENEZUELA USD'!P33+'PANAMA USD'!P33</f>
        <v>128749.33633000246</v>
      </c>
      <c r="Q33" s="143">
        <f t="shared" si="6"/>
        <v>0.1560151338231571</v>
      </c>
      <c r="R33" s="144">
        <f t="shared" si="9"/>
        <v>0.8210539482847129</v>
      </c>
      <c r="S33" s="146">
        <f t="shared" si="10"/>
        <v>-0.94034641403640895</v>
      </c>
      <c r="T33" s="443">
        <v>1264092.6280541716</v>
      </c>
      <c r="U33" s="443">
        <v>1256816.4542991167</v>
      </c>
      <c r="V33" s="443">
        <v>1312724.211591563</v>
      </c>
      <c r="X33" s="149"/>
      <c r="Y33" s="149"/>
      <c r="Z33" s="149"/>
      <c r="AA33" s="149"/>
      <c r="AB33" s="149"/>
      <c r="AC33" s="149"/>
      <c r="AD33" s="149"/>
    </row>
    <row r="34" spans="2:33" ht="15.75" thickBot="1" x14ac:dyDescent="0.3">
      <c r="B34" s="11" t="s">
        <v>110</v>
      </c>
      <c r="C34" s="153" t="s">
        <v>46</v>
      </c>
      <c r="D34" s="158">
        <f>'COLOMBIA USD'!D34+'EL SALVADOR USD'!D34+'VENEZUELA USD'!D34+'PANAMA USD'!D34</f>
        <v>110800.71352941178</v>
      </c>
      <c r="E34" s="155">
        <f t="shared" si="1"/>
        <v>0.42246816716916452</v>
      </c>
      <c r="F34" s="158">
        <f>'COLOMBIA USD'!F34+'EL SALVADOR USD'!F34+'VENEZUELA USD'!F34+'PANAMA USD'!F34</f>
        <v>1036615.7762327236</v>
      </c>
      <c r="G34" s="155">
        <f t="shared" si="2"/>
        <v>0.26222784163039592</v>
      </c>
      <c r="H34" s="686">
        <f>'COLOMBIA USD'!H34+'EL SALVADOR USD'!H34+'VENEZUELA USD'!H34+'PANAMA USD'!H34</f>
        <v>93496.261860652885</v>
      </c>
      <c r="I34" s="156">
        <f t="shared" si="3"/>
        <v>0.44970984430765698</v>
      </c>
      <c r="J34" s="157">
        <f t="shared" si="7"/>
        <v>0.84382364411249511</v>
      </c>
      <c r="K34" s="157">
        <f t="shared" si="8"/>
        <v>-0.90980625222545075</v>
      </c>
      <c r="L34" s="154">
        <f>'COLOMBIA USD'!L34+'EL SALVADOR USD'!L34+'VENEZUELA USD'!L34+'PANAMA USD'!L34</f>
        <v>437750.5011764706</v>
      </c>
      <c r="M34" s="155">
        <f t="shared" si="4"/>
        <v>0.43886054057120893</v>
      </c>
      <c r="N34" s="158">
        <f>'COLOMBIA USD'!N34+'EL SALVADOR USD'!N34+'VENEZUELA USD'!N34+'PANAMA USD'!N34</f>
        <v>3281098.782222617</v>
      </c>
      <c r="O34" s="155">
        <f t="shared" si="5"/>
        <v>0.25721134402823831</v>
      </c>
      <c r="P34" s="686">
        <f>'COLOMBIA USD'!P34+'EL SALVADOR USD'!P34+'VENEZUELA USD'!P34+'PANAMA USD'!P34</f>
        <v>366307.6193077194</v>
      </c>
      <c r="Q34" s="159">
        <f t="shared" si="6"/>
        <v>0.44388215019806954</v>
      </c>
      <c r="R34" s="160">
        <f t="shared" si="9"/>
        <v>0.83679543101208154</v>
      </c>
      <c r="S34" s="160">
        <f t="shared" si="10"/>
        <v>-0.88835824715414913</v>
      </c>
      <c r="T34" s="443">
        <v>2605262.123307826</v>
      </c>
      <c r="U34" s="443">
        <v>2379828.5360035086</v>
      </c>
      <c r="V34" s="443">
        <v>2567163.5334917912</v>
      </c>
      <c r="X34" s="149"/>
      <c r="Y34" s="149"/>
      <c r="Z34" s="149"/>
      <c r="AA34" s="149"/>
      <c r="AB34" s="149"/>
      <c r="AC34" s="149"/>
      <c r="AD34" s="149"/>
    </row>
    <row r="35" spans="2:33" s="191" customFormat="1" x14ac:dyDescent="0.25">
      <c r="D35" s="687"/>
      <c r="F35" s="12"/>
      <c r="L35" s="687"/>
      <c r="M35" s="687"/>
      <c r="N35" s="688"/>
      <c r="O35" s="687"/>
      <c r="P35" s="687"/>
      <c r="S35" s="689"/>
      <c r="T35" s="690"/>
      <c r="U35" s="690"/>
      <c r="V35" s="690"/>
      <c r="X35" s="687"/>
      <c r="Y35" s="687"/>
      <c r="Z35" s="687"/>
      <c r="AA35" s="687"/>
      <c r="AB35" s="687"/>
      <c r="AC35" s="687"/>
      <c r="AD35" s="687"/>
    </row>
    <row r="36" spans="2:33" s="138" customFormat="1" x14ac:dyDescent="0.25">
      <c r="C36" s="15"/>
      <c r="D36" s="87">
        <f>+'COLOMBIA USD'!D32+'EL SALVADOR USD'!D32+'VENEZUELA USD'!D32+'PANAMA USD'!D32</f>
        <v>7370.6282352941143</v>
      </c>
      <c r="E36" s="87" t="e">
        <f>+'COLOMBIA USD'!E32+'EL SALVADOR USD'!E32+'VENEZUELA USD'!E32+'PANAMA USD'!E32</f>
        <v>#DIV/0!</v>
      </c>
      <c r="F36" s="87">
        <f>+'COLOMBIA USD'!F32+'EL SALVADOR USD'!F32+'VENEZUELA USD'!F32+'PANAMA USD'!F32</f>
        <v>365926.376014565</v>
      </c>
      <c r="G36" s="87" t="e">
        <f>+'COLOMBIA USD'!G32+'EL SALVADOR USD'!G32+'VENEZUELA USD'!G32+'PANAMA USD'!G32</f>
        <v>#DIV/0!</v>
      </c>
      <c r="H36" s="87">
        <f>+'COLOMBIA USD'!H32+'EL SALVADOR USD'!H32+'VENEZUELA USD'!H32+'PANAMA USD'!H32</f>
        <v>-5993.6898224771476</v>
      </c>
      <c r="I36" s="87" t="e">
        <f>+'COLOMBIA USD'!I32+'EL SALVADOR USD'!I32+'VENEZUELA USD'!I32+'PANAMA USD'!I32</f>
        <v>#DIV/0!</v>
      </c>
      <c r="J36" s="87" t="e">
        <f>+'COLOMBIA USD'!J32+'EL SALVADOR USD'!J32+'VENEZUELA USD'!J32+'PANAMA USD'!J32</f>
        <v>#VALUE!</v>
      </c>
      <c r="K36" s="87">
        <f>+'COLOMBIA USD'!K32+'EL SALVADOR USD'!K32+'VENEZUELA USD'!K32+'PANAMA USD'!K32</f>
        <v>-4.8604493305148608</v>
      </c>
      <c r="L36" s="87">
        <f>+'COLOMBIA USD'!L32+'EL SALVADOR USD'!L32+'VENEZUELA USD'!L32+'PANAMA USD'!L32</f>
        <v>3634.0852941175799</v>
      </c>
      <c r="M36" s="87" t="e">
        <f>+'COLOMBIA USD'!M32+'EL SALVADOR USD'!M32+'VENEZUELA USD'!M32+'PANAMA USD'!M32</f>
        <v>#DIV/0!</v>
      </c>
      <c r="N36" s="87">
        <f>+'COLOMBIA USD'!N32+'EL SALVADOR USD'!N32+'VENEZUELA USD'!N32+'PANAMA USD'!N32</f>
        <v>1973109.5833014171</v>
      </c>
      <c r="O36" s="87" t="e">
        <f>+'COLOMBIA USD'!O32+'EL SALVADOR USD'!O32+'VENEZUELA USD'!O32+'PANAMA USD'!O32</f>
        <v>#DIV/0!</v>
      </c>
      <c r="P36" s="87">
        <f>+'COLOMBIA USD'!P32+'EL SALVADOR USD'!P32+'VENEZUELA USD'!P32+'PANAMA USD'!P32</f>
        <v>-11685.064512627896</v>
      </c>
      <c r="Q36" s="87" t="e">
        <f>+'COLOMBIA USD'!Q32+'EL SALVADOR USD'!Q32+'VENEZUELA USD'!Q32+'PANAMA USD'!Q32</f>
        <v>#DIV/0!</v>
      </c>
      <c r="R36" s="87" t="e">
        <f>+'COLOMBIA USD'!R32+'EL SALVADOR USD'!R32+'VENEZUELA USD'!R32+'PANAMA USD'!R32</f>
        <v>#VALUE!</v>
      </c>
      <c r="S36" s="87">
        <f>+'COLOMBIA USD'!S32+'EL SALVADOR USD'!S32+'VENEZUELA USD'!S32+'PANAMA USD'!S32</f>
        <v>-2.4645789825937134</v>
      </c>
      <c r="T36" s="443">
        <v>402573.35919808812</v>
      </c>
      <c r="U36" s="443">
        <v>563008.6129758592</v>
      </c>
      <c r="V36" s="691">
        <v>451774.07045410166</v>
      </c>
      <c r="X36" s="193"/>
      <c r="Y36" s="193"/>
      <c r="Z36" s="193"/>
      <c r="AA36" s="193"/>
      <c r="AB36" s="193"/>
      <c r="AC36" s="193"/>
      <c r="AD36" s="193"/>
    </row>
    <row r="37" spans="2:33" s="138" customFormat="1" x14ac:dyDescent="0.25">
      <c r="C37" s="15"/>
      <c r="D37" s="87">
        <f>+'COLOMBIA USD'!D33+'EL SALVADOR USD'!D33+'VENEZUELA USD'!D33+'PANAMA USD'!D33</f>
        <v>49988.303529411765</v>
      </c>
      <c r="E37" s="87" t="e">
        <f>+'COLOMBIA USD'!E33+'EL SALVADOR USD'!E33+'VENEZUELA USD'!E33+'PANAMA USD'!E33</f>
        <v>#DIV/0!</v>
      </c>
      <c r="F37" s="87">
        <f>+'COLOMBIA USD'!F33+'EL SALVADOR USD'!F33+'VENEZUELA USD'!F33+'PANAMA USD'!F33</f>
        <v>375473.35452510463</v>
      </c>
      <c r="G37" s="87" t="e">
        <f>+'COLOMBIA USD'!G33+'EL SALVADOR USD'!G33+'VENEZUELA USD'!G33+'PANAMA USD'!G33</f>
        <v>#DIV/0!</v>
      </c>
      <c r="H37" s="87">
        <f>+'COLOMBIA USD'!H33+'EL SALVADOR USD'!H33+'VENEZUELA USD'!H33+'PANAMA USD'!H33</f>
        <v>26687.701546869837</v>
      </c>
      <c r="I37" s="87" t="e">
        <f>+'COLOMBIA USD'!I33+'EL SALVADOR USD'!I33+'VENEZUELA USD'!I33+'PANAMA USD'!I33</f>
        <v>#DIV/0!</v>
      </c>
      <c r="J37" s="87" t="e">
        <f>+'COLOMBIA USD'!J33+'EL SALVADOR USD'!J33+'VENEZUELA USD'!J33+'PANAMA USD'!J33</f>
        <v>#VALUE!</v>
      </c>
      <c r="K37" s="87">
        <f>+'COLOMBIA USD'!K33+'EL SALVADOR USD'!K33+'VENEZUELA USD'!K33+'PANAMA USD'!K33</f>
        <v>-3.1074493364804585</v>
      </c>
      <c r="L37" s="87">
        <f>+'COLOMBIA USD'!L33+'EL SALVADOR USD'!L33+'VENEZUELA USD'!L33+'PANAMA USD'!L33</f>
        <v>156809.83764705883</v>
      </c>
      <c r="M37" s="87" t="e">
        <f>+'COLOMBIA USD'!M33+'EL SALVADOR USD'!M33+'VENEZUELA USD'!M33+'PANAMA USD'!M33</f>
        <v>#DIV/0!</v>
      </c>
      <c r="N37" s="87">
        <f>+'COLOMBIA USD'!N33+'EL SALVADOR USD'!N33+'VENEZUELA USD'!N33+'PANAMA USD'!N33</f>
        <v>2158283.2657970176</v>
      </c>
      <c r="O37" s="87" t="e">
        <f>+'COLOMBIA USD'!O33+'EL SALVADOR USD'!O33+'VENEZUELA USD'!O33+'PANAMA USD'!O33</f>
        <v>#DIV/0!</v>
      </c>
      <c r="P37" s="87">
        <f>+'COLOMBIA USD'!P33+'EL SALVADOR USD'!P33+'VENEZUELA USD'!P33+'PANAMA USD'!P33</f>
        <v>128749.33633000246</v>
      </c>
      <c r="Q37" s="87" t="e">
        <f>+'COLOMBIA USD'!Q33+'EL SALVADOR USD'!Q33+'VENEZUELA USD'!Q33+'PANAMA USD'!Q33</f>
        <v>#DIV/0!</v>
      </c>
      <c r="R37" s="87" t="e">
        <f>+'COLOMBIA USD'!R33+'EL SALVADOR USD'!R33+'VENEZUELA USD'!R33+'PANAMA USD'!R33</f>
        <v>#VALUE!</v>
      </c>
      <c r="S37" s="87">
        <f>+'COLOMBIA USD'!S33+'EL SALVADOR USD'!S33+'VENEZUELA USD'!S33+'PANAMA USD'!S33</f>
        <v>-3.0279606200201385</v>
      </c>
      <c r="T37" s="443">
        <v>1264092.6280541716</v>
      </c>
      <c r="U37" s="443">
        <v>1256816.4542991167</v>
      </c>
      <c r="V37" s="691">
        <v>1312724.211591563</v>
      </c>
      <c r="X37" s="193"/>
      <c r="Y37" s="193"/>
      <c r="Z37" s="193"/>
      <c r="AA37" s="193"/>
      <c r="AB37" s="193"/>
      <c r="AC37" s="193"/>
      <c r="AD37" s="193"/>
    </row>
    <row r="38" spans="2:33" s="138" customFormat="1" x14ac:dyDescent="0.25">
      <c r="C38" s="15"/>
      <c r="D38" s="87">
        <f>+'COLOMBIA USD'!D34+'EL SALVADOR USD'!D34+'VENEZUELA USD'!D34+'PANAMA USD'!D34</f>
        <v>110800.71352941178</v>
      </c>
      <c r="E38" s="87" t="e">
        <f>+'COLOMBIA USD'!E34+'EL SALVADOR USD'!E34+'VENEZUELA USD'!E34+'PANAMA USD'!E34</f>
        <v>#DIV/0!</v>
      </c>
      <c r="F38" s="87">
        <f>+'COLOMBIA USD'!F34+'EL SALVADOR USD'!F34+'VENEZUELA USD'!F34+'PANAMA USD'!F34</f>
        <v>1036615.7762327236</v>
      </c>
      <c r="G38" s="87" t="e">
        <f>+'COLOMBIA USD'!G34+'EL SALVADOR USD'!G34+'VENEZUELA USD'!G34+'PANAMA USD'!G34</f>
        <v>#DIV/0!</v>
      </c>
      <c r="H38" s="87">
        <f>+'COLOMBIA USD'!H34+'EL SALVADOR USD'!H34+'VENEZUELA USD'!H34+'PANAMA USD'!H34</f>
        <v>93496.261860652885</v>
      </c>
      <c r="I38" s="87" t="e">
        <f>+'COLOMBIA USD'!I34+'EL SALVADOR USD'!I34+'VENEZUELA USD'!I34+'PANAMA USD'!I34</f>
        <v>#DIV/0!</v>
      </c>
      <c r="J38" s="87" t="e">
        <f>+'COLOMBIA USD'!J34+'EL SALVADOR USD'!J34+'VENEZUELA USD'!J34+'PANAMA USD'!J34</f>
        <v>#VALUE!</v>
      </c>
      <c r="K38" s="87" t="e">
        <f>+'COLOMBIA USD'!K34+'EL SALVADOR USD'!K34+'VENEZUELA USD'!K34+'PANAMA USD'!K34</f>
        <v>#VALUE!</v>
      </c>
      <c r="L38" s="87">
        <f>+'COLOMBIA USD'!L34+'EL SALVADOR USD'!L34+'VENEZUELA USD'!L34+'PANAMA USD'!L34</f>
        <v>437750.5011764706</v>
      </c>
      <c r="M38" s="87" t="e">
        <f>+'COLOMBIA USD'!M34+'EL SALVADOR USD'!M34+'VENEZUELA USD'!M34+'PANAMA USD'!M34</f>
        <v>#DIV/0!</v>
      </c>
      <c r="N38" s="87">
        <f>+'COLOMBIA USD'!N34+'EL SALVADOR USD'!N34+'VENEZUELA USD'!N34+'PANAMA USD'!N34</f>
        <v>3281098.782222617</v>
      </c>
      <c r="O38" s="87" t="e">
        <f>+'COLOMBIA USD'!O34+'EL SALVADOR USD'!O34+'VENEZUELA USD'!O34+'PANAMA USD'!O34</f>
        <v>#DIV/0!</v>
      </c>
      <c r="P38" s="87">
        <f>+'COLOMBIA USD'!P34+'EL SALVADOR USD'!P34+'VENEZUELA USD'!P34+'PANAMA USD'!P34</f>
        <v>366307.6193077194</v>
      </c>
      <c r="Q38" s="87" t="e">
        <f>+'COLOMBIA USD'!Q34+'EL SALVADOR USD'!Q34+'VENEZUELA USD'!Q34+'PANAMA USD'!Q34</f>
        <v>#DIV/0!</v>
      </c>
      <c r="R38" s="87"/>
      <c r="S38" s="87"/>
      <c r="T38" s="443">
        <v>2605262.123307826</v>
      </c>
      <c r="U38" s="443">
        <v>2379828.5360035086</v>
      </c>
      <c r="V38" s="691">
        <v>2567163.5334917912</v>
      </c>
      <c r="X38" s="193"/>
      <c r="Y38" s="193"/>
      <c r="Z38" s="193"/>
      <c r="AA38" s="193"/>
      <c r="AB38" s="193"/>
      <c r="AC38" s="193"/>
      <c r="AD38" s="193"/>
    </row>
    <row r="39" spans="2:33" s="138" customFormat="1" x14ac:dyDescent="0.25"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443"/>
      <c r="U39" s="443"/>
      <c r="V39" s="691"/>
    </row>
    <row r="40" spans="2:33" s="191" customFormat="1" x14ac:dyDescent="0.25">
      <c r="C40" s="12"/>
      <c r="D40" s="301"/>
      <c r="E40" s="12"/>
      <c r="F40" s="12"/>
      <c r="G40" s="12"/>
      <c r="H40" s="12"/>
      <c r="I40" s="12"/>
      <c r="J40" s="12"/>
      <c r="K40" s="12"/>
      <c r="L40" s="301"/>
      <c r="M40" s="301"/>
      <c r="N40" s="301"/>
      <c r="O40" s="301"/>
      <c r="P40" s="301"/>
      <c r="Q40" s="301"/>
      <c r="R40" s="301"/>
      <c r="S40" s="12"/>
      <c r="T40" s="692"/>
      <c r="U40" s="692"/>
      <c r="V40" s="690"/>
    </row>
    <row r="41" spans="2:33" s="392" customFormat="1" x14ac:dyDescent="0.25"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T41" s="693"/>
      <c r="U41" s="693"/>
      <c r="V41" s="693"/>
      <c r="AG41" s="10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74C6B-C026-416D-83A8-4D50F5528436}">
  <dimension ref="A6:V595"/>
  <sheetViews>
    <sheetView topLeftCell="A75" workbookViewId="0">
      <selection activeCell="A60" sqref="A60:A87"/>
    </sheetView>
  </sheetViews>
  <sheetFormatPr baseColWidth="10" defaultRowHeight="11.25" x14ac:dyDescent="0.2"/>
  <cols>
    <col min="1" max="1" width="31.42578125" style="696" customWidth="1"/>
    <col min="2" max="2" width="44.42578125" style="696" customWidth="1"/>
    <col min="3" max="3" width="29.140625" style="696" customWidth="1"/>
    <col min="4" max="4" width="8" style="696" customWidth="1"/>
    <col min="5" max="5" width="22.7109375" style="696" bestFit="1" customWidth="1"/>
    <col min="6" max="6" width="37.42578125" style="696" bestFit="1" customWidth="1"/>
    <col min="7" max="7" width="12.5703125" style="699" bestFit="1" customWidth="1"/>
    <col min="8" max="18" width="30.5703125" style="699" bestFit="1" customWidth="1"/>
    <col min="19" max="19" width="14.140625" style="699" bestFit="1" customWidth="1"/>
    <col min="20" max="22" width="11.42578125" style="699"/>
    <col min="23" max="16384" width="11.42578125" style="696"/>
  </cols>
  <sheetData>
    <row r="6" spans="1:2" ht="12" x14ac:dyDescent="0.2">
      <c r="A6" s="694" t="s">
        <v>191</v>
      </c>
      <c r="B6" s="695" t="s">
        <v>192</v>
      </c>
    </row>
    <row r="7" spans="1:2" ht="12" x14ac:dyDescent="0.2">
      <c r="A7" s="694" t="s">
        <v>36</v>
      </c>
      <c r="B7" s="695" t="s">
        <v>193</v>
      </c>
    </row>
    <row r="8" spans="1:2" ht="12" x14ac:dyDescent="0.2">
      <c r="A8" s="694" t="s">
        <v>39</v>
      </c>
      <c r="B8" s="695" t="s">
        <v>194</v>
      </c>
    </row>
    <row r="9" spans="1:2" ht="12" x14ac:dyDescent="0.2">
      <c r="A9" s="694" t="s">
        <v>54</v>
      </c>
      <c r="B9" s="695" t="s">
        <v>195</v>
      </c>
    </row>
    <row r="10" spans="1:2" ht="15" x14ac:dyDescent="0.25">
      <c r="A10" s="697" t="s">
        <v>196</v>
      </c>
      <c r="B10" s="695" t="s">
        <v>197</v>
      </c>
    </row>
    <row r="11" spans="1:2" ht="12" x14ac:dyDescent="0.2">
      <c r="A11" s="694" t="s">
        <v>198</v>
      </c>
      <c r="B11" s="695" t="s">
        <v>199</v>
      </c>
    </row>
    <row r="12" spans="1:2" ht="12" x14ac:dyDescent="0.2">
      <c r="A12" s="694" t="s">
        <v>56</v>
      </c>
      <c r="B12" s="695" t="s">
        <v>200</v>
      </c>
    </row>
    <row r="13" spans="1:2" ht="12" x14ac:dyDescent="0.2">
      <c r="A13" s="694" t="s">
        <v>201</v>
      </c>
      <c r="B13" s="695" t="s">
        <v>202</v>
      </c>
    </row>
    <row r="14" spans="1:2" ht="12" x14ac:dyDescent="0.2">
      <c r="A14" s="694" t="s">
        <v>47</v>
      </c>
      <c r="B14" s="695" t="s">
        <v>203</v>
      </c>
    </row>
    <row r="15" spans="1:2" ht="12" x14ac:dyDescent="0.2">
      <c r="A15" s="694" t="s">
        <v>204</v>
      </c>
      <c r="B15" s="695" t="s">
        <v>205</v>
      </c>
    </row>
    <row r="16" spans="1:2" ht="12" x14ac:dyDescent="0.2">
      <c r="A16" s="694" t="s">
        <v>206</v>
      </c>
      <c r="B16" s="695" t="s">
        <v>207</v>
      </c>
    </row>
    <row r="33" spans="1:19" x14ac:dyDescent="0.2">
      <c r="B33" s="698" t="s">
        <v>208</v>
      </c>
      <c r="D33" s="696" t="s">
        <v>209</v>
      </c>
    </row>
    <row r="34" spans="1:19" x14ac:dyDescent="0.2">
      <c r="A34" s="696" t="s">
        <v>210</v>
      </c>
      <c r="B34" s="698" t="s">
        <v>211</v>
      </c>
    </row>
    <row r="35" spans="1:19" x14ac:dyDescent="0.2">
      <c r="A35" s="696" t="s">
        <v>212</v>
      </c>
      <c r="B35" s="698" t="s">
        <v>213</v>
      </c>
    </row>
    <row r="36" spans="1:19" x14ac:dyDescent="0.2">
      <c r="A36" s="696" t="s">
        <v>214</v>
      </c>
      <c r="B36" s="698" t="s">
        <v>215</v>
      </c>
    </row>
    <row r="37" spans="1:19" x14ac:dyDescent="0.2">
      <c r="A37" s="696" t="s">
        <v>216</v>
      </c>
      <c r="B37" s="698" t="s">
        <v>217</v>
      </c>
    </row>
    <row r="38" spans="1:19" x14ac:dyDescent="0.2">
      <c r="B38" s="698"/>
    </row>
    <row r="39" spans="1:19" x14ac:dyDescent="0.2">
      <c r="B39" s="698"/>
    </row>
    <row r="40" spans="1:19" x14ac:dyDescent="0.2">
      <c r="B40" s="698"/>
    </row>
    <row r="41" spans="1:19" ht="15" x14ac:dyDescent="0.25">
      <c r="B41" s="698" t="s">
        <v>218</v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ht="15" x14ac:dyDescent="0.25">
      <c r="A42" s="700"/>
      <c r="B42" s="696" t="s">
        <v>219</v>
      </c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ht="15" x14ac:dyDescent="0.25">
      <c r="A43" s="700" t="s">
        <v>220</v>
      </c>
      <c r="B43" s="701" t="s">
        <v>221</v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ht="15" x14ac:dyDescent="0.25">
      <c r="A44" s="702" t="s">
        <v>222</v>
      </c>
      <c r="B44" s="701" t="s">
        <v>223</v>
      </c>
      <c r="F44" s="10"/>
      <c r="G44" s="10"/>
      <c r="H44" s="703"/>
      <c r="I44" s="703"/>
      <c r="J44" s="703"/>
      <c r="K44" s="703"/>
      <c r="L44" s="703"/>
      <c r="M44" s="703"/>
      <c r="N44" s="703"/>
      <c r="O44" s="703"/>
    </row>
    <row r="45" spans="1:19" ht="15" x14ac:dyDescent="0.25">
      <c r="A45" s="700" t="s">
        <v>224</v>
      </c>
      <c r="B45" s="701" t="s">
        <v>225</v>
      </c>
      <c r="F45" s="10"/>
      <c r="G45" s="10"/>
      <c r="H45" s="703"/>
      <c r="I45" s="703"/>
      <c r="J45" s="703"/>
      <c r="K45" s="703"/>
      <c r="L45" s="703"/>
      <c r="M45" s="703"/>
      <c r="N45" s="703"/>
      <c r="O45" s="703"/>
    </row>
    <row r="46" spans="1:19" ht="15" x14ac:dyDescent="0.25">
      <c r="A46" s="697">
        <v>5295400000</v>
      </c>
      <c r="B46" s="701" t="s">
        <v>226</v>
      </c>
      <c r="F46" s="10"/>
      <c r="G46" s="10"/>
      <c r="H46" s="703"/>
      <c r="I46" s="703"/>
      <c r="J46" s="703"/>
      <c r="K46" s="703"/>
      <c r="L46" s="703"/>
      <c r="M46" s="703"/>
      <c r="N46" s="703"/>
      <c r="O46" s="703"/>
    </row>
    <row r="47" spans="1:19" ht="15" x14ac:dyDescent="0.25">
      <c r="A47" s="697">
        <v>5235500000</v>
      </c>
      <c r="B47" s="701" t="s">
        <v>227</v>
      </c>
      <c r="F47" s="10"/>
      <c r="G47" s="703"/>
      <c r="H47" s="703"/>
      <c r="I47" s="703"/>
      <c r="J47" s="703"/>
      <c r="K47" s="703"/>
      <c r="L47" s="703"/>
      <c r="M47" s="703"/>
      <c r="N47" s="703"/>
      <c r="O47" s="703"/>
    </row>
    <row r="48" spans="1:19" ht="15" x14ac:dyDescent="0.25">
      <c r="A48" s="700" t="s">
        <v>228</v>
      </c>
      <c r="B48" s="701" t="s">
        <v>229</v>
      </c>
      <c r="F48" s="10"/>
      <c r="G48" s="703"/>
      <c r="H48" s="703"/>
      <c r="I48" s="703"/>
      <c r="J48" s="703"/>
      <c r="K48" s="703"/>
      <c r="L48" s="703"/>
      <c r="M48" s="703"/>
      <c r="N48" s="703"/>
      <c r="O48" s="703"/>
    </row>
    <row r="49" spans="1:15" ht="15" x14ac:dyDescent="0.25">
      <c r="A49" s="700" t="s">
        <v>230</v>
      </c>
      <c r="B49" s="701" t="s">
        <v>231</v>
      </c>
      <c r="F49" s="10"/>
      <c r="G49" s="703"/>
      <c r="H49" s="703"/>
      <c r="I49" s="703"/>
      <c r="J49" s="703"/>
      <c r="K49" s="703"/>
      <c r="L49" s="703"/>
      <c r="M49" s="703"/>
      <c r="N49" s="703"/>
      <c r="O49" s="703"/>
    </row>
    <row r="50" spans="1:15" ht="15" x14ac:dyDescent="0.25">
      <c r="A50" s="700" t="s">
        <v>232</v>
      </c>
      <c r="B50" s="701" t="s">
        <v>233</v>
      </c>
      <c r="F50" s="10"/>
      <c r="G50" s="703"/>
      <c r="H50" s="703"/>
      <c r="I50" s="703"/>
      <c r="J50" s="703"/>
      <c r="K50" s="703"/>
      <c r="L50" s="703"/>
      <c r="M50" s="703"/>
      <c r="N50" s="703"/>
      <c r="O50" s="703"/>
    </row>
    <row r="51" spans="1:15" ht="15" x14ac:dyDescent="0.25">
      <c r="A51" s="704">
        <v>5295950300</v>
      </c>
      <c r="B51" s="701" t="s">
        <v>234</v>
      </c>
      <c r="F51" s="10"/>
      <c r="G51" s="703"/>
      <c r="H51" s="703"/>
      <c r="I51" s="703"/>
      <c r="J51" s="703"/>
      <c r="K51" s="703"/>
      <c r="L51" s="703"/>
      <c r="M51" s="703"/>
      <c r="N51" s="703"/>
      <c r="O51" s="703"/>
    </row>
    <row r="52" spans="1:15" ht="15" x14ac:dyDescent="0.25">
      <c r="A52" s="700" t="s">
        <v>235</v>
      </c>
      <c r="B52" s="701" t="s">
        <v>236</v>
      </c>
      <c r="F52" s="10"/>
      <c r="G52" s="703"/>
      <c r="H52" s="703"/>
      <c r="I52" s="703"/>
      <c r="J52" s="703"/>
      <c r="K52" s="703"/>
      <c r="L52" s="703"/>
      <c r="M52" s="703"/>
      <c r="N52" s="703"/>
      <c r="O52" s="703"/>
    </row>
    <row r="53" spans="1:15" ht="15" x14ac:dyDescent="0.25">
      <c r="A53" s="697">
        <v>5240200100</v>
      </c>
      <c r="B53" s="701" t="s">
        <v>237</v>
      </c>
      <c r="F53" s="10"/>
      <c r="G53" s="703"/>
      <c r="H53" s="703"/>
      <c r="I53" s="703"/>
      <c r="J53" s="703"/>
      <c r="K53" s="703"/>
      <c r="L53" s="703"/>
      <c r="M53" s="703"/>
      <c r="N53" s="703"/>
      <c r="O53" s="703"/>
    </row>
    <row r="54" spans="1:15" ht="15" x14ac:dyDescent="0.25">
      <c r="A54" s="697">
        <v>5235150000</v>
      </c>
      <c r="B54" s="701" t="s">
        <v>238</v>
      </c>
      <c r="F54" s="10"/>
      <c r="G54" s="703"/>
      <c r="H54" s="703"/>
      <c r="I54" s="703"/>
      <c r="J54" s="703"/>
      <c r="K54" s="703"/>
      <c r="L54" s="703"/>
      <c r="M54" s="703"/>
      <c r="N54" s="703"/>
      <c r="O54" s="703"/>
    </row>
    <row r="55" spans="1:15" ht="15" x14ac:dyDescent="0.25">
      <c r="A55" s="697">
        <v>5235100000</v>
      </c>
      <c r="B55" s="701" t="s">
        <v>239</v>
      </c>
      <c r="F55" s="10"/>
      <c r="G55" s="703"/>
      <c r="H55" s="703"/>
      <c r="I55" s="703"/>
      <c r="J55" s="703"/>
      <c r="K55" s="703"/>
      <c r="L55" s="703"/>
      <c r="M55" s="703"/>
      <c r="N55" s="703"/>
      <c r="O55" s="703"/>
    </row>
    <row r="56" spans="1:15" ht="15" x14ac:dyDescent="0.25">
      <c r="A56" s="700" t="s">
        <v>240</v>
      </c>
      <c r="B56" s="701" t="s">
        <v>241</v>
      </c>
      <c r="F56" s="10"/>
      <c r="G56" s="703"/>
      <c r="H56" s="703"/>
      <c r="I56" s="703"/>
      <c r="J56" s="703"/>
      <c r="K56" s="703"/>
      <c r="L56" s="703"/>
      <c r="M56" s="703"/>
      <c r="N56" s="703"/>
      <c r="O56" s="703"/>
    </row>
    <row r="57" spans="1:15" ht="15" x14ac:dyDescent="0.25">
      <c r="A57" s="697">
        <v>5299100000</v>
      </c>
      <c r="B57" s="701" t="s">
        <v>242</v>
      </c>
      <c r="F57" s="10"/>
      <c r="G57" s="703"/>
      <c r="H57" s="703"/>
    </row>
    <row r="58" spans="1:15" ht="15" x14ac:dyDescent="0.25">
      <c r="A58" s="705" t="s">
        <v>243</v>
      </c>
      <c r="B58" s="706" t="s">
        <v>244</v>
      </c>
      <c r="F58" s="10"/>
      <c r="G58" s="703"/>
      <c r="H58" s="703"/>
    </row>
    <row r="59" spans="1:15" ht="15" x14ac:dyDescent="0.25">
      <c r="A59" s="707"/>
      <c r="B59" s="706" t="s">
        <v>245</v>
      </c>
      <c r="C59" s="696">
        <f>+'COLOMB$ '!B4</f>
        <v>202204</v>
      </c>
      <c r="F59" s="10"/>
      <c r="G59" s="703"/>
      <c r="H59" s="703"/>
    </row>
    <row r="60" spans="1:15" ht="15" x14ac:dyDescent="0.25">
      <c r="A60" s="700" t="s">
        <v>246</v>
      </c>
      <c r="B60" s="701" t="s">
        <v>247</v>
      </c>
      <c r="C60" s="708"/>
      <c r="D60" s="708"/>
      <c r="E60" s="709"/>
    </row>
    <row r="61" spans="1:15" ht="15" x14ac:dyDescent="0.25">
      <c r="A61" s="702" t="s">
        <v>248</v>
      </c>
      <c r="B61" s="701" t="s">
        <v>249</v>
      </c>
      <c r="C61" s="708"/>
      <c r="D61" s="708"/>
      <c r="E61" s="709"/>
    </row>
    <row r="62" spans="1:15" ht="15" x14ac:dyDescent="0.25">
      <c r="A62" s="700" t="s">
        <v>250</v>
      </c>
      <c r="B62" s="701" t="s">
        <v>251</v>
      </c>
      <c r="C62" s="708"/>
      <c r="D62" s="708"/>
      <c r="E62" s="709"/>
    </row>
    <row r="63" spans="1:15" ht="15" x14ac:dyDescent="0.25">
      <c r="A63" s="700" t="s">
        <v>252</v>
      </c>
      <c r="B63" s="701" t="s">
        <v>253</v>
      </c>
      <c r="C63" s="708"/>
      <c r="D63" s="708"/>
      <c r="E63" s="709"/>
    </row>
    <row r="64" spans="1:15" ht="15" x14ac:dyDescent="0.25">
      <c r="A64" s="700" t="s">
        <v>254</v>
      </c>
      <c r="B64" s="701" t="s">
        <v>255</v>
      </c>
      <c r="C64" s="708"/>
      <c r="D64" s="708"/>
      <c r="E64" s="709"/>
    </row>
    <row r="65" spans="1:5" ht="15" x14ac:dyDescent="0.25">
      <c r="A65" s="700" t="s">
        <v>256</v>
      </c>
      <c r="B65" s="701" t="s">
        <v>257</v>
      </c>
      <c r="C65" s="708"/>
      <c r="D65" s="708"/>
      <c r="E65" s="709"/>
    </row>
    <row r="66" spans="1:5" ht="15" x14ac:dyDescent="0.25">
      <c r="A66" s="700" t="s">
        <v>258</v>
      </c>
      <c r="B66" s="701" t="s">
        <v>259</v>
      </c>
      <c r="C66" s="708"/>
      <c r="D66" s="708"/>
      <c r="E66" s="709"/>
    </row>
    <row r="67" spans="1:5" ht="15" x14ac:dyDescent="0.25">
      <c r="A67" s="700" t="s">
        <v>260</v>
      </c>
      <c r="B67" s="701" t="s">
        <v>261</v>
      </c>
      <c r="C67" s="708"/>
      <c r="D67" s="708"/>
      <c r="E67" s="709"/>
    </row>
    <row r="68" spans="1:5" ht="15" x14ac:dyDescent="0.25">
      <c r="A68" s="697">
        <v>5265100000</v>
      </c>
      <c r="B68" s="701" t="s">
        <v>262</v>
      </c>
      <c r="C68" s="708"/>
      <c r="D68" s="708"/>
      <c r="E68" s="709"/>
    </row>
    <row r="69" spans="1:5" ht="15" x14ac:dyDescent="0.25">
      <c r="A69" s="700" t="s">
        <v>263</v>
      </c>
      <c r="B69" s="701" t="s">
        <v>264</v>
      </c>
      <c r="C69" s="708"/>
      <c r="D69" s="708"/>
      <c r="E69" s="709"/>
    </row>
    <row r="70" spans="1:5" ht="15" x14ac:dyDescent="0.25">
      <c r="A70" s="700" t="s">
        <v>265</v>
      </c>
      <c r="B70" s="701" t="s">
        <v>266</v>
      </c>
      <c r="C70" s="708"/>
      <c r="D70" s="708"/>
      <c r="E70" s="709"/>
    </row>
    <row r="71" spans="1:5" ht="15" x14ac:dyDescent="0.25">
      <c r="A71" s="700" t="s">
        <v>267</v>
      </c>
      <c r="B71" s="701" t="s">
        <v>268</v>
      </c>
      <c r="C71" s="708"/>
      <c r="D71" s="708"/>
      <c r="E71" s="709"/>
    </row>
    <row r="72" spans="1:5" ht="15" x14ac:dyDescent="0.25">
      <c r="A72" s="700" t="s">
        <v>269</v>
      </c>
      <c r="B72" s="701" t="s">
        <v>270</v>
      </c>
      <c r="C72" s="708"/>
      <c r="D72" s="708"/>
      <c r="E72" s="709"/>
    </row>
    <row r="73" spans="1:5" ht="15" x14ac:dyDescent="0.25">
      <c r="A73" s="697" t="s">
        <v>271</v>
      </c>
      <c r="B73" s="701" t="s">
        <v>272</v>
      </c>
      <c r="C73" s="708"/>
      <c r="D73" s="708"/>
      <c r="E73" s="709"/>
    </row>
    <row r="74" spans="1:5" ht="15" x14ac:dyDescent="0.25">
      <c r="A74" s="700" t="s">
        <v>273</v>
      </c>
      <c r="B74" s="701" t="s">
        <v>274</v>
      </c>
      <c r="C74" s="708"/>
      <c r="D74" s="708"/>
      <c r="E74" s="709"/>
    </row>
    <row r="75" spans="1:5" ht="15" x14ac:dyDescent="0.25">
      <c r="A75" s="697">
        <v>5265150000</v>
      </c>
      <c r="B75" s="701" t="s">
        <v>275</v>
      </c>
      <c r="C75" s="708"/>
      <c r="D75" s="708"/>
      <c r="E75" s="709"/>
    </row>
    <row r="76" spans="1:5" ht="15" x14ac:dyDescent="0.25">
      <c r="A76" s="700" t="s">
        <v>276</v>
      </c>
      <c r="B76" s="701" t="s">
        <v>277</v>
      </c>
      <c r="C76" s="708"/>
      <c r="D76" s="708"/>
      <c r="E76" s="709"/>
    </row>
    <row r="77" spans="1:5" ht="15" x14ac:dyDescent="0.25">
      <c r="A77" s="700" t="s">
        <v>278</v>
      </c>
      <c r="B77" s="701" t="s">
        <v>279</v>
      </c>
      <c r="C77" s="708"/>
      <c r="D77" s="708"/>
      <c r="E77" s="709"/>
    </row>
    <row r="78" spans="1:5" ht="15" x14ac:dyDescent="0.25">
      <c r="A78" s="700" t="s">
        <v>280</v>
      </c>
      <c r="B78" s="701" t="s">
        <v>281</v>
      </c>
      <c r="C78" s="708"/>
      <c r="D78" s="708"/>
      <c r="E78" s="709"/>
    </row>
    <row r="79" spans="1:5" ht="15" x14ac:dyDescent="0.25">
      <c r="A79" s="700" t="s">
        <v>282</v>
      </c>
      <c r="B79" s="701" t="s">
        <v>283</v>
      </c>
      <c r="C79" s="708"/>
      <c r="D79" s="708"/>
      <c r="E79" s="709"/>
    </row>
    <row r="80" spans="1:5" ht="15" x14ac:dyDescent="0.25">
      <c r="A80" s="700" t="s">
        <v>284</v>
      </c>
      <c r="B80" s="701" t="s">
        <v>285</v>
      </c>
      <c r="C80" s="708"/>
      <c r="D80" s="708"/>
      <c r="E80" s="709"/>
    </row>
    <row r="81" spans="1:5" ht="15" x14ac:dyDescent="0.25">
      <c r="A81" s="700" t="s">
        <v>286</v>
      </c>
      <c r="B81" s="701" t="s">
        <v>287</v>
      </c>
      <c r="C81" s="708"/>
      <c r="D81" s="708"/>
      <c r="E81" s="709"/>
    </row>
    <row r="82" spans="1:5" ht="15" x14ac:dyDescent="0.25">
      <c r="A82" s="697" t="s">
        <v>288</v>
      </c>
      <c r="B82" s="701" t="s">
        <v>289</v>
      </c>
      <c r="C82" s="708"/>
      <c r="D82" s="708"/>
      <c r="E82" s="709"/>
    </row>
    <row r="83" spans="1:5" ht="15" x14ac:dyDescent="0.25">
      <c r="A83" s="700" t="s">
        <v>290</v>
      </c>
      <c r="B83" s="701" t="s">
        <v>291</v>
      </c>
      <c r="C83" s="708"/>
      <c r="D83" s="708"/>
      <c r="E83" s="709"/>
    </row>
    <row r="84" spans="1:5" ht="15" x14ac:dyDescent="0.25">
      <c r="A84" s="700" t="s">
        <v>292</v>
      </c>
      <c r="B84" s="701" t="s">
        <v>293</v>
      </c>
      <c r="C84" s="708"/>
      <c r="D84" s="708"/>
      <c r="E84" s="709"/>
    </row>
    <row r="85" spans="1:5" ht="15" x14ac:dyDescent="0.25">
      <c r="A85" s="700" t="s">
        <v>294</v>
      </c>
      <c r="B85" s="701" t="s">
        <v>295</v>
      </c>
      <c r="C85" s="708"/>
      <c r="D85" s="708"/>
      <c r="E85" s="709"/>
    </row>
    <row r="86" spans="1:5" ht="15" x14ac:dyDescent="0.25">
      <c r="A86" s="710" t="s">
        <v>296</v>
      </c>
      <c r="B86" s="701" t="s">
        <v>297</v>
      </c>
      <c r="C86" s="708"/>
      <c r="D86" s="708"/>
      <c r="E86" s="709"/>
    </row>
    <row r="87" spans="1:5" ht="15" x14ac:dyDescent="0.25">
      <c r="A87" s="700" t="s">
        <v>298</v>
      </c>
      <c r="B87" s="701" t="s">
        <v>299</v>
      </c>
      <c r="C87" s="708"/>
      <c r="D87" s="708"/>
      <c r="E87" s="709"/>
    </row>
    <row r="88" spans="1:5" x14ac:dyDescent="0.2">
      <c r="A88" s="707"/>
      <c r="B88" s="706" t="s">
        <v>300</v>
      </c>
      <c r="C88" s="709"/>
      <c r="D88" s="711"/>
      <c r="E88" s="712"/>
    </row>
    <row r="89" spans="1:5" ht="15" x14ac:dyDescent="0.25">
      <c r="A89" s="700" t="s">
        <v>301</v>
      </c>
      <c r="B89" s="701" t="s">
        <v>302</v>
      </c>
    </row>
    <row r="90" spans="1:5" ht="15" x14ac:dyDescent="0.25">
      <c r="A90" s="697">
        <v>5105180100</v>
      </c>
      <c r="B90" s="701" t="s">
        <v>303</v>
      </c>
    </row>
    <row r="91" spans="1:5" ht="15" x14ac:dyDescent="0.25">
      <c r="A91" s="702" t="s">
        <v>304</v>
      </c>
      <c r="B91" s="701" t="s">
        <v>305</v>
      </c>
    </row>
    <row r="92" spans="1:5" ht="15" x14ac:dyDescent="0.25">
      <c r="A92" s="697">
        <v>5105480100</v>
      </c>
      <c r="B92" s="701" t="s">
        <v>306</v>
      </c>
    </row>
    <row r="93" spans="1:5" ht="15" x14ac:dyDescent="0.25">
      <c r="A93" s="700" t="s">
        <v>307</v>
      </c>
      <c r="B93" s="701" t="s">
        <v>308</v>
      </c>
    </row>
    <row r="94" spans="1:5" ht="15" x14ac:dyDescent="0.25">
      <c r="A94" s="700" t="s">
        <v>309</v>
      </c>
      <c r="B94" s="701" t="s">
        <v>310</v>
      </c>
    </row>
    <row r="95" spans="1:5" x14ac:dyDescent="0.2">
      <c r="A95" s="707"/>
      <c r="B95" s="706" t="s">
        <v>311</v>
      </c>
    </row>
    <row r="96" spans="1:5" ht="15" x14ac:dyDescent="0.25">
      <c r="A96" s="697">
        <v>5105180000</v>
      </c>
      <c r="B96" s="701" t="s">
        <v>312</v>
      </c>
      <c r="C96" s="708"/>
      <c r="E96" s="709"/>
    </row>
    <row r="97" spans="1:5" ht="15" x14ac:dyDescent="0.25">
      <c r="A97" s="700" t="s">
        <v>313</v>
      </c>
      <c r="B97" s="701" t="s">
        <v>314</v>
      </c>
      <c r="C97" s="708"/>
      <c r="E97" s="709"/>
    </row>
    <row r="98" spans="1:5" ht="15" x14ac:dyDescent="0.25">
      <c r="A98" s="700" t="s">
        <v>315</v>
      </c>
      <c r="B98" s="701" t="s">
        <v>316</v>
      </c>
      <c r="C98" s="708"/>
      <c r="E98" s="709"/>
    </row>
    <row r="99" spans="1:5" ht="15" x14ac:dyDescent="0.25">
      <c r="A99" s="700" t="s">
        <v>317</v>
      </c>
      <c r="B99" s="701" t="s">
        <v>318</v>
      </c>
      <c r="C99" s="708"/>
      <c r="E99" s="709"/>
    </row>
    <row r="100" spans="1:5" ht="15" x14ac:dyDescent="0.25">
      <c r="A100" s="697" t="s">
        <v>319</v>
      </c>
      <c r="B100" s="701" t="s">
        <v>320</v>
      </c>
      <c r="C100" s="708"/>
      <c r="E100" s="709"/>
    </row>
    <row r="101" spans="1:5" ht="15" x14ac:dyDescent="0.25">
      <c r="A101" s="700" t="s">
        <v>321</v>
      </c>
      <c r="B101" s="701" t="s">
        <v>322</v>
      </c>
      <c r="C101" s="708"/>
      <c r="E101" s="709"/>
    </row>
    <row r="102" spans="1:5" ht="15" x14ac:dyDescent="0.25">
      <c r="A102" s="700" t="s">
        <v>323</v>
      </c>
      <c r="B102" s="701" t="s">
        <v>324</v>
      </c>
      <c r="C102" s="708"/>
      <c r="E102" s="709"/>
    </row>
    <row r="103" spans="1:5" ht="15" x14ac:dyDescent="0.25">
      <c r="A103" s="697" t="s">
        <v>325</v>
      </c>
      <c r="B103" s="701" t="s">
        <v>326</v>
      </c>
      <c r="C103" s="708"/>
      <c r="E103" s="709"/>
    </row>
    <row r="104" spans="1:5" ht="15" x14ac:dyDescent="0.25">
      <c r="A104" s="697" t="s">
        <v>327</v>
      </c>
      <c r="B104" s="701" t="s">
        <v>328</v>
      </c>
      <c r="C104" s="708"/>
      <c r="E104" s="709"/>
    </row>
    <row r="105" spans="1:5" ht="15" x14ac:dyDescent="0.25">
      <c r="A105" s="697">
        <v>5120100000</v>
      </c>
      <c r="B105" s="701" t="s">
        <v>329</v>
      </c>
      <c r="C105" s="708"/>
      <c r="E105" s="709"/>
    </row>
    <row r="106" spans="1:5" ht="15" x14ac:dyDescent="0.25">
      <c r="A106" s="700" t="s">
        <v>330</v>
      </c>
      <c r="B106" s="701" t="s">
        <v>331</v>
      </c>
      <c r="C106" s="708"/>
      <c r="E106" s="709"/>
    </row>
    <row r="107" spans="1:5" ht="15" x14ac:dyDescent="0.25">
      <c r="A107" s="700" t="s">
        <v>332</v>
      </c>
      <c r="B107" s="701" t="s">
        <v>333</v>
      </c>
      <c r="C107" s="708"/>
      <c r="E107" s="709"/>
    </row>
    <row r="108" spans="1:5" ht="15" x14ac:dyDescent="0.25">
      <c r="A108" s="700" t="s">
        <v>334</v>
      </c>
      <c r="B108" s="701" t="s">
        <v>335</v>
      </c>
      <c r="C108" s="708"/>
      <c r="E108" s="709"/>
    </row>
    <row r="109" spans="1:5" ht="15" x14ac:dyDescent="0.25">
      <c r="A109" s="700" t="s">
        <v>336</v>
      </c>
      <c r="B109" s="701" t="s">
        <v>337</v>
      </c>
      <c r="C109" s="708"/>
      <c r="E109" s="709"/>
    </row>
    <row r="110" spans="1:5" ht="15" x14ac:dyDescent="0.25">
      <c r="A110" s="700" t="s">
        <v>338</v>
      </c>
      <c r="B110" s="701" t="s">
        <v>339</v>
      </c>
      <c r="C110" s="708"/>
      <c r="E110" s="709"/>
    </row>
    <row r="111" spans="1:5" ht="15" x14ac:dyDescent="0.25">
      <c r="A111" s="700" t="s">
        <v>340</v>
      </c>
      <c r="B111" s="701" t="s">
        <v>341</v>
      </c>
      <c r="C111" s="708"/>
      <c r="E111" s="709"/>
    </row>
    <row r="112" spans="1:5" ht="15" x14ac:dyDescent="0.25">
      <c r="A112" s="700" t="s">
        <v>342</v>
      </c>
      <c r="B112" s="701" t="s">
        <v>343</v>
      </c>
      <c r="C112" s="708"/>
      <c r="E112" s="709"/>
    </row>
    <row r="113" spans="1:11" ht="15" x14ac:dyDescent="0.25">
      <c r="A113" s="700" t="s">
        <v>344</v>
      </c>
      <c r="B113" s="701" t="s">
        <v>345</v>
      </c>
      <c r="C113" s="708"/>
      <c r="E113" s="709"/>
    </row>
    <row r="114" spans="1:11" ht="15" x14ac:dyDescent="0.25">
      <c r="A114" s="700" t="s">
        <v>346</v>
      </c>
      <c r="B114" s="701" t="s">
        <v>347</v>
      </c>
      <c r="C114" s="708"/>
      <c r="E114" s="709"/>
    </row>
    <row r="115" spans="1:11" ht="15" x14ac:dyDescent="0.25">
      <c r="A115" s="700" t="s">
        <v>348</v>
      </c>
      <c r="B115" s="701" t="s">
        <v>349</v>
      </c>
      <c r="C115" s="708"/>
      <c r="E115" s="709"/>
    </row>
    <row r="116" spans="1:11" ht="15" x14ac:dyDescent="0.25">
      <c r="A116" s="697" t="s">
        <v>350</v>
      </c>
      <c r="B116" s="701" t="s">
        <v>351</v>
      </c>
      <c r="C116" s="708"/>
      <c r="E116" s="709"/>
    </row>
    <row r="117" spans="1:11" ht="15" x14ac:dyDescent="0.25">
      <c r="A117" s="700" t="s">
        <v>352</v>
      </c>
      <c r="B117" s="701" t="s">
        <v>353</v>
      </c>
      <c r="C117" s="708"/>
      <c r="E117" s="709"/>
    </row>
    <row r="118" spans="1:11" ht="15" x14ac:dyDescent="0.25">
      <c r="A118" s="700" t="s">
        <v>354</v>
      </c>
      <c r="B118" s="701" t="s">
        <v>355</v>
      </c>
      <c r="C118" s="708"/>
      <c r="E118" s="709"/>
    </row>
    <row r="119" spans="1:11" ht="15" x14ac:dyDescent="0.25">
      <c r="A119" s="700" t="s">
        <v>356</v>
      </c>
      <c r="B119" s="701" t="s">
        <v>357</v>
      </c>
      <c r="C119" s="708"/>
      <c r="E119" s="709"/>
    </row>
    <row r="120" spans="1:11" ht="15" x14ac:dyDescent="0.25">
      <c r="A120" s="700" t="s">
        <v>358</v>
      </c>
      <c r="B120" s="701" t="s">
        <v>359</v>
      </c>
      <c r="C120" s="708"/>
      <c r="E120" s="709"/>
    </row>
    <row r="121" spans="1:11" ht="15" x14ac:dyDescent="0.25">
      <c r="A121" s="697" t="s">
        <v>360</v>
      </c>
      <c r="B121" s="701" t="s">
        <v>361</v>
      </c>
      <c r="C121" s="708"/>
      <c r="E121" s="709"/>
    </row>
    <row r="122" spans="1:11" ht="15" x14ac:dyDescent="0.25">
      <c r="A122" s="700" t="s">
        <v>362</v>
      </c>
      <c r="B122" s="701" t="s">
        <v>363</v>
      </c>
      <c r="C122" s="708"/>
      <c r="E122" s="709"/>
    </row>
    <row r="123" spans="1:11" ht="15" x14ac:dyDescent="0.25">
      <c r="A123" s="700" t="s">
        <v>364</v>
      </c>
      <c r="B123" s="701" t="s">
        <v>365</v>
      </c>
      <c r="C123" s="708"/>
      <c r="E123" s="709"/>
    </row>
    <row r="124" spans="1:11" ht="15" x14ac:dyDescent="0.25">
      <c r="A124" s="700" t="s">
        <v>366</v>
      </c>
      <c r="B124" s="701" t="s">
        <v>367</v>
      </c>
      <c r="C124" s="708"/>
      <c r="E124" s="709"/>
    </row>
    <row r="125" spans="1:11" ht="15" x14ac:dyDescent="0.25">
      <c r="A125" s="700" t="s">
        <v>368</v>
      </c>
      <c r="B125" s="701" t="s">
        <v>369</v>
      </c>
      <c r="C125" s="708"/>
      <c r="E125" s="709"/>
    </row>
    <row r="126" spans="1:11" ht="15" x14ac:dyDescent="0.25">
      <c r="A126" s="700" t="s">
        <v>370</v>
      </c>
      <c r="B126" s="701" t="s">
        <v>371</v>
      </c>
      <c r="C126" s="708"/>
      <c r="E126" s="10" t="s">
        <v>372</v>
      </c>
      <c r="F126" s="10"/>
      <c r="G126" s="10"/>
      <c r="H126" s="10"/>
      <c r="I126" s="10"/>
      <c r="J126" s="10"/>
      <c r="K126" s="10"/>
    </row>
    <row r="127" spans="1:11" ht="15" x14ac:dyDescent="0.25">
      <c r="A127" s="707"/>
      <c r="B127" s="706" t="s">
        <v>373</v>
      </c>
      <c r="C127" s="709"/>
      <c r="D127" s="709"/>
      <c r="E127" s="10" t="s">
        <v>374</v>
      </c>
      <c r="F127" s="10" t="s">
        <v>375</v>
      </c>
      <c r="G127" s="10" t="s">
        <v>376</v>
      </c>
      <c r="H127" s="10"/>
      <c r="I127" s="10"/>
      <c r="J127" s="10"/>
      <c r="K127" s="10"/>
    </row>
    <row r="128" spans="1:11" ht="15" x14ac:dyDescent="0.25">
      <c r="A128" s="707" t="s">
        <v>377</v>
      </c>
      <c r="B128" s="701" t="s">
        <v>378</v>
      </c>
      <c r="E128" s="10" t="s">
        <v>379</v>
      </c>
      <c r="F128" s="10" t="s">
        <v>380</v>
      </c>
      <c r="G128" s="713">
        <v>-2083333</v>
      </c>
      <c r="H128" s="10"/>
      <c r="I128" s="10"/>
      <c r="J128" s="10"/>
      <c r="K128" s="10"/>
    </row>
    <row r="129" spans="1:11" ht="15" x14ac:dyDescent="0.25">
      <c r="A129" s="707" t="s">
        <v>381</v>
      </c>
      <c r="B129" s="701" t="s">
        <v>382</v>
      </c>
      <c r="E129" s="10" t="s">
        <v>383</v>
      </c>
      <c r="F129" s="10"/>
      <c r="G129" s="713">
        <v>-2083333</v>
      </c>
      <c r="H129" s="10"/>
      <c r="I129" s="10"/>
      <c r="J129" s="10"/>
      <c r="K129" s="10"/>
    </row>
    <row r="130" spans="1:11" ht="15" x14ac:dyDescent="0.25">
      <c r="A130" s="714">
        <v>5110358000</v>
      </c>
      <c r="B130" s="701" t="s">
        <v>384</v>
      </c>
      <c r="E130" s="10"/>
      <c r="F130" s="10"/>
      <c r="G130" s="10"/>
      <c r="H130" s="10"/>
      <c r="I130" s="10"/>
      <c r="J130" s="10"/>
      <c r="K130" s="10"/>
    </row>
    <row r="131" spans="1:11" ht="15" x14ac:dyDescent="0.25">
      <c r="A131" s="707"/>
      <c r="B131" s="706" t="s">
        <v>385</v>
      </c>
      <c r="E131" s="10"/>
      <c r="F131" s="10"/>
      <c r="G131" s="10"/>
      <c r="H131" s="10"/>
      <c r="I131" s="10"/>
      <c r="J131" s="10"/>
      <c r="K131" s="10"/>
    </row>
    <row r="132" spans="1:11" ht="15" x14ac:dyDescent="0.25">
      <c r="A132" s="707" t="s">
        <v>386</v>
      </c>
      <c r="B132" s="701" t="s">
        <v>387</v>
      </c>
      <c r="E132" s="10"/>
      <c r="F132" s="10"/>
      <c r="G132" s="10"/>
      <c r="H132" s="10"/>
      <c r="I132" s="10"/>
      <c r="J132" s="10"/>
      <c r="K132" s="10"/>
    </row>
    <row r="133" spans="1:11" ht="15" x14ac:dyDescent="0.25">
      <c r="A133" s="707" t="s">
        <v>388</v>
      </c>
      <c r="B133" s="701" t="s">
        <v>389</v>
      </c>
      <c r="E133" s="10"/>
      <c r="F133" s="10"/>
      <c r="G133" s="10"/>
      <c r="H133" s="10"/>
      <c r="I133" s="10"/>
      <c r="J133" s="10"/>
      <c r="K133" s="10"/>
    </row>
    <row r="134" spans="1:11" ht="15" x14ac:dyDescent="0.25">
      <c r="A134" s="707" t="s">
        <v>390</v>
      </c>
      <c r="B134" s="701" t="s">
        <v>391</v>
      </c>
      <c r="E134" s="10"/>
      <c r="F134" s="10"/>
      <c r="G134" s="10"/>
      <c r="H134" s="10"/>
      <c r="I134" s="10"/>
      <c r="J134" s="10"/>
      <c r="K134" s="10"/>
    </row>
    <row r="135" spans="1:11" ht="15" x14ac:dyDescent="0.25">
      <c r="A135" s="707" t="s">
        <v>392</v>
      </c>
      <c r="B135" s="701" t="s">
        <v>393</v>
      </c>
      <c r="E135" s="10"/>
      <c r="F135" s="10"/>
      <c r="G135" s="10"/>
      <c r="H135" s="10"/>
      <c r="I135" s="10"/>
      <c r="J135" s="10"/>
      <c r="K135" s="10"/>
    </row>
    <row r="136" spans="1:11" ht="15" x14ac:dyDescent="0.25">
      <c r="E136" s="10"/>
      <c r="F136" s="10"/>
      <c r="G136" s="10"/>
      <c r="H136" s="10"/>
      <c r="I136" s="10"/>
      <c r="J136" s="10"/>
      <c r="K136" s="10"/>
    </row>
    <row r="137" spans="1:11" ht="15" x14ac:dyDescent="0.25">
      <c r="A137" s="707"/>
      <c r="B137" s="706" t="s">
        <v>394</v>
      </c>
      <c r="E137" s="10"/>
      <c r="F137" s="10"/>
      <c r="G137" s="10"/>
      <c r="H137" s="10"/>
      <c r="I137" s="10"/>
      <c r="J137" s="10"/>
      <c r="K137" s="10"/>
    </row>
    <row r="138" spans="1:11" ht="15" x14ac:dyDescent="0.25">
      <c r="A138" s="707" t="s">
        <v>395</v>
      </c>
      <c r="B138" s="701" t="s">
        <v>396</v>
      </c>
      <c r="E138" s="10"/>
      <c r="F138" s="10"/>
      <c r="G138" s="10"/>
      <c r="H138" s="10"/>
      <c r="I138" s="10"/>
      <c r="J138" s="10"/>
      <c r="K138" s="10"/>
    </row>
    <row r="139" spans="1:11" ht="15" x14ac:dyDescent="0.25">
      <c r="A139" s="707" t="s">
        <v>397</v>
      </c>
      <c r="B139" s="701" t="s">
        <v>398</v>
      </c>
      <c r="E139" s="10"/>
      <c r="F139" s="10"/>
      <c r="G139" s="10"/>
      <c r="H139" s="10"/>
      <c r="I139" s="10"/>
      <c r="J139" s="10"/>
      <c r="K139" s="10"/>
    </row>
    <row r="140" spans="1:11" ht="15" x14ac:dyDescent="0.25">
      <c r="A140" s="707" t="s">
        <v>399</v>
      </c>
      <c r="B140" s="701" t="s">
        <v>400</v>
      </c>
      <c r="E140" s="10"/>
      <c r="F140" s="10"/>
      <c r="G140" s="10"/>
      <c r="H140" s="10"/>
      <c r="I140" s="10"/>
      <c r="J140" s="10"/>
      <c r="K140" s="10"/>
    </row>
    <row r="141" spans="1:11" ht="15" x14ac:dyDescent="0.25">
      <c r="A141" s="715" t="s">
        <v>401</v>
      </c>
      <c r="B141" s="701" t="s">
        <v>402</v>
      </c>
      <c r="E141" s="10"/>
      <c r="F141" s="10"/>
      <c r="G141" s="10"/>
    </row>
    <row r="142" spans="1:11" ht="15" x14ac:dyDescent="0.25">
      <c r="A142" s="715"/>
      <c r="B142" s="706" t="s">
        <v>403</v>
      </c>
      <c r="E142" s="10"/>
      <c r="F142" s="10"/>
      <c r="G142" s="10"/>
    </row>
    <row r="143" spans="1:11" ht="15" x14ac:dyDescent="0.25">
      <c r="A143" s="707" t="s">
        <v>404</v>
      </c>
      <c r="B143" s="701" t="s">
        <v>405</v>
      </c>
      <c r="E143" s="10"/>
      <c r="F143" s="10"/>
      <c r="G143" s="10"/>
    </row>
    <row r="144" spans="1:11" ht="15" x14ac:dyDescent="0.25">
      <c r="A144" s="707"/>
      <c r="B144" s="706" t="s">
        <v>406</v>
      </c>
      <c r="E144" s="10"/>
      <c r="F144" s="10"/>
      <c r="G144" s="10"/>
    </row>
    <row r="145" spans="1:7" ht="15" x14ac:dyDescent="0.25">
      <c r="A145" s="707"/>
      <c r="B145" s="706" t="s">
        <v>407</v>
      </c>
      <c r="E145" s="10"/>
      <c r="F145" s="10"/>
      <c r="G145" s="10"/>
    </row>
    <row r="146" spans="1:7" ht="15" x14ac:dyDescent="0.25">
      <c r="A146" s="707"/>
      <c r="B146" s="706" t="s">
        <v>408</v>
      </c>
      <c r="E146" s="10"/>
      <c r="F146" s="10"/>
      <c r="G146" s="10"/>
    </row>
    <row r="147" spans="1:7" ht="15" x14ac:dyDescent="0.25">
      <c r="A147" s="707" t="s">
        <v>409</v>
      </c>
      <c r="B147" s="701" t="s">
        <v>410</v>
      </c>
      <c r="E147" s="10"/>
      <c r="F147" s="10"/>
      <c r="G147" s="10"/>
    </row>
    <row r="148" spans="1:7" ht="15" x14ac:dyDescent="0.25">
      <c r="E148" s="10"/>
      <c r="F148" s="10"/>
      <c r="G148" s="10"/>
    </row>
    <row r="149" spans="1:7" ht="15" x14ac:dyDescent="0.25">
      <c r="E149" s="10"/>
      <c r="F149" s="10"/>
      <c r="G149" s="10"/>
    </row>
    <row r="150" spans="1:7" x14ac:dyDescent="0.2">
      <c r="B150" s="696" t="s">
        <v>411</v>
      </c>
    </row>
    <row r="151" spans="1:7" x14ac:dyDescent="0.2">
      <c r="A151" s="707" t="s">
        <v>220</v>
      </c>
      <c r="B151" s="701" t="s">
        <v>221</v>
      </c>
    </row>
    <row r="152" spans="1:7" x14ac:dyDescent="0.2">
      <c r="A152" s="716" t="s">
        <v>222</v>
      </c>
      <c r="B152" s="701" t="s">
        <v>223</v>
      </c>
    </row>
    <row r="153" spans="1:7" x14ac:dyDescent="0.2">
      <c r="A153" s="707" t="s">
        <v>246</v>
      </c>
      <c r="B153" s="701" t="s">
        <v>247</v>
      </c>
    </row>
    <row r="154" spans="1:7" x14ac:dyDescent="0.2">
      <c r="A154" s="716" t="s">
        <v>248</v>
      </c>
      <c r="B154" s="701" t="s">
        <v>249</v>
      </c>
    </row>
    <row r="155" spans="1:7" x14ac:dyDescent="0.2">
      <c r="A155" s="707" t="s">
        <v>301</v>
      </c>
      <c r="B155" s="701" t="s">
        <v>302</v>
      </c>
    </row>
    <row r="156" spans="1:7" x14ac:dyDescent="0.2">
      <c r="A156" s="714">
        <v>5105180100</v>
      </c>
      <c r="B156" s="701" t="s">
        <v>303</v>
      </c>
    </row>
    <row r="157" spans="1:7" x14ac:dyDescent="0.2">
      <c r="A157" s="716" t="s">
        <v>304</v>
      </c>
      <c r="B157" s="701" t="s">
        <v>305</v>
      </c>
    </row>
    <row r="158" spans="1:7" x14ac:dyDescent="0.2">
      <c r="A158" s="714">
        <v>5105180000</v>
      </c>
      <c r="B158" s="701" t="s">
        <v>312</v>
      </c>
    </row>
    <row r="159" spans="1:7" x14ac:dyDescent="0.2">
      <c r="A159" s="707" t="s">
        <v>313</v>
      </c>
      <c r="B159" s="701" t="s">
        <v>314</v>
      </c>
    </row>
    <row r="160" spans="1:7" x14ac:dyDescent="0.2">
      <c r="A160" s="707" t="s">
        <v>315</v>
      </c>
      <c r="B160" s="701" t="s">
        <v>316</v>
      </c>
    </row>
    <row r="161" spans="1:5" x14ac:dyDescent="0.2">
      <c r="A161" s="707" t="s">
        <v>317</v>
      </c>
      <c r="B161" s="701" t="s">
        <v>318</v>
      </c>
    </row>
    <row r="164" spans="1:5" x14ac:dyDescent="0.2">
      <c r="B164" s="696" t="s">
        <v>412</v>
      </c>
    </row>
    <row r="165" spans="1:5" x14ac:dyDescent="0.2">
      <c r="A165" s="696" t="s">
        <v>228</v>
      </c>
      <c r="B165" s="696" t="s">
        <v>229</v>
      </c>
    </row>
    <row r="166" spans="1:5" x14ac:dyDescent="0.2">
      <c r="A166" s="696" t="s">
        <v>307</v>
      </c>
      <c r="B166" s="696" t="s">
        <v>308</v>
      </c>
    </row>
    <row r="167" spans="1:5" x14ac:dyDescent="0.2">
      <c r="A167" s="696" t="s">
        <v>309</v>
      </c>
      <c r="B167" s="696" t="s">
        <v>310</v>
      </c>
    </row>
    <row r="173" spans="1:5" ht="12.75" x14ac:dyDescent="0.2">
      <c r="A173" s="717" t="s">
        <v>140</v>
      </c>
    </row>
    <row r="174" spans="1:5" x14ac:dyDescent="0.2">
      <c r="A174" s="698" t="s">
        <v>413</v>
      </c>
      <c r="E174" s="696" t="s">
        <v>414</v>
      </c>
    </row>
    <row r="175" spans="1:5" x14ac:dyDescent="0.2">
      <c r="A175" s="696" t="s">
        <v>133</v>
      </c>
      <c r="B175" s="696" t="s">
        <v>415</v>
      </c>
    </row>
    <row r="176" spans="1:5" x14ac:dyDescent="0.2">
      <c r="A176" s="696">
        <v>4155950000</v>
      </c>
      <c r="B176" s="696" t="s">
        <v>416</v>
      </c>
    </row>
    <row r="177" spans="1:9" x14ac:dyDescent="0.2">
      <c r="A177" s="696">
        <v>4155950100</v>
      </c>
      <c r="B177" s="696" t="s">
        <v>417</v>
      </c>
    </row>
    <row r="178" spans="1:9" x14ac:dyDescent="0.2">
      <c r="A178" s="696">
        <v>4155951500</v>
      </c>
      <c r="B178" s="696" t="s">
        <v>418</v>
      </c>
    </row>
    <row r="179" spans="1:9" x14ac:dyDescent="0.2">
      <c r="A179" s="696">
        <v>4135950900</v>
      </c>
      <c r="B179" s="696" t="s">
        <v>419</v>
      </c>
    </row>
    <row r="180" spans="1:9" x14ac:dyDescent="0.2">
      <c r="A180" s="696">
        <v>4135950000</v>
      </c>
      <c r="B180" s="696" t="s">
        <v>420</v>
      </c>
      <c r="E180" s="696">
        <v>4135950000</v>
      </c>
    </row>
    <row r="181" spans="1:9" x14ac:dyDescent="0.2">
      <c r="A181" s="696">
        <v>4155950500</v>
      </c>
      <c r="B181" s="696" t="s">
        <v>420</v>
      </c>
    </row>
    <row r="182" spans="1:9" x14ac:dyDescent="0.2">
      <c r="A182" s="696">
        <v>4170250300</v>
      </c>
      <c r="B182" s="696" t="s">
        <v>420</v>
      </c>
    </row>
    <row r="183" spans="1:9" x14ac:dyDescent="0.2">
      <c r="A183" s="696" t="s">
        <v>135</v>
      </c>
      <c r="B183" s="696" t="s">
        <v>421</v>
      </c>
    </row>
    <row r="184" spans="1:9" x14ac:dyDescent="0.2">
      <c r="A184" s="696">
        <v>6135950000</v>
      </c>
      <c r="B184" s="696" t="s">
        <v>422</v>
      </c>
    </row>
    <row r="186" spans="1:9" x14ac:dyDescent="0.2">
      <c r="B186" s="696" t="s">
        <v>423</v>
      </c>
    </row>
    <row r="187" spans="1:9" ht="15" x14ac:dyDescent="0.25">
      <c r="A187" s="696">
        <v>5205180100</v>
      </c>
      <c r="B187" s="696" t="s">
        <v>424</v>
      </c>
      <c r="C187" s="10" t="s">
        <v>425</v>
      </c>
      <c r="D187" s="10"/>
      <c r="E187" s="10"/>
      <c r="F187" s="10"/>
      <c r="G187" s="703"/>
      <c r="H187" s="703"/>
      <c r="I187" s="703"/>
    </row>
    <row r="188" spans="1:9" ht="15" x14ac:dyDescent="0.25">
      <c r="A188" s="696">
        <v>5205361000</v>
      </c>
      <c r="B188" s="696" t="s">
        <v>426</v>
      </c>
      <c r="C188" s="10" t="s">
        <v>427</v>
      </c>
      <c r="D188" s="10" t="s">
        <v>376</v>
      </c>
      <c r="E188" s="10"/>
      <c r="F188" s="10"/>
      <c r="G188" s="703"/>
      <c r="H188" s="703"/>
      <c r="I188" s="703"/>
    </row>
    <row r="189" spans="1:9" ht="15" x14ac:dyDescent="0.25">
      <c r="A189" s="696">
        <v>5205391000</v>
      </c>
      <c r="B189" s="696" t="s">
        <v>426</v>
      </c>
      <c r="C189" s="10" t="s">
        <v>428</v>
      </c>
      <c r="D189" s="10">
        <v>4638.9799999999996</v>
      </c>
      <c r="E189" s="10"/>
      <c r="F189" s="10"/>
      <c r="G189" s="703"/>
      <c r="H189" s="703"/>
      <c r="I189" s="703"/>
    </row>
    <row r="190" spans="1:9" ht="15" x14ac:dyDescent="0.25">
      <c r="A190" s="696">
        <v>5205422000</v>
      </c>
      <c r="B190" s="696" t="s">
        <v>426</v>
      </c>
      <c r="C190" s="10" t="s">
        <v>429</v>
      </c>
      <c r="D190" s="10">
        <v>1230.26</v>
      </c>
      <c r="E190" s="10"/>
      <c r="F190" s="10"/>
      <c r="G190" s="703"/>
      <c r="H190" s="703"/>
      <c r="I190" s="703"/>
    </row>
    <row r="191" spans="1:9" ht="15" x14ac:dyDescent="0.25">
      <c r="A191" s="696">
        <v>5205691000</v>
      </c>
      <c r="B191" s="696" t="s">
        <v>426</v>
      </c>
      <c r="C191" s="10" t="s">
        <v>430</v>
      </c>
      <c r="D191" s="10">
        <v>307.56</v>
      </c>
      <c r="E191" s="10"/>
      <c r="F191" s="10"/>
      <c r="G191" s="703"/>
      <c r="H191" s="703"/>
      <c r="I191" s="703"/>
    </row>
    <row r="192" spans="1:9" ht="15" x14ac:dyDescent="0.25">
      <c r="A192" s="696">
        <v>5205701000</v>
      </c>
      <c r="B192" s="696" t="s">
        <v>426</v>
      </c>
      <c r="C192" s="10" t="s">
        <v>431</v>
      </c>
      <c r="D192" s="10">
        <v>896.8</v>
      </c>
      <c r="E192" s="10"/>
      <c r="F192" s="10"/>
      <c r="G192" s="703"/>
      <c r="H192" s="703"/>
      <c r="I192" s="703"/>
    </row>
    <row r="193" spans="1:9" ht="15" x14ac:dyDescent="0.25">
      <c r="A193" s="696">
        <v>5160200000</v>
      </c>
      <c r="B193" s="696" t="s">
        <v>432</v>
      </c>
      <c r="C193" s="10" t="s">
        <v>433</v>
      </c>
      <c r="D193" s="10">
        <v>604.20000000000005</v>
      </c>
      <c r="E193" s="10"/>
      <c r="F193" s="10"/>
      <c r="G193" s="703"/>
      <c r="H193" s="703"/>
      <c r="I193" s="703"/>
    </row>
    <row r="194" spans="1:9" ht="15" x14ac:dyDescent="0.25">
      <c r="A194" s="696">
        <v>5260100000</v>
      </c>
      <c r="B194" s="696" t="s">
        <v>432</v>
      </c>
      <c r="C194" s="10" t="s">
        <v>434</v>
      </c>
      <c r="D194" s="10">
        <v>27.16</v>
      </c>
      <c r="E194" s="10"/>
      <c r="F194" s="10"/>
      <c r="G194" s="703"/>
      <c r="H194" s="703"/>
      <c r="I194" s="703"/>
    </row>
    <row r="195" spans="1:9" ht="15" x14ac:dyDescent="0.25">
      <c r="A195" s="696">
        <v>5260200000</v>
      </c>
      <c r="B195" s="696" t="s">
        <v>432</v>
      </c>
      <c r="C195" s="10" t="s">
        <v>383</v>
      </c>
      <c r="D195" s="10">
        <v>7704.96</v>
      </c>
      <c r="E195" s="10"/>
      <c r="F195" s="10"/>
      <c r="G195" s="703"/>
      <c r="H195" s="703"/>
      <c r="I195" s="703"/>
    </row>
    <row r="196" spans="1:9" ht="15" x14ac:dyDescent="0.25">
      <c r="A196" s="696">
        <v>5260150000</v>
      </c>
      <c r="B196" s="696" t="s">
        <v>432</v>
      </c>
      <c r="C196" s="10"/>
      <c r="D196" s="10"/>
      <c r="E196" s="10"/>
      <c r="F196" s="10"/>
      <c r="G196" s="703"/>
      <c r="H196" s="703"/>
      <c r="I196" s="703"/>
    </row>
    <row r="197" spans="1:9" ht="15" x14ac:dyDescent="0.25">
      <c r="A197" s="696">
        <v>5260350000</v>
      </c>
      <c r="B197" s="696" t="s">
        <v>432</v>
      </c>
      <c r="C197" s="10"/>
      <c r="D197" s="10"/>
      <c r="E197" s="10"/>
      <c r="F197" s="10"/>
      <c r="G197" s="703"/>
      <c r="H197" s="703"/>
      <c r="I197" s="703"/>
    </row>
    <row r="198" spans="1:9" ht="15" x14ac:dyDescent="0.25">
      <c r="A198" s="696">
        <v>5160150000</v>
      </c>
      <c r="B198" s="696" t="s">
        <v>435</v>
      </c>
      <c r="C198" s="10"/>
      <c r="D198" s="10"/>
      <c r="E198" s="10"/>
      <c r="F198" s="10"/>
      <c r="G198" s="703"/>
      <c r="H198" s="703"/>
      <c r="I198" s="703"/>
    </row>
    <row r="199" spans="1:9" ht="15" x14ac:dyDescent="0.25">
      <c r="A199" s="696">
        <v>5145150100</v>
      </c>
      <c r="B199" s="696" t="s">
        <v>436</v>
      </c>
      <c r="C199" s="10"/>
      <c r="D199" s="10"/>
      <c r="E199" s="10"/>
      <c r="F199" s="10"/>
      <c r="G199" s="703"/>
      <c r="H199" s="703"/>
      <c r="I199" s="703"/>
    </row>
    <row r="200" spans="1:9" ht="15" x14ac:dyDescent="0.25">
      <c r="A200" s="696">
        <v>5235300000</v>
      </c>
      <c r="B200" s="696" t="s">
        <v>436</v>
      </c>
      <c r="C200" s="10"/>
      <c r="D200" s="10"/>
      <c r="E200" s="10"/>
      <c r="F200" s="10"/>
      <c r="G200" s="703"/>
      <c r="H200" s="703"/>
      <c r="I200" s="703"/>
    </row>
    <row r="201" spans="1:9" ht="15" x14ac:dyDescent="0.25">
      <c r="A201" s="696">
        <v>5245100000</v>
      </c>
      <c r="B201" s="696" t="s">
        <v>436</v>
      </c>
      <c r="C201" s="10"/>
      <c r="D201" s="10"/>
      <c r="E201" s="10"/>
      <c r="F201" s="10"/>
      <c r="G201" s="703"/>
      <c r="H201" s="703"/>
      <c r="I201" s="703"/>
    </row>
    <row r="202" spans="1:9" ht="15" x14ac:dyDescent="0.25">
      <c r="A202" s="696">
        <v>5245150000</v>
      </c>
      <c r="B202" s="696" t="s">
        <v>436</v>
      </c>
      <c r="C202" s="10"/>
      <c r="D202" s="10"/>
      <c r="E202" s="10"/>
      <c r="F202" s="10"/>
      <c r="G202" s="703"/>
      <c r="H202" s="703"/>
      <c r="I202" s="703"/>
    </row>
    <row r="203" spans="1:9" ht="15" x14ac:dyDescent="0.25">
      <c r="A203" s="696">
        <v>5245150100</v>
      </c>
      <c r="B203" s="696" t="s">
        <v>436</v>
      </c>
      <c r="C203" s="10"/>
      <c r="D203" s="10"/>
      <c r="E203" s="10"/>
    </row>
    <row r="204" spans="1:9" ht="15" x14ac:dyDescent="0.25">
      <c r="A204" s="696">
        <v>5245200000</v>
      </c>
      <c r="B204" s="696" t="s">
        <v>436</v>
      </c>
      <c r="C204" s="10"/>
      <c r="D204" s="10"/>
      <c r="E204" s="10"/>
    </row>
    <row r="205" spans="1:9" ht="15" x14ac:dyDescent="0.25">
      <c r="A205" s="696">
        <v>5245250000</v>
      </c>
      <c r="B205" s="696" t="s">
        <v>436</v>
      </c>
      <c r="C205" s="10"/>
      <c r="D205" s="10"/>
      <c r="E205" s="10"/>
    </row>
    <row r="206" spans="1:9" ht="15" x14ac:dyDescent="0.25">
      <c r="A206" s="696">
        <v>5250050000</v>
      </c>
      <c r="B206" s="696" t="s">
        <v>436</v>
      </c>
      <c r="C206" s="10"/>
      <c r="D206" s="10"/>
      <c r="E206" s="10"/>
    </row>
    <row r="207" spans="1:9" x14ac:dyDescent="0.2">
      <c r="A207" s="696">
        <v>5250100000</v>
      </c>
      <c r="B207" s="696" t="s">
        <v>436</v>
      </c>
    </row>
    <row r="208" spans="1:9" x14ac:dyDescent="0.2">
      <c r="A208" s="696">
        <v>5250950000</v>
      </c>
      <c r="B208" s="696" t="s">
        <v>436</v>
      </c>
    </row>
    <row r="209" spans="1:2" x14ac:dyDescent="0.2">
      <c r="A209" s="696">
        <v>5295250000</v>
      </c>
      <c r="B209" s="696" t="s">
        <v>436</v>
      </c>
    </row>
    <row r="210" spans="1:2" x14ac:dyDescent="0.2">
      <c r="A210" s="696">
        <v>5295950300</v>
      </c>
      <c r="B210" s="696" t="s">
        <v>436</v>
      </c>
    </row>
    <row r="211" spans="1:2" x14ac:dyDescent="0.2">
      <c r="A211" s="696">
        <v>5235050000</v>
      </c>
      <c r="B211" s="696" t="s">
        <v>437</v>
      </c>
    </row>
    <row r="212" spans="1:2" x14ac:dyDescent="0.2">
      <c r="A212" s="696">
        <v>5235200000</v>
      </c>
      <c r="B212" s="696" t="s">
        <v>437</v>
      </c>
    </row>
    <row r="213" spans="1:2" x14ac:dyDescent="0.2">
      <c r="A213" s="696">
        <v>5235950100</v>
      </c>
      <c r="B213" s="696" t="s">
        <v>437</v>
      </c>
    </row>
    <row r="214" spans="1:2" x14ac:dyDescent="0.2">
      <c r="A214" s="696">
        <v>5235950400</v>
      </c>
      <c r="B214" s="696" t="s">
        <v>437</v>
      </c>
    </row>
    <row r="215" spans="1:2" x14ac:dyDescent="0.2">
      <c r="A215" s="696">
        <v>5235950500</v>
      </c>
      <c r="B215" s="696" t="s">
        <v>437</v>
      </c>
    </row>
    <row r="216" spans="1:2" x14ac:dyDescent="0.2">
      <c r="A216" s="696">
        <v>5235950600</v>
      </c>
      <c r="B216" s="696" t="s">
        <v>437</v>
      </c>
    </row>
    <row r="217" spans="1:2" x14ac:dyDescent="0.2">
      <c r="A217" s="696">
        <v>5235950600</v>
      </c>
      <c r="B217" s="696" t="s">
        <v>437</v>
      </c>
    </row>
    <row r="218" spans="1:2" x14ac:dyDescent="0.2">
      <c r="A218" s="696">
        <v>5235950600</v>
      </c>
      <c r="B218" s="696" t="s">
        <v>437</v>
      </c>
    </row>
    <row r="219" spans="1:2" x14ac:dyDescent="0.2">
      <c r="A219" s="696">
        <v>5295950500</v>
      </c>
      <c r="B219" s="696" t="s">
        <v>437</v>
      </c>
    </row>
    <row r="220" spans="1:2" x14ac:dyDescent="0.2">
      <c r="A220" s="696">
        <v>5295950100</v>
      </c>
      <c r="B220" s="696" t="s">
        <v>438</v>
      </c>
    </row>
    <row r="221" spans="1:2" x14ac:dyDescent="0.2">
      <c r="A221" s="696">
        <v>5299100000</v>
      </c>
      <c r="B221" s="696" t="s">
        <v>439</v>
      </c>
    </row>
    <row r="222" spans="1:2" x14ac:dyDescent="0.2">
      <c r="A222" s="696">
        <v>5160100000</v>
      </c>
      <c r="B222" s="696" t="s">
        <v>440</v>
      </c>
    </row>
    <row r="223" spans="1:2" x14ac:dyDescent="0.2">
      <c r="B223" s="696" t="s">
        <v>441</v>
      </c>
    </row>
    <row r="224" spans="1:2" x14ac:dyDescent="0.2">
      <c r="A224" s="696">
        <v>5205630100</v>
      </c>
      <c r="B224" s="696" t="s">
        <v>442</v>
      </c>
    </row>
    <row r="225" spans="1:2" x14ac:dyDescent="0.2">
      <c r="A225" s="696">
        <v>5205630200</v>
      </c>
      <c r="B225" s="696" t="s">
        <v>442</v>
      </c>
    </row>
    <row r="226" spans="1:2" x14ac:dyDescent="0.2">
      <c r="A226" s="696">
        <v>5205060100</v>
      </c>
      <c r="B226" s="696" t="s">
        <v>443</v>
      </c>
    </row>
    <row r="227" spans="1:2" x14ac:dyDescent="0.2">
      <c r="A227" s="696">
        <v>5205150100</v>
      </c>
      <c r="B227" s="696" t="s">
        <v>443</v>
      </c>
    </row>
    <row r="228" spans="1:2" x14ac:dyDescent="0.2">
      <c r="A228" s="696">
        <v>5205360100</v>
      </c>
      <c r="B228" s="696" t="s">
        <v>444</v>
      </c>
    </row>
    <row r="229" spans="1:2" x14ac:dyDescent="0.2">
      <c r="A229" s="696">
        <v>5205390100</v>
      </c>
      <c r="B229" s="696" t="s">
        <v>444</v>
      </c>
    </row>
    <row r="230" spans="1:2" x14ac:dyDescent="0.2">
      <c r="A230" s="696">
        <v>5205600100</v>
      </c>
      <c r="B230" s="696" t="s">
        <v>444</v>
      </c>
    </row>
    <row r="231" spans="1:2" x14ac:dyDescent="0.2">
      <c r="A231" s="696">
        <v>5205690100</v>
      </c>
      <c r="B231" s="696" t="s">
        <v>444</v>
      </c>
    </row>
    <row r="232" spans="1:2" x14ac:dyDescent="0.2">
      <c r="A232" s="696">
        <v>5205700100</v>
      </c>
      <c r="B232" s="696" t="s">
        <v>444</v>
      </c>
    </row>
    <row r="233" spans="1:2" x14ac:dyDescent="0.2">
      <c r="A233" s="696">
        <v>5205700100</v>
      </c>
      <c r="B233" s="696" t="s">
        <v>444</v>
      </c>
    </row>
    <row r="234" spans="1:2" x14ac:dyDescent="0.2">
      <c r="A234" s="696">
        <v>5205700200</v>
      </c>
      <c r="B234" s="696" t="s">
        <v>444</v>
      </c>
    </row>
    <row r="235" spans="1:2" x14ac:dyDescent="0.2">
      <c r="A235" s="696">
        <v>5205780100</v>
      </c>
      <c r="B235" s="696" t="s">
        <v>444</v>
      </c>
    </row>
    <row r="236" spans="1:2" x14ac:dyDescent="0.2">
      <c r="A236" s="696">
        <v>5205660100</v>
      </c>
      <c r="B236" s="696" t="s">
        <v>445</v>
      </c>
    </row>
    <row r="237" spans="1:2" x14ac:dyDescent="0.2">
      <c r="A237" s="696">
        <v>5210250000</v>
      </c>
      <c r="B237" s="696" t="s">
        <v>446</v>
      </c>
    </row>
    <row r="238" spans="1:2" x14ac:dyDescent="0.2">
      <c r="A238" s="696">
        <v>5210350000</v>
      </c>
      <c r="B238" s="696" t="s">
        <v>446</v>
      </c>
    </row>
    <row r="239" spans="1:2" x14ac:dyDescent="0.2">
      <c r="A239" s="696">
        <v>5210950000</v>
      </c>
      <c r="B239" s="696" t="s">
        <v>446</v>
      </c>
    </row>
    <row r="240" spans="1:2" x14ac:dyDescent="0.2">
      <c r="A240" s="696">
        <v>5115950000</v>
      </c>
      <c r="B240" s="696" t="s">
        <v>447</v>
      </c>
    </row>
    <row r="241" spans="1:2" x14ac:dyDescent="0.2">
      <c r="A241" s="696">
        <v>5215100000</v>
      </c>
      <c r="B241" s="696" t="s">
        <v>447</v>
      </c>
    </row>
    <row r="242" spans="1:2" x14ac:dyDescent="0.2">
      <c r="A242" s="696">
        <v>5215950000</v>
      </c>
      <c r="B242" s="696" t="s">
        <v>447</v>
      </c>
    </row>
    <row r="243" spans="1:2" x14ac:dyDescent="0.2">
      <c r="A243" s="696">
        <v>5240100000</v>
      </c>
      <c r="B243" s="696" t="s">
        <v>447</v>
      </c>
    </row>
    <row r="244" spans="1:2" x14ac:dyDescent="0.2">
      <c r="A244" s="696">
        <v>5240150000</v>
      </c>
      <c r="B244" s="696" t="s">
        <v>447</v>
      </c>
    </row>
    <row r="245" spans="1:2" x14ac:dyDescent="0.2">
      <c r="A245" s="696">
        <v>5245400000</v>
      </c>
      <c r="B245" s="696" t="s">
        <v>448</v>
      </c>
    </row>
    <row r="246" spans="1:2" x14ac:dyDescent="0.2">
      <c r="A246" s="696">
        <v>5295350000</v>
      </c>
      <c r="B246" s="696" t="s">
        <v>448</v>
      </c>
    </row>
    <row r="247" spans="1:2" x14ac:dyDescent="0.2">
      <c r="A247" s="696">
        <v>5295100000</v>
      </c>
      <c r="B247" s="696" t="s">
        <v>449</v>
      </c>
    </row>
    <row r="248" spans="1:2" x14ac:dyDescent="0.2">
      <c r="A248" s="696">
        <v>5295300000</v>
      </c>
      <c r="B248" s="696" t="s">
        <v>449</v>
      </c>
    </row>
    <row r="249" spans="1:2" x14ac:dyDescent="0.2">
      <c r="A249" s="696">
        <v>5235600000</v>
      </c>
      <c r="B249" s="696" t="s">
        <v>450</v>
      </c>
    </row>
    <row r="250" spans="1:2" x14ac:dyDescent="0.2">
      <c r="A250" s="696">
        <v>5235350000</v>
      </c>
      <c r="B250" s="696" t="s">
        <v>451</v>
      </c>
    </row>
    <row r="251" spans="1:2" x14ac:dyDescent="0.2">
      <c r="A251" s="696">
        <v>5235400100</v>
      </c>
      <c r="B251" s="696" t="s">
        <v>451</v>
      </c>
    </row>
    <row r="252" spans="1:2" x14ac:dyDescent="0.2">
      <c r="A252" s="696">
        <v>5235400200</v>
      </c>
      <c r="B252" s="696" t="s">
        <v>451</v>
      </c>
    </row>
    <row r="253" spans="1:2" x14ac:dyDescent="0.2">
      <c r="A253" s="696">
        <v>5235450000</v>
      </c>
      <c r="B253" s="696" t="s">
        <v>451</v>
      </c>
    </row>
    <row r="254" spans="1:2" x14ac:dyDescent="0.2">
      <c r="A254" s="696">
        <v>5230250000</v>
      </c>
      <c r="B254" s="696" t="s">
        <v>452</v>
      </c>
    </row>
    <row r="255" spans="1:2" x14ac:dyDescent="0.2">
      <c r="A255" s="696">
        <v>5230950000</v>
      </c>
      <c r="B255" s="696" t="s">
        <v>452</v>
      </c>
    </row>
    <row r="256" spans="1:2" x14ac:dyDescent="0.2">
      <c r="A256" s="696">
        <v>5295700000</v>
      </c>
      <c r="B256" s="696" t="s">
        <v>452</v>
      </c>
    </row>
    <row r="257" spans="1:2" x14ac:dyDescent="0.2">
      <c r="A257" s="696">
        <v>5225100000</v>
      </c>
      <c r="B257" s="696" t="s">
        <v>453</v>
      </c>
    </row>
    <row r="258" spans="1:2" x14ac:dyDescent="0.2">
      <c r="A258" s="696">
        <v>5205480100</v>
      </c>
      <c r="B258" s="696" t="s">
        <v>454</v>
      </c>
    </row>
    <row r="259" spans="1:2" x14ac:dyDescent="0.2">
      <c r="A259" s="696">
        <v>5205480200</v>
      </c>
      <c r="B259" s="696" t="s">
        <v>454</v>
      </c>
    </row>
    <row r="260" spans="1:2" x14ac:dyDescent="0.2">
      <c r="A260" s="696">
        <v>5205481000</v>
      </c>
      <c r="B260" s="696" t="s">
        <v>454</v>
      </c>
    </row>
    <row r="261" spans="1:2" x14ac:dyDescent="0.2">
      <c r="A261" s="696">
        <v>5205481100</v>
      </c>
      <c r="B261" s="696" t="s">
        <v>454</v>
      </c>
    </row>
    <row r="262" spans="1:2" x14ac:dyDescent="0.2">
      <c r="A262" s="696">
        <v>5205210100</v>
      </c>
      <c r="B262" s="696" t="s">
        <v>455</v>
      </c>
    </row>
    <row r="263" spans="1:2" x14ac:dyDescent="0.2">
      <c r="A263" s="696">
        <v>5205210200</v>
      </c>
      <c r="B263" s="696" t="s">
        <v>455</v>
      </c>
    </row>
    <row r="264" spans="1:2" x14ac:dyDescent="0.2">
      <c r="A264" s="696">
        <v>5255050100</v>
      </c>
      <c r="B264" s="696" t="s">
        <v>455</v>
      </c>
    </row>
    <row r="265" spans="1:2" x14ac:dyDescent="0.2">
      <c r="A265" s="696">
        <v>5255060100</v>
      </c>
      <c r="B265" s="696" t="s">
        <v>455</v>
      </c>
    </row>
    <row r="266" spans="1:2" x14ac:dyDescent="0.2">
      <c r="A266" s="696">
        <v>5255150100</v>
      </c>
      <c r="B266" s="696" t="s">
        <v>455</v>
      </c>
    </row>
    <row r="267" spans="1:2" x14ac:dyDescent="0.2">
      <c r="A267" s="696">
        <v>5255200100</v>
      </c>
      <c r="B267" s="696" t="s">
        <v>455</v>
      </c>
    </row>
    <row r="268" spans="1:2" x14ac:dyDescent="0.2">
      <c r="A268" s="696">
        <v>5255200200</v>
      </c>
      <c r="B268" s="696" t="s">
        <v>455</v>
      </c>
    </row>
    <row r="269" spans="1:2" x14ac:dyDescent="0.2">
      <c r="A269" s="696">
        <v>5255950100</v>
      </c>
      <c r="B269" s="696" t="s">
        <v>455</v>
      </c>
    </row>
    <row r="270" spans="1:2" x14ac:dyDescent="0.2">
      <c r="A270" s="696">
        <v>5240050000</v>
      </c>
      <c r="B270" s="696" t="s">
        <v>456</v>
      </c>
    </row>
    <row r="271" spans="1:2" x14ac:dyDescent="0.2">
      <c r="A271" s="696">
        <v>5240200400</v>
      </c>
      <c r="B271" s="696" t="s">
        <v>456</v>
      </c>
    </row>
    <row r="272" spans="1:2" x14ac:dyDescent="0.2">
      <c r="A272" s="696">
        <v>5220050000</v>
      </c>
      <c r="B272" s="696" t="s">
        <v>457</v>
      </c>
    </row>
    <row r="273" spans="1:2" x14ac:dyDescent="0.2">
      <c r="A273" s="696">
        <v>5220100000</v>
      </c>
      <c r="B273" s="696" t="s">
        <v>457</v>
      </c>
    </row>
    <row r="274" spans="1:2" x14ac:dyDescent="0.2">
      <c r="A274" s="696">
        <v>5220100100</v>
      </c>
      <c r="B274" s="696" t="s">
        <v>457</v>
      </c>
    </row>
    <row r="275" spans="1:2" x14ac:dyDescent="0.2">
      <c r="A275" s="696">
        <v>5220950000</v>
      </c>
      <c r="B275" s="696" t="s">
        <v>457</v>
      </c>
    </row>
    <row r="278" spans="1:2" x14ac:dyDescent="0.2">
      <c r="B278" s="696" t="s">
        <v>458</v>
      </c>
    </row>
    <row r="279" spans="1:2" x14ac:dyDescent="0.2">
      <c r="A279" s="696">
        <v>5105060000</v>
      </c>
      <c r="B279" s="696" t="s">
        <v>459</v>
      </c>
    </row>
    <row r="280" spans="1:2" x14ac:dyDescent="0.2">
      <c r="A280" s="696">
        <v>5105150000</v>
      </c>
      <c r="B280" s="696" t="s">
        <v>459</v>
      </c>
    </row>
    <row r="281" spans="1:2" x14ac:dyDescent="0.2">
      <c r="A281" s="696">
        <v>5105360000</v>
      </c>
      <c r="B281" s="696" t="s">
        <v>460</v>
      </c>
    </row>
    <row r="282" spans="1:2" x14ac:dyDescent="0.2">
      <c r="A282" s="696">
        <v>5105390000</v>
      </c>
      <c r="B282" s="696" t="s">
        <v>460</v>
      </c>
    </row>
    <row r="283" spans="1:2" x14ac:dyDescent="0.2">
      <c r="A283" s="696">
        <v>5105600000</v>
      </c>
      <c r="B283" s="696" t="s">
        <v>460</v>
      </c>
    </row>
    <row r="284" spans="1:2" x14ac:dyDescent="0.2">
      <c r="A284" s="696">
        <v>5105690000</v>
      </c>
      <c r="B284" s="696" t="s">
        <v>460</v>
      </c>
    </row>
    <row r="285" spans="1:2" x14ac:dyDescent="0.2">
      <c r="A285" s="696">
        <v>5105700000</v>
      </c>
      <c r="B285" s="696" t="s">
        <v>460</v>
      </c>
    </row>
    <row r="286" spans="1:2" x14ac:dyDescent="0.2">
      <c r="A286" s="696">
        <v>5105780000</v>
      </c>
      <c r="B286" s="696" t="s">
        <v>460</v>
      </c>
    </row>
    <row r="287" spans="1:2" x14ac:dyDescent="0.2">
      <c r="A287" s="696">
        <v>5105950000</v>
      </c>
      <c r="B287" s="696" t="s">
        <v>460</v>
      </c>
    </row>
    <row r="288" spans="1:2" x14ac:dyDescent="0.2">
      <c r="A288" s="696">
        <v>5105180000</v>
      </c>
      <c r="B288" s="696" t="s">
        <v>461</v>
      </c>
    </row>
    <row r="289" spans="1:2" x14ac:dyDescent="0.2">
      <c r="A289" s="696">
        <v>5105630000</v>
      </c>
      <c r="B289" s="696" t="s">
        <v>462</v>
      </c>
    </row>
    <row r="290" spans="1:2" x14ac:dyDescent="0.2">
      <c r="A290" s="696">
        <v>5105391000</v>
      </c>
      <c r="B290" s="696" t="s">
        <v>463</v>
      </c>
    </row>
    <row r="291" spans="1:2" x14ac:dyDescent="0.2">
      <c r="A291" s="696">
        <v>5105691000</v>
      </c>
      <c r="B291" s="696" t="s">
        <v>463</v>
      </c>
    </row>
    <row r="292" spans="1:2" x14ac:dyDescent="0.2">
      <c r="A292" s="696">
        <v>5105701000</v>
      </c>
      <c r="B292" s="696" t="s">
        <v>463</v>
      </c>
    </row>
    <row r="293" spans="1:2" x14ac:dyDescent="0.2">
      <c r="A293" s="696">
        <v>5135050000</v>
      </c>
      <c r="B293" s="696" t="s">
        <v>437</v>
      </c>
    </row>
    <row r="294" spans="1:2" x14ac:dyDescent="0.2">
      <c r="A294" s="696">
        <v>5135150000</v>
      </c>
      <c r="B294" s="696" t="s">
        <v>437</v>
      </c>
    </row>
    <row r="295" spans="1:2" x14ac:dyDescent="0.2">
      <c r="A295" s="696">
        <v>5135200000</v>
      </c>
      <c r="B295" s="696" t="s">
        <v>437</v>
      </c>
    </row>
    <row r="296" spans="1:2" x14ac:dyDescent="0.2">
      <c r="A296" s="696">
        <v>5135950500</v>
      </c>
      <c r="B296" s="696" t="s">
        <v>437</v>
      </c>
    </row>
    <row r="297" spans="1:2" x14ac:dyDescent="0.2">
      <c r="A297" s="696">
        <v>5120100000</v>
      </c>
      <c r="B297" s="696" t="s">
        <v>464</v>
      </c>
    </row>
    <row r="298" spans="1:2" x14ac:dyDescent="0.2">
      <c r="A298" s="696">
        <v>5105660000</v>
      </c>
      <c r="B298" s="696" t="s">
        <v>465</v>
      </c>
    </row>
    <row r="299" spans="1:2" x14ac:dyDescent="0.2">
      <c r="A299" s="696">
        <v>5155960000</v>
      </c>
      <c r="B299" s="696" t="s">
        <v>465</v>
      </c>
    </row>
    <row r="300" spans="1:2" x14ac:dyDescent="0.2">
      <c r="A300" s="696">
        <v>5195950300</v>
      </c>
      <c r="B300" s="696" t="s">
        <v>466</v>
      </c>
    </row>
    <row r="301" spans="1:2" x14ac:dyDescent="0.2">
      <c r="A301" s="696">
        <v>5110100000</v>
      </c>
      <c r="B301" s="696" t="s">
        <v>467</v>
      </c>
    </row>
    <row r="302" spans="1:2" x14ac:dyDescent="0.2">
      <c r="A302" s="696">
        <v>5110200000</v>
      </c>
      <c r="B302" s="696" t="s">
        <v>467</v>
      </c>
    </row>
    <row r="303" spans="1:2" x14ac:dyDescent="0.2">
      <c r="A303" s="696">
        <v>5110250000</v>
      </c>
      <c r="B303" s="696" t="s">
        <v>467</v>
      </c>
    </row>
    <row r="304" spans="1:2" x14ac:dyDescent="0.2">
      <c r="A304" s="696">
        <v>5110300000</v>
      </c>
      <c r="B304" s="696" t="s">
        <v>467</v>
      </c>
    </row>
    <row r="305" spans="1:2" x14ac:dyDescent="0.2">
      <c r="A305" s="696">
        <v>5110350000</v>
      </c>
      <c r="B305" s="696" t="s">
        <v>467</v>
      </c>
    </row>
    <row r="306" spans="1:2" x14ac:dyDescent="0.2">
      <c r="A306" s="696">
        <v>5110950000</v>
      </c>
      <c r="B306" s="696" t="s">
        <v>467</v>
      </c>
    </row>
    <row r="307" spans="1:2" x14ac:dyDescent="0.2">
      <c r="A307" s="696">
        <v>5130</v>
      </c>
      <c r="B307" s="696" t="s">
        <v>468</v>
      </c>
    </row>
    <row r="308" spans="1:2" x14ac:dyDescent="0.2">
      <c r="A308" s="696">
        <v>5145400000</v>
      </c>
      <c r="B308" s="696" t="s">
        <v>469</v>
      </c>
    </row>
    <row r="309" spans="1:2" x14ac:dyDescent="0.2">
      <c r="A309" s="696">
        <v>5195350000</v>
      </c>
      <c r="B309" s="696" t="s">
        <v>469</v>
      </c>
    </row>
    <row r="310" spans="1:2" x14ac:dyDescent="0.2">
      <c r="A310" s="696">
        <v>5195300000</v>
      </c>
      <c r="B310" s="696" t="s">
        <v>449</v>
      </c>
    </row>
    <row r="311" spans="1:2" x14ac:dyDescent="0.2">
      <c r="A311" s="696">
        <v>5135350000</v>
      </c>
      <c r="B311" s="696" t="s">
        <v>470</v>
      </c>
    </row>
    <row r="312" spans="1:2" x14ac:dyDescent="0.2">
      <c r="A312" s="696">
        <v>5145050000</v>
      </c>
      <c r="B312" s="696" t="s">
        <v>471</v>
      </c>
    </row>
    <row r="313" spans="1:2" x14ac:dyDescent="0.2">
      <c r="A313" s="696">
        <v>5145100000</v>
      </c>
      <c r="B313" s="696" t="s">
        <v>471</v>
      </c>
    </row>
    <row r="314" spans="1:2" x14ac:dyDescent="0.2">
      <c r="A314" s="696">
        <v>5145200000</v>
      </c>
      <c r="B314" s="696" t="s">
        <v>471</v>
      </c>
    </row>
    <row r="315" spans="1:2" x14ac:dyDescent="0.2">
      <c r="A315" s="696">
        <v>5145250000</v>
      </c>
      <c r="B315" s="696" t="s">
        <v>471</v>
      </c>
    </row>
    <row r="316" spans="1:2" x14ac:dyDescent="0.2">
      <c r="A316" s="696">
        <v>5150050000</v>
      </c>
      <c r="B316" s="696" t="s">
        <v>471</v>
      </c>
    </row>
    <row r="317" spans="1:2" x14ac:dyDescent="0.2">
      <c r="A317" s="696">
        <v>5150100000</v>
      </c>
      <c r="B317" s="696" t="s">
        <v>471</v>
      </c>
    </row>
    <row r="318" spans="1:2" x14ac:dyDescent="0.2">
      <c r="A318" s="696">
        <v>5150150000</v>
      </c>
      <c r="B318" s="696" t="s">
        <v>471</v>
      </c>
    </row>
    <row r="319" spans="1:2" x14ac:dyDescent="0.2">
      <c r="A319" s="696">
        <v>5150950000</v>
      </c>
      <c r="B319" s="696" t="s">
        <v>471</v>
      </c>
    </row>
    <row r="320" spans="1:2" x14ac:dyDescent="0.2">
      <c r="A320" s="696">
        <v>5195150000</v>
      </c>
      <c r="B320" s="696" t="s">
        <v>471</v>
      </c>
    </row>
    <row r="321" spans="1:2" x14ac:dyDescent="0.2">
      <c r="A321" s="696">
        <v>5195250000</v>
      </c>
      <c r="B321" s="696" t="s">
        <v>471</v>
      </c>
    </row>
    <row r="322" spans="1:2" x14ac:dyDescent="0.2">
      <c r="A322" s="696">
        <v>5195400000</v>
      </c>
      <c r="B322" s="696" t="s">
        <v>471</v>
      </c>
    </row>
    <row r="323" spans="1:2" x14ac:dyDescent="0.2">
      <c r="A323" s="718">
        <v>5140050000</v>
      </c>
      <c r="B323" s="696" t="s">
        <v>472</v>
      </c>
    </row>
    <row r="324" spans="1:2" x14ac:dyDescent="0.2">
      <c r="A324" s="718">
        <v>5140100000</v>
      </c>
      <c r="B324" s="696" t="s">
        <v>473</v>
      </c>
    </row>
    <row r="325" spans="1:2" x14ac:dyDescent="0.2">
      <c r="A325" s="696">
        <v>5105210000</v>
      </c>
      <c r="B325" s="696" t="s">
        <v>474</v>
      </c>
    </row>
    <row r="326" spans="1:2" x14ac:dyDescent="0.2">
      <c r="A326" s="696">
        <v>5155050000</v>
      </c>
      <c r="B326" s="696" t="s">
        <v>474</v>
      </c>
    </row>
    <row r="327" spans="1:2" x14ac:dyDescent="0.2">
      <c r="A327" s="696">
        <v>5155060000</v>
      </c>
      <c r="B327" s="696" t="s">
        <v>474</v>
      </c>
    </row>
    <row r="328" spans="1:2" x14ac:dyDescent="0.2">
      <c r="A328" s="696">
        <v>5155150000</v>
      </c>
      <c r="B328" s="696" t="s">
        <v>474</v>
      </c>
    </row>
    <row r="329" spans="1:2" x14ac:dyDescent="0.2">
      <c r="A329" s="696">
        <v>5155200000</v>
      </c>
      <c r="B329" s="696" t="s">
        <v>474</v>
      </c>
    </row>
    <row r="330" spans="1:2" x14ac:dyDescent="0.2">
      <c r="A330" s="696">
        <v>5155950000</v>
      </c>
      <c r="B330" s="696" t="s">
        <v>474</v>
      </c>
    </row>
    <row r="332" spans="1:2" x14ac:dyDescent="0.2">
      <c r="B332" s="696" t="s">
        <v>475</v>
      </c>
    </row>
    <row r="333" spans="1:2" x14ac:dyDescent="0.2">
      <c r="A333" s="696">
        <v>5135950300</v>
      </c>
      <c r="B333" s="696" t="s">
        <v>476</v>
      </c>
    </row>
    <row r="334" spans="1:2" x14ac:dyDescent="0.2">
      <c r="A334" s="696">
        <v>5198530000</v>
      </c>
      <c r="B334" s="696" t="s">
        <v>476</v>
      </c>
    </row>
    <row r="335" spans="1:2" x14ac:dyDescent="0.2">
      <c r="A335" s="696">
        <v>5398050000</v>
      </c>
      <c r="B335" s="696" t="s">
        <v>476</v>
      </c>
    </row>
    <row r="336" spans="1:2" x14ac:dyDescent="0.2">
      <c r="A336" s="696">
        <v>5398210000</v>
      </c>
      <c r="B336" s="696" t="s">
        <v>477</v>
      </c>
    </row>
    <row r="337" spans="1:2" x14ac:dyDescent="0.2">
      <c r="A337" s="696">
        <v>5110358000</v>
      </c>
      <c r="B337" s="696" t="s">
        <v>478</v>
      </c>
    </row>
    <row r="338" spans="1:2" x14ac:dyDescent="0.2">
      <c r="A338" s="696">
        <v>5210358000</v>
      </c>
      <c r="B338" s="696" t="s">
        <v>478</v>
      </c>
    </row>
    <row r="340" spans="1:2" x14ac:dyDescent="0.2">
      <c r="B340" s="696" t="s">
        <v>479</v>
      </c>
    </row>
    <row r="341" spans="1:2" x14ac:dyDescent="0.2">
      <c r="A341" s="696">
        <v>4210200100</v>
      </c>
      <c r="B341" s="696" t="s">
        <v>480</v>
      </c>
    </row>
    <row r="342" spans="1:2" x14ac:dyDescent="0.2">
      <c r="A342" s="696">
        <v>4210200200</v>
      </c>
      <c r="B342" s="696" t="s">
        <v>480</v>
      </c>
    </row>
    <row r="343" spans="1:2" x14ac:dyDescent="0.2">
      <c r="A343" s="696">
        <v>4210200400</v>
      </c>
      <c r="B343" s="696" t="s">
        <v>481</v>
      </c>
    </row>
    <row r="344" spans="1:2" x14ac:dyDescent="0.2">
      <c r="A344" s="696">
        <v>4210200500</v>
      </c>
      <c r="B344" s="696" t="s">
        <v>481</v>
      </c>
    </row>
    <row r="345" spans="1:2" x14ac:dyDescent="0.2">
      <c r="A345" s="696">
        <v>4210200501</v>
      </c>
      <c r="B345" s="696" t="s">
        <v>481</v>
      </c>
    </row>
    <row r="346" spans="1:2" x14ac:dyDescent="0.2">
      <c r="A346" s="696">
        <v>4210201000</v>
      </c>
      <c r="B346" s="696" t="s">
        <v>481</v>
      </c>
    </row>
    <row r="347" spans="1:2" x14ac:dyDescent="0.2">
      <c r="A347" s="696">
        <v>4210201001</v>
      </c>
      <c r="B347" s="696" t="s">
        <v>481</v>
      </c>
    </row>
    <row r="348" spans="1:2" x14ac:dyDescent="0.2">
      <c r="A348" s="696">
        <v>4210201100</v>
      </c>
      <c r="B348" s="696" t="s">
        <v>481</v>
      </c>
    </row>
    <row r="349" spans="1:2" x14ac:dyDescent="0.2">
      <c r="A349" s="696">
        <v>4210051000</v>
      </c>
      <c r="B349" s="696" t="s">
        <v>482</v>
      </c>
    </row>
    <row r="350" spans="1:2" x14ac:dyDescent="0.2">
      <c r="A350" s="696">
        <v>4210201000</v>
      </c>
      <c r="B350" s="696" t="s">
        <v>482</v>
      </c>
    </row>
    <row r="351" spans="1:2" x14ac:dyDescent="0.2">
      <c r="A351" s="696">
        <v>4210400000</v>
      </c>
      <c r="B351" s="696" t="s">
        <v>482</v>
      </c>
    </row>
    <row r="352" spans="1:2" x14ac:dyDescent="0.2">
      <c r="A352" s="696">
        <v>4245010000</v>
      </c>
      <c r="B352" s="696" t="s">
        <v>482</v>
      </c>
    </row>
    <row r="353" spans="1:2" x14ac:dyDescent="0.2">
      <c r="A353" s="696">
        <v>4250500100</v>
      </c>
      <c r="B353" s="696" t="s">
        <v>482</v>
      </c>
    </row>
    <row r="354" spans="1:2" x14ac:dyDescent="0.2">
      <c r="A354" s="696">
        <v>4250500200</v>
      </c>
      <c r="B354" s="696" t="s">
        <v>482</v>
      </c>
    </row>
    <row r="355" spans="1:2" x14ac:dyDescent="0.2">
      <c r="A355" s="696">
        <v>4250500300</v>
      </c>
      <c r="B355" s="696" t="s">
        <v>482</v>
      </c>
    </row>
    <row r="356" spans="1:2" x14ac:dyDescent="0.2">
      <c r="A356" s="696">
        <v>4250506600</v>
      </c>
      <c r="B356" s="696" t="s">
        <v>482</v>
      </c>
    </row>
    <row r="357" spans="1:2" x14ac:dyDescent="0.2">
      <c r="A357" s="696">
        <v>4255200000</v>
      </c>
      <c r="B357" s="696" t="s">
        <v>482</v>
      </c>
    </row>
    <row r="358" spans="1:2" x14ac:dyDescent="0.2">
      <c r="A358" s="696">
        <v>4295050000</v>
      </c>
      <c r="B358" s="696" t="s">
        <v>482</v>
      </c>
    </row>
    <row r="359" spans="1:2" x14ac:dyDescent="0.2">
      <c r="A359" s="696">
        <v>4295810000</v>
      </c>
      <c r="B359" s="696" t="s">
        <v>482</v>
      </c>
    </row>
    <row r="361" spans="1:2" x14ac:dyDescent="0.2">
      <c r="B361" s="696" t="s">
        <v>483</v>
      </c>
    </row>
    <row r="362" spans="1:2" x14ac:dyDescent="0.2">
      <c r="A362" s="696">
        <v>5305350000</v>
      </c>
      <c r="B362" s="696" t="s">
        <v>484</v>
      </c>
    </row>
    <row r="363" spans="1:2" x14ac:dyDescent="0.2">
      <c r="A363" s="696">
        <v>5310150000</v>
      </c>
      <c r="B363" s="696" t="s">
        <v>484</v>
      </c>
    </row>
    <row r="364" spans="1:2" x14ac:dyDescent="0.2">
      <c r="A364" s="696">
        <v>5310300000</v>
      </c>
      <c r="B364" s="696" t="s">
        <v>484</v>
      </c>
    </row>
    <row r="365" spans="1:2" x14ac:dyDescent="0.2">
      <c r="A365" s="696">
        <v>5310350000</v>
      </c>
      <c r="B365" s="696" t="s">
        <v>484</v>
      </c>
    </row>
    <row r="366" spans="1:2" x14ac:dyDescent="0.2">
      <c r="A366" s="696">
        <v>5313050000</v>
      </c>
      <c r="B366" s="696" t="s">
        <v>484</v>
      </c>
    </row>
    <row r="367" spans="1:2" x14ac:dyDescent="0.2">
      <c r="A367" s="696">
        <v>5315150200</v>
      </c>
      <c r="B367" s="696" t="s">
        <v>484</v>
      </c>
    </row>
    <row r="368" spans="1:2" x14ac:dyDescent="0.2">
      <c r="A368" s="696">
        <v>5315160000</v>
      </c>
      <c r="B368" s="696" t="s">
        <v>484</v>
      </c>
    </row>
    <row r="369" spans="1:3" x14ac:dyDescent="0.2">
      <c r="A369" s="696">
        <v>5315200000</v>
      </c>
      <c r="B369" s="696" t="s">
        <v>484</v>
      </c>
    </row>
    <row r="370" spans="1:3" x14ac:dyDescent="0.2">
      <c r="A370" s="696">
        <v>5315200100</v>
      </c>
      <c r="B370" s="696" t="s">
        <v>484</v>
      </c>
    </row>
    <row r="371" spans="1:3" x14ac:dyDescent="0.2">
      <c r="A371" s="696">
        <v>5315950000</v>
      </c>
      <c r="B371" s="696" t="s">
        <v>484</v>
      </c>
    </row>
    <row r="372" spans="1:3" x14ac:dyDescent="0.2">
      <c r="A372" s="696">
        <v>5395200000</v>
      </c>
      <c r="B372" s="696" t="s">
        <v>484</v>
      </c>
    </row>
    <row r="373" spans="1:3" x14ac:dyDescent="0.2">
      <c r="A373" s="696">
        <v>5395300000</v>
      </c>
      <c r="B373" s="696" t="s">
        <v>484</v>
      </c>
    </row>
    <row r="374" spans="1:3" x14ac:dyDescent="0.2">
      <c r="A374" s="696">
        <v>5395950000</v>
      </c>
      <c r="B374" s="696" t="s">
        <v>484</v>
      </c>
    </row>
    <row r="375" spans="1:3" x14ac:dyDescent="0.2">
      <c r="A375" s="696">
        <v>5305250500</v>
      </c>
      <c r="B375" s="696" t="s">
        <v>485</v>
      </c>
    </row>
    <row r="376" spans="1:3" x14ac:dyDescent="0.2">
      <c r="A376" s="696">
        <v>5305050000</v>
      </c>
      <c r="B376" s="696" t="s">
        <v>486</v>
      </c>
      <c r="C376" s="696">
        <v>5305050000</v>
      </c>
    </row>
    <row r="377" spans="1:3" x14ac:dyDescent="0.2">
      <c r="A377" s="696">
        <v>5305150000</v>
      </c>
      <c r="B377" s="696" t="s">
        <v>486</v>
      </c>
      <c r="C377" s="696">
        <v>5305200100</v>
      </c>
    </row>
    <row r="378" spans="1:3" x14ac:dyDescent="0.2">
      <c r="A378" s="696">
        <v>5305200100</v>
      </c>
      <c r="B378" s="696" t="s">
        <v>486</v>
      </c>
      <c r="C378" s="696">
        <v>5305202200</v>
      </c>
    </row>
    <row r="379" spans="1:3" x14ac:dyDescent="0.2">
      <c r="A379" s="696">
        <v>5305200200</v>
      </c>
      <c r="B379" s="696" t="s">
        <v>486</v>
      </c>
      <c r="C379" s="696">
        <v>5305150000</v>
      </c>
    </row>
    <row r="380" spans="1:3" x14ac:dyDescent="0.2">
      <c r="A380" s="696">
        <v>5305200300</v>
      </c>
      <c r="B380" s="696" t="s">
        <v>486</v>
      </c>
      <c r="C380" s="696">
        <v>5305200101</v>
      </c>
    </row>
    <row r="381" spans="1:3" x14ac:dyDescent="0.2">
      <c r="A381" s="696">
        <v>5305200400</v>
      </c>
      <c r="B381" s="696" t="s">
        <v>486</v>
      </c>
    </row>
    <row r="382" spans="1:3" x14ac:dyDescent="0.2">
      <c r="A382" s="696">
        <v>5305950000</v>
      </c>
      <c r="B382" s="696" t="s">
        <v>486</v>
      </c>
    </row>
    <row r="383" spans="1:3" x14ac:dyDescent="0.2">
      <c r="A383" s="696">
        <v>5315150000</v>
      </c>
      <c r="B383" s="696" t="s">
        <v>486</v>
      </c>
    </row>
    <row r="385" spans="1:2" x14ac:dyDescent="0.2">
      <c r="A385" s="696">
        <v>5405050100</v>
      </c>
      <c r="B385" s="696" t="s">
        <v>487</v>
      </c>
    </row>
    <row r="389" spans="1:2" x14ac:dyDescent="0.2">
      <c r="B389" s="696" t="s">
        <v>411</v>
      </c>
    </row>
    <row r="390" spans="1:2" x14ac:dyDescent="0.2">
      <c r="A390" s="696">
        <v>5205180100</v>
      </c>
      <c r="B390" s="696" t="s">
        <v>424</v>
      </c>
    </row>
    <row r="391" spans="1:2" x14ac:dyDescent="0.2">
      <c r="A391" s="696">
        <v>5205361000</v>
      </c>
      <c r="B391" s="696" t="s">
        <v>426</v>
      </c>
    </row>
    <row r="392" spans="1:2" x14ac:dyDescent="0.2">
      <c r="A392" s="696">
        <v>5205391000</v>
      </c>
      <c r="B392" s="696" t="s">
        <v>426</v>
      </c>
    </row>
    <row r="393" spans="1:2" x14ac:dyDescent="0.2">
      <c r="A393" s="696">
        <v>5205422000</v>
      </c>
      <c r="B393" s="696" t="s">
        <v>426</v>
      </c>
    </row>
    <row r="394" spans="1:2" x14ac:dyDescent="0.2">
      <c r="A394" s="696">
        <v>5205691000</v>
      </c>
      <c r="B394" s="696" t="s">
        <v>426</v>
      </c>
    </row>
    <row r="395" spans="1:2" x14ac:dyDescent="0.2">
      <c r="A395" s="696">
        <v>5205701000</v>
      </c>
      <c r="B395" s="696" t="s">
        <v>426</v>
      </c>
    </row>
    <row r="396" spans="1:2" x14ac:dyDescent="0.2">
      <c r="A396" s="696">
        <v>5205060100</v>
      </c>
      <c r="B396" s="696" t="s">
        <v>443</v>
      </c>
    </row>
    <row r="397" spans="1:2" x14ac:dyDescent="0.2">
      <c r="A397" s="696">
        <v>5205150100</v>
      </c>
      <c r="B397" s="696" t="s">
        <v>443</v>
      </c>
    </row>
    <row r="398" spans="1:2" x14ac:dyDescent="0.2">
      <c r="A398" s="696">
        <v>5205360100</v>
      </c>
      <c r="B398" s="696" t="s">
        <v>444</v>
      </c>
    </row>
    <row r="399" spans="1:2" x14ac:dyDescent="0.2">
      <c r="A399" s="696">
        <v>5205390100</v>
      </c>
      <c r="B399" s="696" t="s">
        <v>444</v>
      </c>
    </row>
    <row r="400" spans="1:2" x14ac:dyDescent="0.2">
      <c r="A400" s="696">
        <v>5205600100</v>
      </c>
      <c r="B400" s="696" t="s">
        <v>444</v>
      </c>
    </row>
    <row r="401" spans="1:2" x14ac:dyDescent="0.2">
      <c r="A401" s="696">
        <v>5205690100</v>
      </c>
      <c r="B401" s="696" t="s">
        <v>444</v>
      </c>
    </row>
    <row r="402" spans="1:2" x14ac:dyDescent="0.2">
      <c r="A402" s="696">
        <v>5205700100</v>
      </c>
      <c r="B402" s="696" t="s">
        <v>444</v>
      </c>
    </row>
    <row r="403" spans="1:2" x14ac:dyDescent="0.2">
      <c r="A403" s="696">
        <v>5205700100</v>
      </c>
      <c r="B403" s="696" t="s">
        <v>444</v>
      </c>
    </row>
    <row r="404" spans="1:2" x14ac:dyDescent="0.2">
      <c r="A404" s="696">
        <v>5205700200</v>
      </c>
      <c r="B404" s="696" t="s">
        <v>444</v>
      </c>
    </row>
    <row r="405" spans="1:2" x14ac:dyDescent="0.2">
      <c r="A405" s="696">
        <v>5205780100</v>
      </c>
      <c r="B405" s="696" t="s">
        <v>444</v>
      </c>
    </row>
    <row r="406" spans="1:2" x14ac:dyDescent="0.2">
      <c r="A406" s="696">
        <v>5105060000</v>
      </c>
      <c r="B406" s="696" t="s">
        <v>459</v>
      </c>
    </row>
    <row r="407" spans="1:2" x14ac:dyDescent="0.2">
      <c r="A407" s="696">
        <v>5105150000</v>
      </c>
      <c r="B407" s="696" t="s">
        <v>459</v>
      </c>
    </row>
    <row r="408" spans="1:2" x14ac:dyDescent="0.2">
      <c r="A408" s="696">
        <v>5105360000</v>
      </c>
      <c r="B408" s="696" t="s">
        <v>460</v>
      </c>
    </row>
    <row r="409" spans="1:2" x14ac:dyDescent="0.2">
      <c r="A409" s="696">
        <v>5105390000</v>
      </c>
      <c r="B409" s="696" t="s">
        <v>460</v>
      </c>
    </row>
    <row r="410" spans="1:2" x14ac:dyDescent="0.2">
      <c r="A410" s="696">
        <v>5105600000</v>
      </c>
      <c r="B410" s="696" t="s">
        <v>460</v>
      </c>
    </row>
    <row r="411" spans="1:2" x14ac:dyDescent="0.2">
      <c r="A411" s="696">
        <v>5105690000</v>
      </c>
      <c r="B411" s="696" t="s">
        <v>460</v>
      </c>
    </row>
    <row r="412" spans="1:2" x14ac:dyDescent="0.2">
      <c r="A412" s="696">
        <v>5105700000</v>
      </c>
      <c r="B412" s="696" t="s">
        <v>460</v>
      </c>
    </row>
    <row r="413" spans="1:2" x14ac:dyDescent="0.2">
      <c r="A413" s="696">
        <v>5105780000</v>
      </c>
      <c r="B413" s="696" t="s">
        <v>460</v>
      </c>
    </row>
    <row r="414" spans="1:2" x14ac:dyDescent="0.2">
      <c r="A414" s="696">
        <v>5105950000</v>
      </c>
      <c r="B414" s="696" t="s">
        <v>460</v>
      </c>
    </row>
    <row r="415" spans="1:2" x14ac:dyDescent="0.2">
      <c r="A415" s="696">
        <v>5105180000</v>
      </c>
      <c r="B415" s="696" t="s">
        <v>461</v>
      </c>
    </row>
    <row r="416" spans="1:2" x14ac:dyDescent="0.2">
      <c r="A416" s="696">
        <v>5105391000</v>
      </c>
      <c r="B416" s="696" t="s">
        <v>463</v>
      </c>
    </row>
    <row r="417" spans="1:3" x14ac:dyDescent="0.2">
      <c r="A417" s="696">
        <v>5105691000</v>
      </c>
      <c r="B417" s="696" t="s">
        <v>463</v>
      </c>
    </row>
    <row r="418" spans="1:3" x14ac:dyDescent="0.2">
      <c r="A418" s="696">
        <v>5105701000</v>
      </c>
      <c r="B418" s="696" t="s">
        <v>463</v>
      </c>
    </row>
    <row r="421" spans="1:3" x14ac:dyDescent="0.2">
      <c r="A421" s="696">
        <v>5160100000</v>
      </c>
      <c r="B421" s="696" t="s">
        <v>488</v>
      </c>
      <c r="C421" s="696" t="s">
        <v>489</v>
      </c>
    </row>
    <row r="427" spans="1:3" x14ac:dyDescent="0.2">
      <c r="A427" s="698" t="s">
        <v>490</v>
      </c>
    </row>
    <row r="428" spans="1:3" x14ac:dyDescent="0.2">
      <c r="A428" s="696">
        <v>1105050100</v>
      </c>
      <c r="B428" s="696" t="s">
        <v>491</v>
      </c>
      <c r="C428" s="699">
        <v>0</v>
      </c>
    </row>
    <row r="429" spans="1:3" x14ac:dyDescent="0.2">
      <c r="A429" s="696">
        <v>1105100200</v>
      </c>
      <c r="B429" s="696" t="s">
        <v>492</v>
      </c>
      <c r="C429" s="699">
        <v>7650000</v>
      </c>
    </row>
    <row r="430" spans="1:3" x14ac:dyDescent="0.2">
      <c r="A430" s="696">
        <v>1110050101</v>
      </c>
      <c r="B430" s="696" t="s">
        <v>493</v>
      </c>
      <c r="C430" s="699">
        <v>87094833.519999996</v>
      </c>
    </row>
    <row r="431" spans="1:3" x14ac:dyDescent="0.2">
      <c r="A431" s="696">
        <v>1110050106</v>
      </c>
      <c r="B431" s="696" t="s">
        <v>494</v>
      </c>
      <c r="C431" s="699">
        <v>4020934.46</v>
      </c>
    </row>
    <row r="432" spans="1:3" x14ac:dyDescent="0.2">
      <c r="A432" s="696">
        <v>1110050108</v>
      </c>
      <c r="B432" s="696" t="s">
        <v>495</v>
      </c>
      <c r="C432" s="699">
        <v>2182803.0099999998</v>
      </c>
    </row>
    <row r="433" spans="1:3" x14ac:dyDescent="0.2">
      <c r="A433" s="696">
        <v>1110050110</v>
      </c>
      <c r="B433" s="696" t="s">
        <v>496</v>
      </c>
      <c r="C433" s="699">
        <v>562187.67000000004</v>
      </c>
    </row>
    <row r="434" spans="1:3" x14ac:dyDescent="0.2">
      <c r="A434" s="696">
        <v>1110050111</v>
      </c>
      <c r="B434" s="696" t="s">
        <v>497</v>
      </c>
      <c r="C434" s="699">
        <v>4855691.87</v>
      </c>
    </row>
    <row r="435" spans="1:3" x14ac:dyDescent="0.2">
      <c r="A435" s="696">
        <v>1110100101</v>
      </c>
      <c r="B435" s="696" t="s">
        <v>498</v>
      </c>
      <c r="C435" s="699">
        <v>6300643.9299999997</v>
      </c>
    </row>
    <row r="436" spans="1:3" x14ac:dyDescent="0.2">
      <c r="A436" s="696">
        <v>1125100200</v>
      </c>
      <c r="B436" s="696" t="s">
        <v>499</v>
      </c>
      <c r="C436" s="699">
        <v>1355004.36</v>
      </c>
    </row>
    <row r="437" spans="1:3" x14ac:dyDescent="0.2">
      <c r="A437" s="696">
        <v>1130050100</v>
      </c>
      <c r="B437" s="696" t="s">
        <v>500</v>
      </c>
      <c r="C437" s="699">
        <v>377428.44</v>
      </c>
    </row>
    <row r="438" spans="1:3" x14ac:dyDescent="0.2">
      <c r="A438" s="698"/>
      <c r="C438" s="699">
        <f>SUM(C428:C437)</f>
        <v>114399527.26000001</v>
      </c>
    </row>
    <row r="439" spans="1:3" x14ac:dyDescent="0.2">
      <c r="A439" s="698"/>
    </row>
    <row r="440" spans="1:3" x14ac:dyDescent="0.2">
      <c r="A440" s="696">
        <v>1101</v>
      </c>
      <c r="B440" s="696" t="s">
        <v>501</v>
      </c>
    </row>
    <row r="441" spans="1:3" x14ac:dyDescent="0.2">
      <c r="A441" s="696">
        <v>1102</v>
      </c>
      <c r="B441" s="696" t="s">
        <v>502</v>
      </c>
    </row>
    <row r="442" spans="1:3" x14ac:dyDescent="0.2">
      <c r="A442" s="696">
        <v>1103</v>
      </c>
      <c r="B442" s="696" t="s">
        <v>503</v>
      </c>
    </row>
    <row r="443" spans="1:3" x14ac:dyDescent="0.2">
      <c r="A443" s="696">
        <v>1104</v>
      </c>
      <c r="B443" s="696" t="s">
        <v>504</v>
      </c>
    </row>
    <row r="444" spans="1:3" x14ac:dyDescent="0.2">
      <c r="A444" s="696" t="s">
        <v>505</v>
      </c>
      <c r="B444" s="696" t="s">
        <v>506</v>
      </c>
    </row>
    <row r="445" spans="1:3" x14ac:dyDescent="0.2">
      <c r="A445" s="696">
        <v>1106</v>
      </c>
      <c r="B445" s="696" t="s">
        <v>507</v>
      </c>
    </row>
    <row r="446" spans="1:3" x14ac:dyDescent="0.2">
      <c r="B446" s="696" t="s">
        <v>508</v>
      </c>
    </row>
    <row r="448" spans="1:3" x14ac:dyDescent="0.2">
      <c r="B448" s="696" t="s">
        <v>509</v>
      </c>
    </row>
    <row r="450" spans="1:2" x14ac:dyDescent="0.2">
      <c r="B450" s="696" t="s">
        <v>120</v>
      </c>
    </row>
    <row r="451" spans="1:2" x14ac:dyDescent="0.2">
      <c r="A451" s="696">
        <v>1201</v>
      </c>
      <c r="B451" s="696" t="s">
        <v>510</v>
      </c>
    </row>
    <row r="452" spans="1:2" x14ac:dyDescent="0.2">
      <c r="A452" s="696">
        <v>1202</v>
      </c>
      <c r="B452" s="696" t="s">
        <v>511</v>
      </c>
    </row>
    <row r="453" spans="1:2" x14ac:dyDescent="0.2">
      <c r="A453" s="696">
        <v>1203</v>
      </c>
      <c r="B453" s="696" t="s">
        <v>512</v>
      </c>
    </row>
    <row r="454" spans="1:2" x14ac:dyDescent="0.2">
      <c r="A454" s="696">
        <v>1204</v>
      </c>
      <c r="B454" s="696" t="s">
        <v>513</v>
      </c>
    </row>
    <row r="455" spans="1:2" x14ac:dyDescent="0.2">
      <c r="A455" s="696">
        <v>1205</v>
      </c>
      <c r="B455" s="696" t="s">
        <v>514</v>
      </c>
    </row>
    <row r="456" spans="1:2" x14ac:dyDescent="0.2">
      <c r="A456" s="696">
        <v>1206</v>
      </c>
      <c r="B456" s="696" t="s">
        <v>515</v>
      </c>
    </row>
    <row r="458" spans="1:2" x14ac:dyDescent="0.2">
      <c r="B458" s="696" t="s">
        <v>516</v>
      </c>
    </row>
    <row r="460" spans="1:2" x14ac:dyDescent="0.2">
      <c r="B460" s="696" t="s">
        <v>517</v>
      </c>
    </row>
    <row r="461" spans="1:2" x14ac:dyDescent="0.2">
      <c r="A461" s="696">
        <v>1208</v>
      </c>
      <c r="B461" s="696" t="s">
        <v>518</v>
      </c>
    </row>
    <row r="463" spans="1:2" x14ac:dyDescent="0.2">
      <c r="B463" s="696" t="s">
        <v>121</v>
      </c>
    </row>
    <row r="464" spans="1:2" x14ac:dyDescent="0.2">
      <c r="A464" s="696" t="s">
        <v>519</v>
      </c>
      <c r="B464" s="696" t="s">
        <v>520</v>
      </c>
    </row>
    <row r="465" spans="1:2" x14ac:dyDescent="0.2">
      <c r="A465" s="696">
        <v>1210</v>
      </c>
      <c r="B465" s="696" t="s">
        <v>521</v>
      </c>
    </row>
    <row r="466" spans="1:2" x14ac:dyDescent="0.2">
      <c r="A466" s="696">
        <v>1211</v>
      </c>
      <c r="B466" s="696" t="s">
        <v>522</v>
      </c>
    </row>
    <row r="467" spans="1:2" x14ac:dyDescent="0.2">
      <c r="A467" s="696">
        <v>1212</v>
      </c>
      <c r="B467" s="696" t="s">
        <v>523</v>
      </c>
    </row>
    <row r="468" spans="1:2" x14ac:dyDescent="0.2">
      <c r="B468" s="696" t="s">
        <v>524</v>
      </c>
    </row>
    <row r="470" spans="1:2" x14ac:dyDescent="0.2">
      <c r="B470" s="696" t="s">
        <v>122</v>
      </c>
    </row>
    <row r="471" spans="1:2" x14ac:dyDescent="0.2">
      <c r="A471" s="696">
        <v>1214</v>
      </c>
      <c r="B471" s="696" t="s">
        <v>525</v>
      </c>
    </row>
    <row r="472" spans="1:2" x14ac:dyDescent="0.2">
      <c r="A472" s="696">
        <v>1242</v>
      </c>
      <c r="B472" s="696" t="s">
        <v>526</v>
      </c>
    </row>
    <row r="473" spans="1:2" x14ac:dyDescent="0.2">
      <c r="A473" s="696">
        <v>1243</v>
      </c>
      <c r="B473" s="696" t="s">
        <v>527</v>
      </c>
    </row>
    <row r="474" spans="1:2" x14ac:dyDescent="0.2">
      <c r="A474" s="696">
        <v>1244</v>
      </c>
      <c r="B474" s="696" t="s">
        <v>528</v>
      </c>
    </row>
    <row r="475" spans="1:2" x14ac:dyDescent="0.2">
      <c r="A475" s="696">
        <v>1245</v>
      </c>
      <c r="B475" s="696" t="s">
        <v>529</v>
      </c>
    </row>
    <row r="476" spans="1:2" x14ac:dyDescent="0.2">
      <c r="A476" s="696">
        <v>1246</v>
      </c>
      <c r="B476" s="696" t="s">
        <v>530</v>
      </c>
    </row>
    <row r="477" spans="1:2" x14ac:dyDescent="0.2">
      <c r="A477" s="696">
        <v>1215</v>
      </c>
      <c r="B477" s="696" t="s">
        <v>531</v>
      </c>
    </row>
    <row r="478" spans="1:2" x14ac:dyDescent="0.2">
      <c r="A478" s="696">
        <v>1216</v>
      </c>
      <c r="B478" s="696" t="s">
        <v>532</v>
      </c>
    </row>
    <row r="479" spans="1:2" x14ac:dyDescent="0.2">
      <c r="A479" s="696">
        <v>1217</v>
      </c>
      <c r="B479" s="696" t="s">
        <v>533</v>
      </c>
    </row>
    <row r="480" spans="1:2" x14ac:dyDescent="0.2">
      <c r="A480" s="696">
        <v>1218</v>
      </c>
      <c r="B480" s="696" t="s">
        <v>534</v>
      </c>
    </row>
    <row r="481" spans="1:2" x14ac:dyDescent="0.2">
      <c r="A481" s="696">
        <v>1219</v>
      </c>
      <c r="B481" s="696" t="s">
        <v>535</v>
      </c>
    </row>
    <row r="482" spans="1:2" x14ac:dyDescent="0.2">
      <c r="A482" s="696">
        <v>1220</v>
      </c>
      <c r="B482" s="696" t="s">
        <v>536</v>
      </c>
    </row>
    <row r="483" spans="1:2" x14ac:dyDescent="0.2">
      <c r="A483" s="696">
        <v>1221</v>
      </c>
      <c r="B483" s="696" t="s">
        <v>537</v>
      </c>
    </row>
    <row r="484" spans="1:2" x14ac:dyDescent="0.2">
      <c r="A484" s="696">
        <v>1222</v>
      </c>
      <c r="B484" s="696" t="s">
        <v>538</v>
      </c>
    </row>
    <row r="485" spans="1:2" x14ac:dyDescent="0.2">
      <c r="A485" s="696">
        <v>1223</v>
      </c>
      <c r="B485" s="696" t="s">
        <v>539</v>
      </c>
    </row>
    <row r="486" spans="1:2" x14ac:dyDescent="0.2">
      <c r="A486" s="696">
        <v>1224</v>
      </c>
      <c r="B486" s="696" t="s">
        <v>540</v>
      </c>
    </row>
    <row r="487" spans="1:2" x14ac:dyDescent="0.2">
      <c r="A487" s="696">
        <v>1225</v>
      </c>
      <c r="B487" s="696" t="s">
        <v>541</v>
      </c>
    </row>
    <row r="488" spans="1:2" x14ac:dyDescent="0.2">
      <c r="A488" s="696">
        <v>1226</v>
      </c>
      <c r="B488" s="696" t="s">
        <v>542</v>
      </c>
    </row>
    <row r="489" spans="1:2" x14ac:dyDescent="0.2">
      <c r="A489" s="696">
        <v>1227</v>
      </c>
      <c r="B489" s="696" t="s">
        <v>543</v>
      </c>
    </row>
    <row r="490" spans="1:2" x14ac:dyDescent="0.2">
      <c r="A490" s="696">
        <v>1228</v>
      </c>
      <c r="B490" s="696" t="s">
        <v>544</v>
      </c>
    </row>
    <row r="491" spans="1:2" x14ac:dyDescent="0.2">
      <c r="A491" s="696">
        <v>1229</v>
      </c>
      <c r="B491" s="696" t="s">
        <v>545</v>
      </c>
    </row>
    <row r="492" spans="1:2" x14ac:dyDescent="0.2">
      <c r="A492" s="696">
        <v>1230</v>
      </c>
      <c r="B492" s="696" t="s">
        <v>546</v>
      </c>
    </row>
    <row r="493" spans="1:2" x14ac:dyDescent="0.2">
      <c r="A493" s="696">
        <v>1231</v>
      </c>
      <c r="B493" s="696" t="s">
        <v>547</v>
      </c>
    </row>
    <row r="494" spans="1:2" x14ac:dyDescent="0.2">
      <c r="A494" s="696">
        <v>1232</v>
      </c>
      <c r="B494" s="696" t="s">
        <v>548</v>
      </c>
    </row>
    <row r="495" spans="1:2" x14ac:dyDescent="0.2">
      <c r="A495" s="696">
        <v>1233</v>
      </c>
      <c r="B495" s="696" t="s">
        <v>549</v>
      </c>
    </row>
    <row r="496" spans="1:2" x14ac:dyDescent="0.2">
      <c r="A496" s="696">
        <v>1234</v>
      </c>
      <c r="B496" s="696" t="s">
        <v>550</v>
      </c>
    </row>
    <row r="497" spans="1:2" x14ac:dyDescent="0.2">
      <c r="A497" s="696">
        <v>1235</v>
      </c>
      <c r="B497" s="696" t="s">
        <v>551</v>
      </c>
    </row>
    <row r="498" spans="1:2" x14ac:dyDescent="0.2">
      <c r="A498" s="696">
        <v>1236</v>
      </c>
      <c r="B498" s="696" t="s">
        <v>552</v>
      </c>
    </row>
    <row r="499" spans="1:2" x14ac:dyDescent="0.2">
      <c r="A499" s="696">
        <v>1237</v>
      </c>
      <c r="B499" s="696" t="s">
        <v>553</v>
      </c>
    </row>
    <row r="500" spans="1:2" x14ac:dyDescent="0.2">
      <c r="A500" s="696">
        <v>1238</v>
      </c>
      <c r="B500" s="696" t="s">
        <v>554</v>
      </c>
    </row>
    <row r="501" spans="1:2" x14ac:dyDescent="0.2">
      <c r="A501" s="696">
        <v>1239</v>
      </c>
      <c r="B501" s="696" t="s">
        <v>555</v>
      </c>
    </row>
    <row r="502" spans="1:2" x14ac:dyDescent="0.2">
      <c r="A502" s="696">
        <v>1240</v>
      </c>
      <c r="B502" s="696" t="s">
        <v>556</v>
      </c>
    </row>
    <row r="503" spans="1:2" x14ac:dyDescent="0.2">
      <c r="A503" s="696">
        <v>1241</v>
      </c>
      <c r="B503" s="696" t="s">
        <v>557</v>
      </c>
    </row>
    <row r="504" spans="1:2" x14ac:dyDescent="0.2">
      <c r="B504" s="696" t="s">
        <v>558</v>
      </c>
    </row>
    <row r="506" spans="1:2" x14ac:dyDescent="0.2">
      <c r="B506" s="696" t="s">
        <v>559</v>
      </c>
    </row>
    <row r="508" spans="1:2" x14ac:dyDescent="0.2">
      <c r="B508" s="696" t="s">
        <v>560</v>
      </c>
    </row>
    <row r="510" spans="1:2" x14ac:dyDescent="0.2">
      <c r="B510" s="696" t="s">
        <v>561</v>
      </c>
    </row>
    <row r="512" spans="1:2" x14ac:dyDescent="0.2">
      <c r="B512" s="696" t="s">
        <v>562</v>
      </c>
    </row>
    <row r="513" spans="1:2" x14ac:dyDescent="0.2">
      <c r="A513" s="696">
        <v>2101</v>
      </c>
      <c r="B513" s="696" t="s">
        <v>563</v>
      </c>
    </row>
    <row r="514" spans="1:2" x14ac:dyDescent="0.2">
      <c r="A514" s="696">
        <v>2102</v>
      </c>
      <c r="B514" s="696" t="s">
        <v>564</v>
      </c>
    </row>
    <row r="515" spans="1:2" x14ac:dyDescent="0.2">
      <c r="A515" s="696">
        <v>2103</v>
      </c>
      <c r="B515" s="696" t="s">
        <v>565</v>
      </c>
    </row>
    <row r="516" spans="1:2" x14ac:dyDescent="0.2">
      <c r="A516" s="696">
        <v>1207</v>
      </c>
      <c r="B516" s="696" t="s">
        <v>566</v>
      </c>
    </row>
    <row r="517" spans="1:2" x14ac:dyDescent="0.2">
      <c r="B517" s="696" t="s">
        <v>567</v>
      </c>
    </row>
    <row r="519" spans="1:2" x14ac:dyDescent="0.2">
      <c r="B519" s="696" t="s">
        <v>123</v>
      </c>
    </row>
    <row r="520" spans="1:2" x14ac:dyDescent="0.2">
      <c r="A520" s="696">
        <v>3101</v>
      </c>
      <c r="B520" s="696" t="s">
        <v>568</v>
      </c>
    </row>
    <row r="521" spans="1:2" x14ac:dyDescent="0.2">
      <c r="A521" s="696" t="s">
        <v>569</v>
      </c>
      <c r="B521" s="696" t="s">
        <v>570</v>
      </c>
    </row>
    <row r="522" spans="1:2" x14ac:dyDescent="0.2">
      <c r="A522" s="696">
        <v>3103</v>
      </c>
      <c r="B522" s="696" t="s">
        <v>571</v>
      </c>
    </row>
    <row r="523" spans="1:2" x14ac:dyDescent="0.2">
      <c r="A523" s="696">
        <v>3104</v>
      </c>
      <c r="B523" s="696" t="s">
        <v>572</v>
      </c>
    </row>
    <row r="524" spans="1:2" x14ac:dyDescent="0.2">
      <c r="B524" s="696" t="s">
        <v>573</v>
      </c>
    </row>
    <row r="526" spans="1:2" x14ac:dyDescent="0.2">
      <c r="B526" s="696" t="s">
        <v>574</v>
      </c>
    </row>
    <row r="534" spans="1:12" x14ac:dyDescent="0.2">
      <c r="B534" s="696" t="s">
        <v>575</v>
      </c>
    </row>
    <row r="535" spans="1:12" x14ac:dyDescent="0.2">
      <c r="B535" s="696" t="s">
        <v>576</v>
      </c>
    </row>
    <row r="536" spans="1:12" x14ac:dyDescent="0.2">
      <c r="A536" s="696">
        <v>5101</v>
      </c>
      <c r="B536" s="696" t="s">
        <v>577</v>
      </c>
    </row>
    <row r="537" spans="1:12" x14ac:dyDescent="0.2">
      <c r="A537" s="696">
        <v>5102</v>
      </c>
      <c r="B537" s="696" t="s">
        <v>578</v>
      </c>
    </row>
    <row r="538" spans="1:12" x14ac:dyDescent="0.2">
      <c r="A538" s="696">
        <v>5103</v>
      </c>
      <c r="B538" s="696" t="s">
        <v>579</v>
      </c>
    </row>
    <row r="539" spans="1:12" x14ac:dyDescent="0.2">
      <c r="A539" s="696">
        <v>5104</v>
      </c>
      <c r="B539" s="696" t="s">
        <v>580</v>
      </c>
    </row>
    <row r="540" spans="1:12" ht="15" x14ac:dyDescent="0.25">
      <c r="A540" s="696">
        <v>5105</v>
      </c>
      <c r="B540" s="696" t="s">
        <v>581</v>
      </c>
      <c r="E540" s="10" t="s">
        <v>582</v>
      </c>
      <c r="F540" s="10" t="s">
        <v>583</v>
      </c>
    </row>
    <row r="541" spans="1:12" x14ac:dyDescent="0.2">
      <c r="B541" s="696" t="s">
        <v>584</v>
      </c>
    </row>
    <row r="542" spans="1:12" ht="15" x14ac:dyDescent="0.25">
      <c r="E542" s="10" t="s">
        <v>585</v>
      </c>
      <c r="F542" s="10"/>
      <c r="G542" s="10"/>
      <c r="H542" s="10"/>
      <c r="I542" s="10"/>
      <c r="J542" s="10"/>
      <c r="K542" s="10"/>
      <c r="L542" s="10"/>
    </row>
    <row r="543" spans="1:12" ht="15" x14ac:dyDescent="0.25">
      <c r="B543" s="696" t="s">
        <v>574</v>
      </c>
      <c r="E543" s="10" t="s">
        <v>586</v>
      </c>
      <c r="F543" s="10" t="s">
        <v>587</v>
      </c>
      <c r="G543" s="10" t="s">
        <v>376</v>
      </c>
      <c r="H543" s="10"/>
      <c r="I543" s="10"/>
      <c r="J543" s="10"/>
      <c r="K543" s="10"/>
      <c r="L543" s="10"/>
    </row>
    <row r="544" spans="1:12" ht="15" x14ac:dyDescent="0.25">
      <c r="A544" s="696">
        <v>6190</v>
      </c>
      <c r="B544" s="696" t="s">
        <v>588</v>
      </c>
      <c r="E544" s="10" t="s">
        <v>589</v>
      </c>
      <c r="F544" s="10" t="s">
        <v>590</v>
      </c>
      <c r="G544" s="713">
        <v>15856000</v>
      </c>
      <c r="H544" s="10"/>
      <c r="I544" s="10"/>
      <c r="J544" s="10"/>
      <c r="K544" s="10"/>
      <c r="L544" s="10"/>
    </row>
    <row r="545" spans="1:12" ht="15" x14ac:dyDescent="0.25">
      <c r="A545" s="696">
        <v>7101</v>
      </c>
      <c r="B545" s="696" t="s">
        <v>591</v>
      </c>
      <c r="E545" s="10" t="s">
        <v>592</v>
      </c>
      <c r="F545" s="10" t="s">
        <v>593</v>
      </c>
      <c r="G545" s="713">
        <v>89381000</v>
      </c>
      <c r="H545" s="10"/>
      <c r="I545" s="10"/>
      <c r="J545" s="10"/>
      <c r="K545" s="10"/>
      <c r="L545" s="10"/>
    </row>
    <row r="546" spans="1:12" ht="15" x14ac:dyDescent="0.25">
      <c r="A546" s="696">
        <v>7102</v>
      </c>
      <c r="B546" s="696" t="s">
        <v>593</v>
      </c>
      <c r="E546" s="10" t="s">
        <v>594</v>
      </c>
      <c r="F546" s="10" t="s">
        <v>595</v>
      </c>
      <c r="G546" s="713">
        <v>42000000</v>
      </c>
      <c r="H546" s="10"/>
      <c r="I546" s="10"/>
      <c r="J546" s="10"/>
      <c r="K546" s="10"/>
      <c r="L546" s="10"/>
    </row>
    <row r="547" spans="1:12" ht="15" x14ac:dyDescent="0.25">
      <c r="A547" s="696">
        <v>7103</v>
      </c>
      <c r="B547" s="696" t="s">
        <v>596</v>
      </c>
      <c r="E547" s="10" t="s">
        <v>383</v>
      </c>
      <c r="F547" s="10"/>
      <c r="G547" s="713">
        <v>147237000</v>
      </c>
      <c r="H547" s="10"/>
      <c r="I547" s="10"/>
      <c r="J547" s="10"/>
      <c r="K547" s="10"/>
      <c r="L547" s="10"/>
    </row>
    <row r="548" spans="1:12" ht="15" x14ac:dyDescent="0.25">
      <c r="A548" s="696">
        <v>7104</v>
      </c>
      <c r="B548" s="696" t="s">
        <v>597</v>
      </c>
      <c r="E548" s="10"/>
      <c r="F548" s="10"/>
      <c r="G548" s="10"/>
      <c r="H548" s="10"/>
      <c r="I548" s="10"/>
      <c r="J548" s="10"/>
      <c r="K548" s="10"/>
      <c r="L548" s="10"/>
    </row>
    <row r="549" spans="1:12" ht="15" x14ac:dyDescent="0.25">
      <c r="A549" s="696">
        <v>7105</v>
      </c>
      <c r="B549" s="696" t="s">
        <v>598</v>
      </c>
      <c r="E549" s="10"/>
      <c r="F549" s="10"/>
      <c r="G549" s="10"/>
      <c r="H549" s="10"/>
      <c r="I549" s="10"/>
      <c r="J549" s="10"/>
      <c r="K549" s="10"/>
      <c r="L549" s="10"/>
    </row>
    <row r="550" spans="1:12" ht="15" x14ac:dyDescent="0.25">
      <c r="A550" s="696" t="s">
        <v>599</v>
      </c>
      <c r="B550" s="696" t="s">
        <v>600</v>
      </c>
      <c r="E550" s="10"/>
      <c r="F550" s="10"/>
      <c r="G550" s="10"/>
      <c r="H550" s="10"/>
      <c r="I550" s="10"/>
      <c r="J550" s="10"/>
      <c r="K550" s="10"/>
      <c r="L550" s="10"/>
    </row>
    <row r="551" spans="1:12" ht="15" x14ac:dyDescent="0.25">
      <c r="A551" s="696">
        <v>4101</v>
      </c>
      <c r="B551" s="696" t="s">
        <v>601</v>
      </c>
      <c r="E551" s="10"/>
      <c r="F551" s="10"/>
      <c r="G551" s="10"/>
      <c r="H551" s="10"/>
      <c r="I551" s="10"/>
      <c r="J551" s="10"/>
      <c r="K551" s="10"/>
    </row>
    <row r="552" spans="1:12" ht="15" x14ac:dyDescent="0.25">
      <c r="A552" s="696">
        <v>4102</v>
      </c>
      <c r="B552" s="696" t="s">
        <v>590</v>
      </c>
      <c r="E552" s="10"/>
      <c r="F552" s="10"/>
      <c r="G552" s="10"/>
      <c r="H552" s="10"/>
      <c r="I552" s="10"/>
      <c r="J552" s="10"/>
      <c r="K552" s="10"/>
    </row>
    <row r="553" spans="1:12" ht="15" x14ac:dyDescent="0.25">
      <c r="E553" s="10"/>
      <c r="F553" s="10"/>
      <c r="G553" s="10"/>
      <c r="H553" s="10"/>
      <c r="I553" s="10"/>
      <c r="J553" s="10"/>
      <c r="K553" s="10"/>
    </row>
    <row r="554" spans="1:12" ht="15" x14ac:dyDescent="0.25">
      <c r="E554" s="10"/>
      <c r="F554" s="10"/>
      <c r="G554" s="10"/>
      <c r="H554" s="10"/>
      <c r="I554" s="10"/>
      <c r="J554" s="10"/>
      <c r="K554" s="10"/>
    </row>
    <row r="555" spans="1:12" ht="15" x14ac:dyDescent="0.25">
      <c r="B555" s="696" t="s">
        <v>602</v>
      </c>
      <c r="E555" s="10"/>
      <c r="F555" s="10"/>
      <c r="G555" s="10"/>
      <c r="H555" s="10"/>
      <c r="I555" s="10"/>
      <c r="J555" s="10"/>
      <c r="K555" s="10"/>
    </row>
    <row r="556" spans="1:12" ht="15" x14ac:dyDescent="0.25">
      <c r="A556" s="698" t="s">
        <v>603</v>
      </c>
      <c r="E556" s="10"/>
      <c r="F556" s="10"/>
      <c r="G556" s="10"/>
    </row>
    <row r="557" spans="1:12" ht="15" x14ac:dyDescent="0.25">
      <c r="A557" s="719">
        <v>1110050100</v>
      </c>
      <c r="B557" s="720" t="s">
        <v>604</v>
      </c>
      <c r="E557" s="10"/>
      <c r="F557" s="10"/>
      <c r="G557" s="10"/>
    </row>
    <row r="558" spans="1:12" ht="15" x14ac:dyDescent="0.25">
      <c r="A558" s="719">
        <v>1110050200</v>
      </c>
      <c r="B558" s="696" t="s">
        <v>605</v>
      </c>
      <c r="E558" s="10"/>
      <c r="F558" s="10"/>
      <c r="G558" s="10"/>
    </row>
    <row r="559" spans="1:12" ht="15" x14ac:dyDescent="0.25">
      <c r="E559" s="10"/>
      <c r="F559" s="10"/>
      <c r="G559" s="10"/>
    </row>
    <row r="563" spans="1:2" x14ac:dyDescent="0.2">
      <c r="A563" s="696">
        <v>4170250000</v>
      </c>
      <c r="B563" s="696" t="s">
        <v>606</v>
      </c>
    </row>
    <row r="565" spans="1:2" x14ac:dyDescent="0.2">
      <c r="A565" s="696">
        <v>4218050000</v>
      </c>
      <c r="B565" s="696" t="s">
        <v>607</v>
      </c>
    </row>
    <row r="568" spans="1:2" x14ac:dyDescent="0.2">
      <c r="A568" s="696">
        <v>5210350000</v>
      </c>
      <c r="B568" s="696" t="s">
        <v>608</v>
      </c>
    </row>
    <row r="569" spans="1:2" x14ac:dyDescent="0.2">
      <c r="A569" s="696">
        <v>5140950000</v>
      </c>
    </row>
    <row r="571" spans="1:2" x14ac:dyDescent="0.2">
      <c r="A571" s="719">
        <v>5305950000</v>
      </c>
      <c r="B571" s="696" t="s">
        <v>609</v>
      </c>
    </row>
    <row r="572" spans="1:2" x14ac:dyDescent="0.2">
      <c r="A572" s="719">
        <v>5313050000</v>
      </c>
      <c r="B572" s="696" t="s">
        <v>607</v>
      </c>
    </row>
    <row r="573" spans="1:2" x14ac:dyDescent="0.2">
      <c r="A573" s="696">
        <v>5310950000</v>
      </c>
      <c r="B573" s="696" t="s">
        <v>610</v>
      </c>
    </row>
    <row r="577" spans="1:3" x14ac:dyDescent="0.2">
      <c r="A577" s="696">
        <v>1101</v>
      </c>
      <c r="B577" s="696" t="s">
        <v>611</v>
      </c>
    </row>
    <row r="578" spans="1:3" x14ac:dyDescent="0.2">
      <c r="A578" s="696">
        <v>1102</v>
      </c>
      <c r="B578" s="696" t="s">
        <v>612</v>
      </c>
    </row>
    <row r="579" spans="1:3" x14ac:dyDescent="0.2">
      <c r="A579" s="696">
        <v>1103</v>
      </c>
      <c r="B579" s="696" t="s">
        <v>613</v>
      </c>
    </row>
    <row r="580" spans="1:3" x14ac:dyDescent="0.2">
      <c r="A580" s="696">
        <v>1104</v>
      </c>
      <c r="B580" s="696" t="s">
        <v>614</v>
      </c>
    </row>
    <row r="581" spans="1:3" x14ac:dyDescent="0.2">
      <c r="A581" s="696">
        <v>1106</v>
      </c>
      <c r="B581" s="696" t="s">
        <v>615</v>
      </c>
    </row>
    <row r="582" spans="1:3" x14ac:dyDescent="0.2">
      <c r="A582" s="696">
        <v>9999</v>
      </c>
      <c r="B582" s="696" t="s">
        <v>616</v>
      </c>
      <c r="C582" s="696" t="s">
        <v>617</v>
      </c>
    </row>
    <row r="584" spans="1:3" x14ac:dyDescent="0.2">
      <c r="A584" s="696">
        <v>1218</v>
      </c>
      <c r="B584" s="696" t="s">
        <v>618</v>
      </c>
    </row>
    <row r="585" spans="1:3" x14ac:dyDescent="0.2">
      <c r="A585" s="696">
        <v>1223</v>
      </c>
      <c r="B585" s="696" t="s">
        <v>619</v>
      </c>
    </row>
    <row r="586" spans="1:3" x14ac:dyDescent="0.2">
      <c r="A586" s="696">
        <v>1231</v>
      </c>
      <c r="B586" s="696" t="s">
        <v>620</v>
      </c>
    </row>
    <row r="587" spans="1:3" x14ac:dyDescent="0.2">
      <c r="A587" s="696">
        <v>1235</v>
      </c>
      <c r="B587" s="696" t="s">
        <v>621</v>
      </c>
    </row>
    <row r="588" spans="1:3" x14ac:dyDescent="0.2">
      <c r="A588" s="696">
        <v>1201</v>
      </c>
      <c r="B588" s="696" t="s">
        <v>622</v>
      </c>
    </row>
    <row r="591" spans="1:3" x14ac:dyDescent="0.2">
      <c r="A591" s="696">
        <v>5103</v>
      </c>
      <c r="B591" s="696" t="s">
        <v>579</v>
      </c>
      <c r="C591" s="696" t="s">
        <v>623</v>
      </c>
    </row>
    <row r="592" spans="1:3" x14ac:dyDescent="0.2">
      <c r="A592" s="696">
        <v>5104</v>
      </c>
      <c r="B592" s="696" t="s">
        <v>580</v>
      </c>
      <c r="C592" s="696" t="s">
        <v>617</v>
      </c>
    </row>
    <row r="593" spans="1:3" x14ac:dyDescent="0.2">
      <c r="A593" s="696">
        <v>5105</v>
      </c>
      <c r="B593" s="696" t="s">
        <v>624</v>
      </c>
      <c r="C593" s="696" t="s">
        <v>617</v>
      </c>
    </row>
    <row r="594" spans="1:3" x14ac:dyDescent="0.2">
      <c r="A594" s="696">
        <v>5106</v>
      </c>
      <c r="B594" s="696" t="s">
        <v>625</v>
      </c>
      <c r="C594" s="696" t="s">
        <v>623</v>
      </c>
    </row>
    <row r="595" spans="1:3" x14ac:dyDescent="0.2">
      <c r="A595" s="696">
        <v>7101</v>
      </c>
      <c r="B595" s="696" t="s">
        <v>626</v>
      </c>
    </row>
  </sheetData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3AD73-2C58-48D3-AB13-C8AF6471702C}">
  <sheetPr>
    <tabColor rgb="FF92D050"/>
  </sheetPr>
  <dimension ref="A1:X82"/>
  <sheetViews>
    <sheetView topLeftCell="A3" zoomScale="87" zoomScaleNormal="87" workbookViewId="0">
      <selection activeCell="U12" sqref="U12"/>
    </sheetView>
  </sheetViews>
  <sheetFormatPr baseColWidth="10" defaultRowHeight="15" x14ac:dyDescent="0.25"/>
  <cols>
    <col min="1" max="1" width="11.85546875" style="181" customWidth="1"/>
    <col min="2" max="2" width="13.7109375" style="181" customWidth="1"/>
    <col min="3" max="3" width="40.28515625" style="10" customWidth="1"/>
    <col min="4" max="4" width="13.42578125" style="10" customWidth="1"/>
    <col min="5" max="5" width="0.42578125" style="10" customWidth="1"/>
    <col min="6" max="6" width="11.42578125" style="10" customWidth="1"/>
    <col min="7" max="7" width="7.85546875" style="10" hidden="1" customWidth="1"/>
    <col min="8" max="8" width="10.5703125" style="10" customWidth="1"/>
    <col min="9" max="9" width="10.7109375" style="10" customWidth="1"/>
    <col min="10" max="10" width="6.85546875" style="10" customWidth="1"/>
    <col min="11" max="11" width="7" style="10" customWidth="1"/>
    <col min="12" max="12" width="11.7109375" style="10" customWidth="1"/>
    <col min="13" max="13" width="0.140625" style="10" customWidth="1"/>
    <col min="14" max="14" width="13.85546875" style="10" customWidth="1"/>
    <col min="15" max="15" width="9.42578125" style="10" customWidth="1"/>
    <col min="16" max="16" width="13.7109375" style="10" customWidth="1"/>
    <col min="17" max="17" width="0.140625" style="10" customWidth="1"/>
    <col min="18" max="18" width="8.42578125" style="10" customWidth="1"/>
    <col min="19" max="19" width="7" style="10" hidden="1" customWidth="1"/>
    <col min="20" max="20" width="14" style="138" customWidth="1"/>
    <col min="21" max="21" width="11.42578125" style="138" customWidth="1"/>
    <col min="22" max="22" width="11.7109375" style="178" customWidth="1"/>
    <col min="23" max="23" width="11.42578125" style="138"/>
    <col min="24" max="24" width="11.42578125" style="12"/>
    <col min="25" max="16384" width="11.42578125" style="10"/>
  </cols>
  <sheetData>
    <row r="1" spans="1:24" s="4" customFormat="1" ht="45" hidden="1" customHeight="1" x14ac:dyDescent="0.25">
      <c r="A1" s="180"/>
      <c r="B1" s="180"/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138" t="s">
        <v>5</v>
      </c>
      <c r="U1" s="138" t="s">
        <v>6</v>
      </c>
      <c r="V1" s="178" t="s">
        <v>7</v>
      </c>
      <c r="W1" s="138" t="s">
        <v>7</v>
      </c>
      <c r="X1" s="5"/>
    </row>
    <row r="2" spans="1:24" ht="30" hidden="1" customHeight="1" x14ac:dyDescent="0.25">
      <c r="A2" s="180"/>
      <c r="D2" s="11">
        <f>B2</f>
        <v>0</v>
      </c>
      <c r="F2" s="10" t="e">
        <f>CONCATENATE(LEFT(B2,4)-1,RIGHT(B2,2))</f>
        <v>#VALUE!</v>
      </c>
      <c r="H2" s="10">
        <f>B2</f>
        <v>0</v>
      </c>
      <c r="L2" s="11" t="s">
        <v>10</v>
      </c>
      <c r="N2" s="10" t="e">
        <f>+F2</f>
        <v>#VALUE!</v>
      </c>
      <c r="P2" s="11">
        <f>D2</f>
        <v>0</v>
      </c>
      <c r="T2" s="138" t="s">
        <v>10</v>
      </c>
      <c r="U2" s="138" t="s">
        <v>84</v>
      </c>
      <c r="V2" s="178">
        <v>201301</v>
      </c>
      <c r="W2" s="138">
        <v>201301</v>
      </c>
    </row>
    <row r="3" spans="1:24" ht="18.75" thickBot="1" x14ac:dyDescent="0.3">
      <c r="A3" s="181">
        <f>+'COLOMB$ '!A3</f>
        <v>202101</v>
      </c>
      <c r="B3" s="181">
        <f>+'COLOMB$ '!B3</f>
        <v>202201</v>
      </c>
      <c r="C3" s="17" t="s">
        <v>11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</row>
    <row r="4" spans="1:24" ht="15.75" thickBot="1" x14ac:dyDescent="0.3">
      <c r="A4" s="181">
        <f>+'COLOMB$ '!A4</f>
        <v>202104</v>
      </c>
      <c r="B4" s="181">
        <f>+'COLOMB$ '!B4</f>
        <v>202204</v>
      </c>
      <c r="C4" s="21"/>
      <c r="D4" s="182" t="str">
        <f>+'COLOMB$ '!D4:K4</f>
        <v>31/04/2022</v>
      </c>
      <c r="E4" s="26"/>
      <c r="F4" s="26"/>
      <c r="G4" s="26"/>
      <c r="H4" s="27"/>
      <c r="I4" s="27"/>
      <c r="J4" s="27"/>
      <c r="K4" s="183"/>
      <c r="L4" s="25" t="s">
        <v>13</v>
      </c>
      <c r="M4" s="26"/>
      <c r="N4" s="26"/>
      <c r="O4" s="26"/>
      <c r="P4" s="27"/>
      <c r="Q4" s="27"/>
      <c r="R4" s="27"/>
      <c r="S4" s="28"/>
      <c r="T4" s="138" t="s">
        <v>13</v>
      </c>
    </row>
    <row r="5" spans="1:24" ht="15.75" customHeight="1" thickBot="1" x14ac:dyDescent="0.3">
      <c r="C5" s="36" t="s">
        <v>16</v>
      </c>
      <c r="D5" s="51" t="str">
        <f>+'COLOMB$ '!D5:E5</f>
        <v>Ppto 2022</v>
      </c>
      <c r="E5" s="51"/>
      <c r="F5" s="51" t="str">
        <f>+'COLOMB$ '!F5:G5</f>
        <v>Real 2021</v>
      </c>
      <c r="G5" s="51"/>
      <c r="H5" s="51" t="str">
        <f>+'COLOMB$ '!H5:I5</f>
        <v>real 2022</v>
      </c>
      <c r="I5" s="51"/>
      <c r="J5" s="39" t="s">
        <v>20</v>
      </c>
      <c r="K5" s="40" t="s">
        <v>21</v>
      </c>
      <c r="L5" s="51" t="str">
        <f>+D5</f>
        <v>Ppto 2022</v>
      </c>
      <c r="M5" s="51"/>
      <c r="N5" s="184" t="str">
        <f>+F5</f>
        <v>Real 2021</v>
      </c>
      <c r="O5" s="185"/>
      <c r="P5" s="186" t="str">
        <f>+H5</f>
        <v>real 2022</v>
      </c>
      <c r="Q5" s="186"/>
      <c r="R5" s="39" t="s">
        <v>20</v>
      </c>
      <c r="S5" s="41" t="s">
        <v>21</v>
      </c>
      <c r="T5" s="138" t="s">
        <v>85</v>
      </c>
      <c r="U5" s="138" t="s">
        <v>86</v>
      </c>
      <c r="V5" s="178" t="s">
        <v>87</v>
      </c>
      <c r="W5" s="138" t="s">
        <v>88</v>
      </c>
    </row>
    <row r="6" spans="1:24" ht="15.75" thickBot="1" x14ac:dyDescent="0.3">
      <c r="B6" s="187" t="s">
        <v>89</v>
      </c>
      <c r="C6" s="50" t="s">
        <v>26</v>
      </c>
      <c r="D6" s="51" t="s">
        <v>27</v>
      </c>
      <c r="E6" s="52" t="s">
        <v>28</v>
      </c>
      <c r="F6" s="51" t="s">
        <v>27</v>
      </c>
      <c r="G6" s="52" t="s">
        <v>28</v>
      </c>
      <c r="H6" s="51" t="s">
        <v>27</v>
      </c>
      <c r="I6" s="54" t="s">
        <v>28</v>
      </c>
      <c r="J6" s="55" t="s">
        <v>29</v>
      </c>
      <c r="K6" s="52" t="s">
        <v>29</v>
      </c>
      <c r="L6" s="51" t="s">
        <v>27</v>
      </c>
      <c r="M6" s="52" t="s">
        <v>28</v>
      </c>
      <c r="N6" s="51" t="s">
        <v>27</v>
      </c>
      <c r="O6" s="52" t="s">
        <v>28</v>
      </c>
      <c r="P6" s="186" t="s">
        <v>27</v>
      </c>
      <c r="Q6" s="54" t="s">
        <v>28</v>
      </c>
      <c r="R6" s="55" t="s">
        <v>29</v>
      </c>
      <c r="S6" s="56" t="s">
        <v>29</v>
      </c>
      <c r="T6" s="138" t="s">
        <v>27</v>
      </c>
      <c r="U6" s="138" t="s">
        <v>27</v>
      </c>
      <c r="V6" s="178" t="s">
        <v>27</v>
      </c>
      <c r="W6" s="138" t="s">
        <v>27</v>
      </c>
    </row>
    <row r="7" spans="1:24" ht="15.75" customHeight="1" x14ac:dyDescent="0.25">
      <c r="B7" s="181" t="s">
        <v>90</v>
      </c>
      <c r="C7" s="65" t="str">
        <f>+'COLOMB$ '!C7</f>
        <v>Fact. Musical Experience  (Ambiental)</v>
      </c>
      <c r="D7" s="66">
        <v>0</v>
      </c>
      <c r="E7" s="67">
        <f t="shared" ref="E7:E12" si="0">+D7/$D$17</f>
        <v>0</v>
      </c>
      <c r="F7" s="66"/>
      <c r="G7" s="67" t="e">
        <f t="shared" ref="G7:G13" si="1">+F7/$F$17</f>
        <v>#DIV/0!</v>
      </c>
      <c r="H7" s="66"/>
      <c r="I7" s="68" t="e">
        <f>+H7/$H$17</f>
        <v>#DIV/0!</v>
      </c>
      <c r="J7" s="69" t="str">
        <f>IF(D7=0,"",(H7-D7)/ABS(D7)+1)</f>
        <v/>
      </c>
      <c r="K7" s="69" t="str">
        <f>IF(F7=0,"",(H7-F7)/ABS(F7))</f>
        <v/>
      </c>
      <c r="L7" s="66"/>
      <c r="M7" s="67">
        <f t="shared" ref="M7:M12" si="2">+L7/$L$17</f>
        <v>0</v>
      </c>
      <c r="N7" s="66"/>
      <c r="O7" s="68">
        <f t="shared" ref="O7:O12" si="3">+N7/$N$17</f>
        <v>0</v>
      </c>
      <c r="P7" s="66">
        <v>0</v>
      </c>
      <c r="Q7" s="68" t="e">
        <f t="shared" ref="Q7:Q12" si="4">+P7/$P$17</f>
        <v>#DIV/0!</v>
      </c>
      <c r="R7" s="69" t="str">
        <f>IF(L7=0,"",(P7-L7)/ABS(L7)+1)</f>
        <v/>
      </c>
      <c r="S7" s="70" t="str">
        <f>IF(N7=0,"",(P7-N7)/ABS(N7))</f>
        <v/>
      </c>
    </row>
    <row r="8" spans="1:24" ht="15" customHeight="1" x14ac:dyDescent="0.25">
      <c r="B8" s="181" t="s">
        <v>91</v>
      </c>
      <c r="C8" s="65" t="str">
        <f>+'COLOMB$ '!C8</f>
        <v>Instalaciones</v>
      </c>
      <c r="D8" s="66">
        <v>0</v>
      </c>
      <c r="E8" s="67">
        <f t="shared" si="0"/>
        <v>0</v>
      </c>
      <c r="F8" s="66"/>
      <c r="G8" s="67" t="e">
        <f t="shared" si="1"/>
        <v>#DIV/0!</v>
      </c>
      <c r="H8" s="66"/>
      <c r="I8" s="68" t="e">
        <f>+H8/$H$17</f>
        <v>#DIV/0!</v>
      </c>
      <c r="J8" s="69" t="str">
        <f t="shared" ref="J8:J34" si="5">IF(D8=0,"",(H8-D8)/ABS(D8)+1)</f>
        <v/>
      </c>
      <c r="K8" s="69" t="str">
        <f t="shared" ref="K8:K34" si="6">IF(F8=0,"",(H8-F8)/ABS(F8))</f>
        <v/>
      </c>
      <c r="L8" s="66"/>
      <c r="M8" s="67">
        <f t="shared" si="2"/>
        <v>0</v>
      </c>
      <c r="N8" s="66"/>
      <c r="O8" s="68">
        <f t="shared" si="3"/>
        <v>0</v>
      </c>
      <c r="P8" s="66">
        <v>0</v>
      </c>
      <c r="Q8" s="68" t="e">
        <f t="shared" si="4"/>
        <v>#DIV/0!</v>
      </c>
      <c r="R8" s="69" t="str">
        <f t="shared" ref="R8:R34" si="7">IF(L8=0,"",(P8-L8)/ABS(L8)+1)</f>
        <v/>
      </c>
      <c r="S8" s="70" t="str">
        <f t="shared" ref="S8:S34" si="8">IF(N8=0,"",(P8-N8)/ABS(N8))</f>
        <v/>
      </c>
    </row>
    <row r="9" spans="1:24" x14ac:dyDescent="0.25">
      <c r="B9" s="181" t="s">
        <v>39</v>
      </c>
      <c r="C9" s="65" t="str">
        <f>+'COLOMB$ '!C9</f>
        <v>Fact.Voice Experience (Publihold)</v>
      </c>
      <c r="D9" s="66">
        <v>0</v>
      </c>
      <c r="E9" s="67">
        <f t="shared" si="0"/>
        <v>0</v>
      </c>
      <c r="F9" s="66"/>
      <c r="G9" s="67" t="e">
        <f t="shared" si="1"/>
        <v>#DIV/0!</v>
      </c>
      <c r="H9" s="66"/>
      <c r="I9" s="68" t="e">
        <f t="shared" ref="I9:I12" si="9">+H9/$H$17</f>
        <v>#DIV/0!</v>
      </c>
      <c r="J9" s="69" t="str">
        <f t="shared" si="5"/>
        <v/>
      </c>
      <c r="K9" s="69" t="str">
        <f t="shared" si="6"/>
        <v/>
      </c>
      <c r="L9" s="66"/>
      <c r="M9" s="67">
        <f t="shared" si="2"/>
        <v>0</v>
      </c>
      <c r="N9" s="66">
        <f>+F9+U9</f>
        <v>0</v>
      </c>
      <c r="O9" s="68">
        <f t="shared" si="3"/>
        <v>0</v>
      </c>
      <c r="P9" s="66">
        <v>0</v>
      </c>
      <c r="Q9" s="68" t="e">
        <f t="shared" si="4"/>
        <v>#DIV/0!</v>
      </c>
      <c r="R9" s="69" t="str">
        <f t="shared" si="7"/>
        <v/>
      </c>
      <c r="S9" s="70" t="str">
        <f t="shared" si="8"/>
        <v/>
      </c>
      <c r="U9" s="138">
        <v>0</v>
      </c>
    </row>
    <row r="10" spans="1:24" x14ac:dyDescent="0.25">
      <c r="B10" s="181" t="s">
        <v>92</v>
      </c>
      <c r="C10" s="65" t="str">
        <f>+'COLOMB$ '!C10</f>
        <v>Fact. Service &amp; Equipment Experience</v>
      </c>
      <c r="D10" s="66">
        <v>1274</v>
      </c>
      <c r="E10" s="67">
        <f t="shared" si="0"/>
        <v>1</v>
      </c>
      <c r="F10" s="66"/>
      <c r="G10" s="67" t="e">
        <f t="shared" si="1"/>
        <v>#DIV/0!</v>
      </c>
      <c r="H10" s="66">
        <v>0</v>
      </c>
      <c r="I10" s="68" t="e">
        <f t="shared" si="9"/>
        <v>#DIV/0!</v>
      </c>
      <c r="J10" s="69">
        <f t="shared" si="5"/>
        <v>0</v>
      </c>
      <c r="K10" s="69" t="str">
        <f t="shared" si="6"/>
        <v/>
      </c>
      <c r="L10" s="66">
        <v>4732</v>
      </c>
      <c r="M10" s="67">
        <f t="shared" si="2"/>
        <v>1</v>
      </c>
      <c r="N10" s="66">
        <v>517.64700000000005</v>
      </c>
      <c r="O10" s="68">
        <f t="shared" si="3"/>
        <v>1</v>
      </c>
      <c r="P10" s="66">
        <v>0</v>
      </c>
      <c r="Q10" s="68" t="e">
        <f t="shared" si="4"/>
        <v>#DIV/0!</v>
      </c>
      <c r="R10" s="69">
        <f t="shared" si="7"/>
        <v>0</v>
      </c>
      <c r="S10" s="70">
        <f t="shared" si="8"/>
        <v>-1</v>
      </c>
      <c r="T10" s="138">
        <v>0</v>
      </c>
      <c r="U10" s="138">
        <v>0</v>
      </c>
      <c r="V10" s="178">
        <v>0</v>
      </c>
      <c r="W10" s="138">
        <v>265918.90000000002</v>
      </c>
    </row>
    <row r="11" spans="1:24" ht="15" customHeight="1" x14ac:dyDescent="0.25">
      <c r="B11" s="181">
        <v>4170250500</v>
      </c>
      <c r="C11" s="65" t="str">
        <f>+'COLOMB$ '!C11</f>
        <v>POP Satelital</v>
      </c>
      <c r="D11" s="66">
        <v>0</v>
      </c>
      <c r="E11" s="67">
        <f t="shared" si="0"/>
        <v>0</v>
      </c>
      <c r="F11" s="66"/>
      <c r="G11" s="67" t="e">
        <f t="shared" si="1"/>
        <v>#DIV/0!</v>
      </c>
      <c r="H11" s="66"/>
      <c r="I11" s="68" t="e">
        <f t="shared" si="9"/>
        <v>#DIV/0!</v>
      </c>
      <c r="J11" s="69" t="str">
        <f>IF(D11=0,"",(H11-D11)/ABS(D11)+1)</f>
        <v/>
      </c>
      <c r="K11" s="69" t="str">
        <f>IF(F11=0,"",(H11-F11)/ABS(F11))</f>
        <v/>
      </c>
      <c r="L11" s="66"/>
      <c r="M11" s="67">
        <f t="shared" si="2"/>
        <v>0</v>
      </c>
      <c r="N11" s="66">
        <f t="shared" ref="N11" si="10">+F11+U11</f>
        <v>0</v>
      </c>
      <c r="O11" s="68">
        <f t="shared" si="3"/>
        <v>0</v>
      </c>
      <c r="P11" s="66">
        <v>0</v>
      </c>
      <c r="Q11" s="68" t="e">
        <f t="shared" si="4"/>
        <v>#DIV/0!</v>
      </c>
      <c r="R11" s="69" t="str">
        <f>IF(L11=0,"",(P11-L11)/ABS(L11)+1)</f>
        <v/>
      </c>
      <c r="S11" s="70" t="str">
        <f>IF(N11=0,"",(P11-N11)/ABS(N11))</f>
        <v/>
      </c>
      <c r="U11" s="138">
        <v>0</v>
      </c>
    </row>
    <row r="12" spans="1:24" ht="15" customHeight="1" x14ac:dyDescent="0.25">
      <c r="B12" s="181" t="s">
        <v>47</v>
      </c>
      <c r="C12" s="65" t="str">
        <f>+'COLOMB$ '!C12</f>
        <v xml:space="preserve"> Fact.Voice Experience (Audicóm)</v>
      </c>
      <c r="D12" s="66">
        <v>0</v>
      </c>
      <c r="E12" s="67">
        <f t="shared" si="0"/>
        <v>0</v>
      </c>
      <c r="F12" s="66"/>
      <c r="G12" s="67" t="e">
        <f t="shared" si="1"/>
        <v>#DIV/0!</v>
      </c>
      <c r="H12" s="66"/>
      <c r="I12" s="68" t="e">
        <f t="shared" si="9"/>
        <v>#DIV/0!</v>
      </c>
      <c r="J12" s="69" t="str">
        <f>IF(D12=0,"",(H12-D12)/ABS(D12)+1)</f>
        <v/>
      </c>
      <c r="K12" s="69" t="str">
        <f>IF(F12=0,"",(H12-F12)/ABS(F12))</f>
        <v/>
      </c>
      <c r="L12" s="66"/>
      <c r="M12" s="67">
        <f t="shared" si="2"/>
        <v>0</v>
      </c>
      <c r="N12" s="66"/>
      <c r="O12" s="68">
        <f t="shared" si="3"/>
        <v>0</v>
      </c>
      <c r="P12" s="66">
        <v>0</v>
      </c>
      <c r="Q12" s="68" t="e">
        <f t="shared" si="4"/>
        <v>#DIV/0!</v>
      </c>
      <c r="R12" s="69" t="str">
        <f>IF(L12=0,"",(P12-L12)/ABS(L12)+1)</f>
        <v/>
      </c>
      <c r="S12" s="70" t="str">
        <f>IF(N12=0,"",(P12-N12)/ABS(N12))</f>
        <v/>
      </c>
    </row>
    <row r="13" spans="1:24" ht="15" customHeight="1" x14ac:dyDescent="0.25">
      <c r="B13" s="181">
        <v>4155951000</v>
      </c>
      <c r="C13" s="65" t="str">
        <f>+'COLOMB$ '!C13</f>
        <v>Fact. Servicio Satelital</v>
      </c>
      <c r="D13" s="66">
        <v>0</v>
      </c>
      <c r="E13" s="67"/>
      <c r="F13" s="66"/>
      <c r="G13" s="67" t="e">
        <f t="shared" si="1"/>
        <v>#DIV/0!</v>
      </c>
      <c r="H13" s="66"/>
      <c r="I13" s="68" t="e">
        <f>+H13/$H$17</f>
        <v>#DIV/0!</v>
      </c>
      <c r="J13" s="69" t="str">
        <f>IF(D13=0,"",(H13-D13)/ABS(D13)+1)</f>
        <v/>
      </c>
      <c r="K13" s="69" t="str">
        <f>IF(F13=0,"",(H13-F13)/ABS(F13))</f>
        <v/>
      </c>
      <c r="L13" s="66"/>
      <c r="M13" s="67">
        <f>+L13/$L$17</f>
        <v>0</v>
      </c>
      <c r="N13" s="66"/>
      <c r="O13" s="68">
        <f>+N13/$N$17</f>
        <v>0</v>
      </c>
      <c r="P13" s="66">
        <v>0</v>
      </c>
      <c r="Q13" s="68" t="e">
        <f>+P13/$P$17</f>
        <v>#DIV/0!</v>
      </c>
      <c r="R13" s="69" t="str">
        <f>IF(L13=0,"",(P13-L13)/ABS(L13)+1)</f>
        <v/>
      </c>
      <c r="S13" s="70" t="str">
        <f>IF(N13=0,"",(P13-N13)/ABS(N13))</f>
        <v/>
      </c>
    </row>
    <row r="14" spans="1:24" x14ac:dyDescent="0.25">
      <c r="B14" s="181">
        <v>4155951500</v>
      </c>
      <c r="C14" s="65" t="str">
        <f>+'COLOMB$ '!C14</f>
        <v>Fact. Visual Experience</v>
      </c>
      <c r="D14" s="66">
        <v>0</v>
      </c>
      <c r="E14" s="67"/>
      <c r="F14" s="66">
        <v>0</v>
      </c>
      <c r="G14" s="67"/>
      <c r="H14" s="66"/>
      <c r="I14" s="68" t="e">
        <f>+H14/$H$17</f>
        <v>#DIV/0!</v>
      </c>
      <c r="J14" s="69" t="str">
        <f>IF(D14=0,"",(H14-D14)/ABS(D14)+1)</f>
        <v/>
      </c>
      <c r="K14" s="69" t="str">
        <f>IF(F14=0,"",(H14-F14)/ABS(F14))</f>
        <v/>
      </c>
      <c r="L14" s="66"/>
      <c r="M14" s="67">
        <f>+L14/$L$17</f>
        <v>0</v>
      </c>
      <c r="N14" s="66"/>
      <c r="O14" s="68">
        <f>+N14/$N$17</f>
        <v>0</v>
      </c>
      <c r="P14" s="66">
        <v>0</v>
      </c>
      <c r="Q14" s="68" t="e">
        <f>+P14/$P$17</f>
        <v>#DIV/0!</v>
      </c>
      <c r="R14" s="69" t="str">
        <f>IF(L14=0,"",(P14-L14)/ABS(L14)+1)</f>
        <v/>
      </c>
      <c r="S14" s="70" t="str">
        <f>IF(N14=0,"",(P14-N14)/ABS(N14))</f>
        <v/>
      </c>
    </row>
    <row r="15" spans="1:24" x14ac:dyDescent="0.25">
      <c r="B15" s="181" t="s">
        <v>54</v>
      </c>
      <c r="C15" s="65" t="str">
        <f>+'COLOMB$ '!C15</f>
        <v>Fac.   Olfa Experience</v>
      </c>
      <c r="D15" s="66">
        <v>0</v>
      </c>
      <c r="E15" s="67"/>
      <c r="F15" s="66"/>
      <c r="G15" s="67"/>
      <c r="H15" s="66"/>
      <c r="I15" s="68"/>
      <c r="J15" s="69"/>
      <c r="K15" s="69"/>
      <c r="L15" s="66">
        <v>0</v>
      </c>
      <c r="M15" s="67"/>
      <c r="N15" s="66"/>
      <c r="O15" s="68"/>
      <c r="P15" s="66"/>
      <c r="Q15" s="68"/>
      <c r="R15" s="69"/>
      <c r="S15" s="70"/>
    </row>
    <row r="16" spans="1:24" ht="15.75" thickBot="1" x14ac:dyDescent="0.3">
      <c r="B16" s="181" t="s">
        <v>56</v>
      </c>
      <c r="C16" s="65" t="str">
        <f>+'COLOMB$ '!C16</f>
        <v>Facturacion Locutor virtual</v>
      </c>
      <c r="D16" s="66"/>
      <c r="E16" s="67"/>
      <c r="F16" s="66"/>
      <c r="G16" s="67"/>
      <c r="H16" s="66"/>
      <c r="I16" s="68"/>
      <c r="J16" s="69"/>
      <c r="K16" s="69"/>
      <c r="L16" s="66"/>
      <c r="M16" s="67"/>
      <c r="N16" s="66"/>
      <c r="O16" s="68"/>
      <c r="P16" s="66"/>
      <c r="Q16" s="68"/>
      <c r="R16" s="69"/>
      <c r="S16" s="70"/>
    </row>
    <row r="17" spans="3:24" x14ac:dyDescent="0.25">
      <c r="C17" s="104" t="s">
        <v>58</v>
      </c>
      <c r="D17" s="105">
        <f>SUM(D7:D16)</f>
        <v>1274</v>
      </c>
      <c r="E17" s="106">
        <f t="shared" ref="E17:E34" si="11">+D17/$D$17</f>
        <v>1</v>
      </c>
      <c r="F17" s="105">
        <v>0</v>
      </c>
      <c r="G17" s="106" t="e">
        <f>+F18/$F$18</f>
        <v>#DIV/0!</v>
      </c>
      <c r="H17" s="105">
        <f>SUM(H7:H14)</f>
        <v>0</v>
      </c>
      <c r="I17" s="107" t="e">
        <f t="shared" ref="I17:I34" si="12">+H17/$H$17</f>
        <v>#DIV/0!</v>
      </c>
      <c r="J17" s="108">
        <f t="shared" si="5"/>
        <v>0</v>
      </c>
      <c r="K17" s="108" t="str">
        <f t="shared" si="6"/>
        <v/>
      </c>
      <c r="L17" s="105">
        <f>SUM(L7:L16)</f>
        <v>4732</v>
      </c>
      <c r="M17" s="106">
        <f t="shared" ref="M17:M34" si="13">+L17/$L$17</f>
        <v>1</v>
      </c>
      <c r="N17" s="105">
        <f>SUM(N7:N14)</f>
        <v>517.64700000000005</v>
      </c>
      <c r="O17" s="107">
        <f t="shared" ref="O17:O34" si="14">+N17/$N$17</f>
        <v>1</v>
      </c>
      <c r="P17" s="105">
        <f>SUM(P7:P14)</f>
        <v>0</v>
      </c>
      <c r="Q17" s="107" t="e">
        <f t="shared" ref="Q17:Q34" si="15">+P17/$P$17</f>
        <v>#DIV/0!</v>
      </c>
      <c r="R17" s="108">
        <f t="shared" si="7"/>
        <v>0</v>
      </c>
      <c r="S17" s="109">
        <f t="shared" si="8"/>
        <v>-1</v>
      </c>
      <c r="T17" s="138">
        <v>0</v>
      </c>
      <c r="U17" s="188">
        <v>0</v>
      </c>
      <c r="V17" s="189">
        <v>0</v>
      </c>
    </row>
    <row r="18" spans="3:24" x14ac:dyDescent="0.25">
      <c r="C18" s="112" t="s">
        <v>60</v>
      </c>
      <c r="D18" s="66">
        <v>2018</v>
      </c>
      <c r="E18" s="113">
        <f t="shared" si="11"/>
        <v>1.5839874411302983</v>
      </c>
      <c r="F18" s="83">
        <v>0</v>
      </c>
      <c r="G18" s="113" t="e">
        <f t="shared" ref="G18:G34" si="16">+F18/$F$17</f>
        <v>#DIV/0!</v>
      </c>
      <c r="H18" s="83">
        <v>0</v>
      </c>
      <c r="I18" s="115" t="e">
        <f t="shared" si="12"/>
        <v>#DIV/0!</v>
      </c>
      <c r="J18" s="116">
        <f t="shared" si="5"/>
        <v>0</v>
      </c>
      <c r="K18" s="116" t="str">
        <f t="shared" si="6"/>
        <v/>
      </c>
      <c r="L18" s="66">
        <v>7494</v>
      </c>
      <c r="M18" s="113">
        <f t="shared" si="13"/>
        <v>1.5836855452240068</v>
      </c>
      <c r="N18" s="114">
        <v>0</v>
      </c>
      <c r="O18" s="115"/>
      <c r="P18" s="117">
        <v>0</v>
      </c>
      <c r="Q18" s="115" t="e">
        <f t="shared" si="15"/>
        <v>#DIV/0!</v>
      </c>
      <c r="R18" s="116">
        <f t="shared" si="7"/>
        <v>0</v>
      </c>
      <c r="S18" s="118" t="e">
        <f t="shared" si="8"/>
        <v>#DIV/0!</v>
      </c>
      <c r="T18" s="138">
        <v>0</v>
      </c>
      <c r="U18" s="188"/>
      <c r="V18" s="189">
        <v>0</v>
      </c>
      <c r="X18" s="10"/>
    </row>
    <row r="19" spans="3:24" ht="15.75" thickBot="1" x14ac:dyDescent="0.3">
      <c r="C19" s="119" t="s">
        <v>62</v>
      </c>
      <c r="D19" s="120">
        <f>+D17-D18</f>
        <v>-744</v>
      </c>
      <c r="E19" s="121">
        <f t="shared" si="11"/>
        <v>-0.58398744113029832</v>
      </c>
      <c r="F19" s="120">
        <f>+F17-F18</f>
        <v>0</v>
      </c>
      <c r="G19" s="121" t="e">
        <f t="shared" si="16"/>
        <v>#DIV/0!</v>
      </c>
      <c r="H19" s="120">
        <f>+H17-H18</f>
        <v>0</v>
      </c>
      <c r="I19" s="122" t="e">
        <f t="shared" si="12"/>
        <v>#DIV/0!</v>
      </c>
      <c r="J19" s="123">
        <f t="shared" si="5"/>
        <v>2</v>
      </c>
      <c r="K19" s="123" t="str">
        <f t="shared" si="6"/>
        <v/>
      </c>
      <c r="L19" s="120">
        <f>+L17-L18</f>
        <v>-2762</v>
      </c>
      <c r="M19" s="121">
        <f t="shared" si="13"/>
        <v>-0.58368554522400673</v>
      </c>
      <c r="N19" s="120">
        <f>+N17-N18</f>
        <v>517.64700000000005</v>
      </c>
      <c r="O19" s="122">
        <f t="shared" si="14"/>
        <v>1</v>
      </c>
      <c r="P19" s="120">
        <f>+P17-P18</f>
        <v>0</v>
      </c>
      <c r="Q19" s="122" t="e">
        <f t="shared" si="15"/>
        <v>#DIV/0!</v>
      </c>
      <c r="R19" s="124">
        <f t="shared" si="7"/>
        <v>2</v>
      </c>
      <c r="S19" s="125">
        <f t="shared" si="8"/>
        <v>-1</v>
      </c>
      <c r="T19" s="138">
        <v>0</v>
      </c>
      <c r="U19" s="188">
        <v>0</v>
      </c>
      <c r="V19" s="189">
        <v>0</v>
      </c>
      <c r="X19" s="10"/>
    </row>
    <row r="20" spans="3:24" x14ac:dyDescent="0.25">
      <c r="C20" s="81" t="s">
        <v>64</v>
      </c>
      <c r="D20" s="83">
        <v>6</v>
      </c>
      <c r="E20" s="126">
        <f t="shared" si="11"/>
        <v>4.7095761381475663E-3</v>
      </c>
      <c r="F20" s="83">
        <v>-2700.7156800000002</v>
      </c>
      <c r="G20" s="126" t="e">
        <f t="shared" si="16"/>
        <v>#DIV/0!</v>
      </c>
      <c r="H20" s="83">
        <v>2835.3153199999997</v>
      </c>
      <c r="I20" s="127" t="e">
        <f t="shared" si="12"/>
        <v>#DIV/0!</v>
      </c>
      <c r="J20" s="128">
        <f t="shared" si="5"/>
        <v>472.55255333333326</v>
      </c>
      <c r="K20" s="128">
        <f t="shared" si="6"/>
        <v>2.0498385079913333</v>
      </c>
      <c r="L20" s="190">
        <v>22</v>
      </c>
      <c r="M20" s="126">
        <f t="shared" si="13"/>
        <v>4.6491969568892644E-3</v>
      </c>
      <c r="N20" s="83">
        <v>10226.74014</v>
      </c>
      <c r="O20" s="127">
        <f t="shared" si="14"/>
        <v>19.756204788205089</v>
      </c>
      <c r="P20" s="190">
        <v>14901.48264</v>
      </c>
      <c r="Q20" s="127" t="e">
        <f t="shared" si="15"/>
        <v>#DIV/0!</v>
      </c>
      <c r="R20" s="128">
        <f t="shared" si="7"/>
        <v>677.34011999999996</v>
      </c>
      <c r="S20" s="129">
        <f t="shared" si="8"/>
        <v>0.45710973741433114</v>
      </c>
      <c r="T20" s="188">
        <v>11120</v>
      </c>
      <c r="U20" s="188">
        <v>5462</v>
      </c>
      <c r="V20" s="189">
        <v>5794.2361800000008</v>
      </c>
      <c r="X20" s="10"/>
    </row>
    <row r="21" spans="3:24" x14ac:dyDescent="0.25">
      <c r="C21" s="81" t="s">
        <v>66</v>
      </c>
      <c r="D21" s="83">
        <v>0</v>
      </c>
      <c r="E21" s="126"/>
      <c r="F21" s="83">
        <v>0</v>
      </c>
      <c r="G21" s="126" t="e">
        <f t="shared" si="16"/>
        <v>#DIV/0!</v>
      </c>
      <c r="H21" s="83">
        <v>0</v>
      </c>
      <c r="I21" s="127" t="e">
        <f t="shared" si="12"/>
        <v>#DIV/0!</v>
      </c>
      <c r="J21" s="128" t="str">
        <f t="shared" si="5"/>
        <v/>
      </c>
      <c r="K21" s="128" t="str">
        <f t="shared" si="6"/>
        <v/>
      </c>
      <c r="L21" s="190">
        <v>0</v>
      </c>
      <c r="M21" s="126">
        <f t="shared" si="13"/>
        <v>0</v>
      </c>
      <c r="N21" s="83">
        <v>0</v>
      </c>
      <c r="O21" s="127">
        <f t="shared" si="14"/>
        <v>0</v>
      </c>
      <c r="P21" s="190">
        <v>1427.9319699999999</v>
      </c>
      <c r="Q21" s="127" t="e">
        <f t="shared" si="15"/>
        <v>#DIV/0!</v>
      </c>
      <c r="R21" s="128" t="str">
        <f t="shared" si="7"/>
        <v/>
      </c>
      <c r="S21" s="129" t="str">
        <f t="shared" si="8"/>
        <v/>
      </c>
      <c r="T21" s="188">
        <v>19680</v>
      </c>
      <c r="U21" s="188">
        <v>131873</v>
      </c>
      <c r="V21" s="189">
        <v>21203.781999999999</v>
      </c>
      <c r="X21" s="10"/>
    </row>
    <row r="22" spans="3:24" x14ac:dyDescent="0.25">
      <c r="C22" s="112" t="s">
        <v>68</v>
      </c>
      <c r="D22" s="117">
        <f>SUM(D20:D21)</f>
        <v>6</v>
      </c>
      <c r="E22" s="113">
        <f t="shared" si="11"/>
        <v>4.7095761381475663E-3</v>
      </c>
      <c r="F22" s="117">
        <f>SUM(F20:F21)</f>
        <v>-2700.7156800000002</v>
      </c>
      <c r="G22" s="113" t="e">
        <f t="shared" si="16"/>
        <v>#DIV/0!</v>
      </c>
      <c r="H22" s="117">
        <f>SUM(H20:H21)</f>
        <v>2835.3153199999997</v>
      </c>
      <c r="I22" s="115" t="e">
        <f t="shared" si="12"/>
        <v>#DIV/0!</v>
      </c>
      <c r="J22" s="116">
        <f t="shared" si="5"/>
        <v>472.55255333333326</v>
      </c>
      <c r="K22" s="116">
        <f t="shared" si="6"/>
        <v>2.0498385079913333</v>
      </c>
      <c r="L22" s="117">
        <f>SUM(L20:L21)</f>
        <v>22</v>
      </c>
      <c r="M22" s="113">
        <f t="shared" si="13"/>
        <v>4.6491969568892644E-3</v>
      </c>
      <c r="N22" s="117">
        <f>SUM(N20:N21)</f>
        <v>10226.74014</v>
      </c>
      <c r="O22" s="115">
        <f t="shared" si="14"/>
        <v>19.756204788205089</v>
      </c>
      <c r="P22" s="117">
        <f>SUM(P20:P21)</f>
        <v>16329.41461</v>
      </c>
      <c r="Q22" s="115" t="e">
        <f t="shared" si="15"/>
        <v>#DIV/0!</v>
      </c>
      <c r="R22" s="116">
        <f t="shared" si="7"/>
        <v>742.24611863636358</v>
      </c>
      <c r="S22" s="118">
        <f t="shared" si="8"/>
        <v>0.59673702337761758</v>
      </c>
      <c r="T22" s="188">
        <v>30800</v>
      </c>
      <c r="U22" s="188">
        <v>137335</v>
      </c>
      <c r="V22" s="189">
        <v>26998.018179999999</v>
      </c>
      <c r="X22" s="10"/>
    </row>
    <row r="23" spans="3:24" x14ac:dyDescent="0.25">
      <c r="C23" s="81" t="s">
        <v>70</v>
      </c>
      <c r="D23" s="83">
        <v>0</v>
      </c>
      <c r="E23" s="126"/>
      <c r="F23" s="83">
        <v>1115.06548</v>
      </c>
      <c r="G23" s="126"/>
      <c r="H23" s="83">
        <v>586.92446999999993</v>
      </c>
      <c r="I23" s="127" t="e">
        <f t="shared" si="12"/>
        <v>#DIV/0!</v>
      </c>
      <c r="J23" s="128" t="str">
        <f t="shared" si="5"/>
        <v/>
      </c>
      <c r="K23" s="128">
        <f t="shared" si="6"/>
        <v>-0.47364125199176649</v>
      </c>
      <c r="L23" s="190">
        <v>0</v>
      </c>
      <c r="M23" s="126">
        <f t="shared" si="13"/>
        <v>0</v>
      </c>
      <c r="N23" s="83">
        <v>4460.2618200000006</v>
      </c>
      <c r="O23" s="127">
        <f t="shared" si="14"/>
        <v>8.6164158586836201</v>
      </c>
      <c r="P23" s="190">
        <v>3707.91534</v>
      </c>
      <c r="Q23" s="127" t="e">
        <f t="shared" si="15"/>
        <v>#DIV/0!</v>
      </c>
      <c r="R23" s="128" t="str">
        <f t="shared" si="7"/>
        <v/>
      </c>
      <c r="S23" s="129">
        <f t="shared" si="8"/>
        <v>-0.16867764951071876</v>
      </c>
      <c r="T23" s="188">
        <v>49250</v>
      </c>
      <c r="U23" s="188">
        <v>52311</v>
      </c>
      <c r="V23" s="189">
        <v>49816.831050000001</v>
      </c>
      <c r="X23" s="10"/>
    </row>
    <row r="24" spans="3:24" x14ac:dyDescent="0.25">
      <c r="C24" s="81" t="s">
        <v>72</v>
      </c>
      <c r="D24" s="83"/>
      <c r="E24" s="126"/>
      <c r="F24" s="83">
        <v>0</v>
      </c>
      <c r="G24" s="126"/>
      <c r="H24" s="83">
        <v>0</v>
      </c>
      <c r="I24" s="127" t="e">
        <f t="shared" si="12"/>
        <v>#DIV/0!</v>
      </c>
      <c r="J24" s="128" t="str">
        <f t="shared" si="5"/>
        <v/>
      </c>
      <c r="K24" s="128" t="str">
        <f t="shared" si="6"/>
        <v/>
      </c>
      <c r="L24" s="83">
        <v>0</v>
      </c>
      <c r="M24" s="126">
        <f t="shared" si="13"/>
        <v>0</v>
      </c>
      <c r="N24" s="83">
        <v>0</v>
      </c>
      <c r="O24" s="127">
        <f>+N29/$N$17</f>
        <v>0</v>
      </c>
      <c r="P24" s="190">
        <v>2069.0650000000001</v>
      </c>
      <c r="Q24" s="127" t="e">
        <f t="shared" si="15"/>
        <v>#DIV/0!</v>
      </c>
      <c r="R24" s="128" t="str">
        <f t="shared" si="7"/>
        <v/>
      </c>
      <c r="S24" s="129" t="str">
        <f>IF(N29=0,"",(P24-N29)/ABS(N29))</f>
        <v/>
      </c>
      <c r="T24" s="188">
        <v>0</v>
      </c>
      <c r="U24" s="188">
        <v>12664</v>
      </c>
      <c r="V24" s="189">
        <v>14221</v>
      </c>
      <c r="X24" s="10"/>
    </row>
    <row r="25" spans="3:24" x14ac:dyDescent="0.25">
      <c r="C25" s="112" t="s">
        <v>73</v>
      </c>
      <c r="D25" s="117">
        <f>SUM(D23:D24)</f>
        <v>0</v>
      </c>
      <c r="E25" s="113">
        <f t="shared" si="11"/>
        <v>0</v>
      </c>
      <c r="F25" s="117">
        <f>SUM(F23:F24)</f>
        <v>1115.06548</v>
      </c>
      <c r="G25" s="113" t="e">
        <f t="shared" si="16"/>
        <v>#DIV/0!</v>
      </c>
      <c r="H25" s="117">
        <f>SUM(H23:H24)</f>
        <v>586.92446999999993</v>
      </c>
      <c r="I25" s="115" t="e">
        <f t="shared" si="12"/>
        <v>#DIV/0!</v>
      </c>
      <c r="J25" s="116" t="str">
        <f t="shared" si="5"/>
        <v/>
      </c>
      <c r="K25" s="116">
        <f t="shared" si="6"/>
        <v>-0.47364125199176649</v>
      </c>
      <c r="L25" s="117">
        <f>SUM(L23:L24)</f>
        <v>0</v>
      </c>
      <c r="M25" s="113">
        <f t="shared" si="13"/>
        <v>0</v>
      </c>
      <c r="N25" s="117">
        <f>+N23+N24</f>
        <v>4460.2618200000006</v>
      </c>
      <c r="O25" s="115">
        <f t="shared" si="14"/>
        <v>8.6164158586836201</v>
      </c>
      <c r="P25" s="117">
        <f>SUM(P23:P24)</f>
        <v>5776.9803400000001</v>
      </c>
      <c r="Q25" s="115" t="e">
        <f t="shared" si="15"/>
        <v>#DIV/0!</v>
      </c>
      <c r="R25" s="116" t="str">
        <f t="shared" si="7"/>
        <v/>
      </c>
      <c r="S25" s="118">
        <f t="shared" si="8"/>
        <v>0.29521103763366052</v>
      </c>
      <c r="T25" s="188">
        <v>49250</v>
      </c>
      <c r="U25" s="188">
        <v>64975</v>
      </c>
      <c r="V25" s="189">
        <v>64037.831050000001</v>
      </c>
      <c r="X25" s="10"/>
    </row>
    <row r="26" spans="3:24" ht="15.75" thickBot="1" x14ac:dyDescent="0.3">
      <c r="C26" s="112" t="s">
        <v>75</v>
      </c>
      <c r="D26" s="117">
        <f>D22+D25</f>
        <v>6</v>
      </c>
      <c r="E26" s="113">
        <f t="shared" si="11"/>
        <v>4.7095761381475663E-3</v>
      </c>
      <c r="F26" s="117">
        <f>+F25+F22</f>
        <v>-1585.6502000000003</v>
      </c>
      <c r="G26" s="113" t="e">
        <f t="shared" si="16"/>
        <v>#DIV/0!</v>
      </c>
      <c r="H26" s="117">
        <f>H22+H25</f>
        <v>3422.2397899999996</v>
      </c>
      <c r="I26" s="115" t="e">
        <f t="shared" si="12"/>
        <v>#DIV/0!</v>
      </c>
      <c r="J26" s="116">
        <f t="shared" si="5"/>
        <v>570.37329833333331</v>
      </c>
      <c r="K26" s="116">
        <f t="shared" si="6"/>
        <v>3.158256461607988</v>
      </c>
      <c r="L26" s="117">
        <f>L22+L25</f>
        <v>22</v>
      </c>
      <c r="M26" s="113">
        <f t="shared" si="13"/>
        <v>4.6491969568892644E-3</v>
      </c>
      <c r="N26" s="117">
        <f>N22+N25</f>
        <v>14687.001960000001</v>
      </c>
      <c r="O26" s="115">
        <f t="shared" si="14"/>
        <v>28.372620646888709</v>
      </c>
      <c r="P26" s="117">
        <f>P22+P25</f>
        <v>22106.394950000002</v>
      </c>
      <c r="Q26" s="115" t="e">
        <f t="shared" si="15"/>
        <v>#DIV/0!</v>
      </c>
      <c r="R26" s="116">
        <f t="shared" si="7"/>
        <v>1004.8361340909091</v>
      </c>
      <c r="S26" s="118">
        <f t="shared" si="8"/>
        <v>0.5051672907926813</v>
      </c>
      <c r="T26" s="188">
        <v>80050</v>
      </c>
      <c r="U26" s="188">
        <v>202310</v>
      </c>
      <c r="V26" s="189">
        <v>91035.849229999993</v>
      </c>
      <c r="X26" s="10"/>
    </row>
    <row r="27" spans="3:24" ht="15.75" thickBot="1" x14ac:dyDescent="0.3">
      <c r="C27" s="73" t="s">
        <v>76</v>
      </c>
      <c r="D27" s="141">
        <f>D19-D26</f>
        <v>-750</v>
      </c>
      <c r="E27" s="142">
        <f t="shared" si="11"/>
        <v>-0.58869701726844581</v>
      </c>
      <c r="F27" s="141">
        <f>+F19-F26</f>
        <v>1585.6502000000003</v>
      </c>
      <c r="G27" s="142" t="e">
        <f t="shared" si="16"/>
        <v>#DIV/0!</v>
      </c>
      <c r="H27" s="141">
        <f>H19-H26</f>
        <v>-3422.2397899999996</v>
      </c>
      <c r="I27" s="143" t="e">
        <f t="shared" si="12"/>
        <v>#DIV/0!</v>
      </c>
      <c r="J27" s="144">
        <f t="shared" si="5"/>
        <v>-2.5629863866666662</v>
      </c>
      <c r="K27" s="144">
        <f t="shared" si="6"/>
        <v>-3.158256461607988</v>
      </c>
      <c r="L27" s="141">
        <f>L19-L26</f>
        <v>-2784</v>
      </c>
      <c r="M27" s="142">
        <f t="shared" si="13"/>
        <v>-0.58833474218089599</v>
      </c>
      <c r="N27" s="141">
        <f>N19-N26</f>
        <v>-14169.354960000001</v>
      </c>
      <c r="O27" s="143">
        <f t="shared" si="14"/>
        <v>-27.372620646888709</v>
      </c>
      <c r="P27" s="141">
        <f>P19-P26</f>
        <v>-22106.394950000002</v>
      </c>
      <c r="Q27" s="145" t="e">
        <f t="shared" si="15"/>
        <v>#DIV/0!</v>
      </c>
      <c r="R27" s="146">
        <f t="shared" si="7"/>
        <v>-5.9405154274425289</v>
      </c>
      <c r="S27" s="147">
        <f t="shared" si="8"/>
        <v>-0.56015535021927354</v>
      </c>
      <c r="T27" s="188">
        <v>-80050</v>
      </c>
      <c r="U27" s="188">
        <v>-202310</v>
      </c>
      <c r="V27" s="189">
        <v>-91035.849229999993</v>
      </c>
      <c r="X27" s="10"/>
    </row>
    <row r="28" spans="3:24" x14ac:dyDescent="0.25">
      <c r="C28" s="81" t="s">
        <v>77</v>
      </c>
      <c r="D28" s="83"/>
      <c r="E28" s="126">
        <f t="shared" si="11"/>
        <v>0</v>
      </c>
      <c r="F28" s="83">
        <v>0</v>
      </c>
      <c r="G28" s="126" t="e">
        <f t="shared" si="16"/>
        <v>#DIV/0!</v>
      </c>
      <c r="H28" s="83">
        <v>0</v>
      </c>
      <c r="I28" s="127" t="e">
        <f t="shared" si="12"/>
        <v>#DIV/0!</v>
      </c>
      <c r="J28" s="128" t="str">
        <f t="shared" si="5"/>
        <v/>
      </c>
      <c r="K28" s="128" t="e">
        <f t="shared" si="6"/>
        <v>#DIV/0!</v>
      </c>
      <c r="L28" s="83"/>
      <c r="M28" s="126">
        <f t="shared" si="13"/>
        <v>0</v>
      </c>
      <c r="N28" s="83">
        <v>0</v>
      </c>
      <c r="O28" s="127">
        <f t="shared" si="14"/>
        <v>0</v>
      </c>
      <c r="P28" s="83">
        <v>0</v>
      </c>
      <c r="Q28" s="127" t="e">
        <f t="shared" si="15"/>
        <v>#DIV/0!</v>
      </c>
      <c r="R28" s="148" t="str">
        <f t="shared" si="7"/>
        <v/>
      </c>
      <c r="S28" s="129" t="e">
        <f t="shared" si="8"/>
        <v>#DIV/0!</v>
      </c>
      <c r="T28" s="188"/>
      <c r="U28" s="188"/>
      <c r="V28" s="189"/>
      <c r="X28" s="10"/>
    </row>
    <row r="29" spans="3:24" ht="15.75" thickBot="1" x14ac:dyDescent="0.3">
      <c r="C29" s="81" t="s">
        <v>78</v>
      </c>
      <c r="D29" s="83"/>
      <c r="E29" s="126"/>
      <c r="F29" s="83">
        <v>0</v>
      </c>
      <c r="G29" s="126"/>
      <c r="H29" s="83">
        <v>1965.4</v>
      </c>
      <c r="I29" s="127" t="e">
        <f t="shared" si="12"/>
        <v>#DIV/0!</v>
      </c>
      <c r="J29" s="128" t="str">
        <f t="shared" si="5"/>
        <v/>
      </c>
      <c r="K29" s="128" t="str">
        <f t="shared" si="6"/>
        <v/>
      </c>
      <c r="L29" s="190">
        <v>0</v>
      </c>
      <c r="M29" s="126">
        <f t="shared" si="13"/>
        <v>0</v>
      </c>
      <c r="N29" s="83">
        <v>0</v>
      </c>
      <c r="O29" s="127">
        <f t="shared" si="14"/>
        <v>0</v>
      </c>
      <c r="P29" s="83">
        <v>5698.5749999999998</v>
      </c>
      <c r="Q29" s="127" t="e">
        <f t="shared" si="15"/>
        <v>#DIV/0!</v>
      </c>
      <c r="R29" s="148" t="str">
        <f t="shared" si="7"/>
        <v/>
      </c>
      <c r="S29" s="129" t="e">
        <f>IF(#REF!=0,"",(P29-#REF!)/ABS(#REF!))</f>
        <v>#REF!</v>
      </c>
      <c r="T29" s="188">
        <v>0</v>
      </c>
      <c r="U29" s="188">
        <v>30591</v>
      </c>
      <c r="V29" s="189">
        <v>14881.224990000001</v>
      </c>
      <c r="X29" s="10"/>
    </row>
    <row r="30" spans="3:24" ht="15.75" thickBot="1" x14ac:dyDescent="0.3">
      <c r="C30" s="73" t="s">
        <v>79</v>
      </c>
      <c r="D30" s="141">
        <f>+D27-D29</f>
        <v>-750</v>
      </c>
      <c r="E30" s="142">
        <f t="shared" si="11"/>
        <v>-0.58869701726844581</v>
      </c>
      <c r="F30" s="141">
        <f>+F27+F28-F29</f>
        <v>1585.6502000000003</v>
      </c>
      <c r="G30" s="142" t="e">
        <f t="shared" si="16"/>
        <v>#DIV/0!</v>
      </c>
      <c r="H30" s="141">
        <f>+H27-H29</f>
        <v>-5387.6397899999993</v>
      </c>
      <c r="I30" s="143" t="e">
        <f t="shared" si="12"/>
        <v>#DIV/0!</v>
      </c>
      <c r="J30" s="144">
        <f t="shared" si="5"/>
        <v>-5.1835197199999987</v>
      </c>
      <c r="K30" s="144">
        <f t="shared" si="6"/>
        <v>-4.3977479963739787</v>
      </c>
      <c r="L30" s="141">
        <f>L27+L28-L29</f>
        <v>-2784</v>
      </c>
      <c r="M30" s="142">
        <f t="shared" si="13"/>
        <v>-0.58833474218089599</v>
      </c>
      <c r="N30" s="141">
        <f>+N27-N29</f>
        <v>-14169.354960000001</v>
      </c>
      <c r="O30" s="143">
        <f t="shared" si="14"/>
        <v>-27.372620646888709</v>
      </c>
      <c r="P30" s="141">
        <f>P27+P28-P29</f>
        <v>-27804.969950000002</v>
      </c>
      <c r="Q30" s="143" t="e">
        <f t="shared" si="15"/>
        <v>#DIV/0!</v>
      </c>
      <c r="R30" s="144">
        <f t="shared" si="7"/>
        <v>-7.9874173670977022</v>
      </c>
      <c r="S30" s="147">
        <f t="shared" si="8"/>
        <v>-0.96233138547896191</v>
      </c>
      <c r="T30" s="188">
        <v>-80050</v>
      </c>
      <c r="U30" s="188">
        <v>-232901</v>
      </c>
      <c r="V30" s="189">
        <v>-105917.07421999999</v>
      </c>
      <c r="X30" s="10"/>
    </row>
    <row r="31" spans="3:24" ht="15.75" thickBot="1" x14ac:dyDescent="0.3">
      <c r="C31" s="81" t="s">
        <v>63</v>
      </c>
      <c r="D31" s="83">
        <v>-272</v>
      </c>
      <c r="E31" s="126">
        <f t="shared" si="11"/>
        <v>-0.21350078492935637</v>
      </c>
      <c r="F31" s="83"/>
      <c r="G31" s="126" t="e">
        <f>+G30*33%</f>
        <v>#DIV/0!</v>
      </c>
      <c r="H31" s="83"/>
      <c r="I31" s="127" t="e">
        <f t="shared" si="12"/>
        <v>#DIV/0!</v>
      </c>
      <c r="J31" s="128">
        <f t="shared" si="5"/>
        <v>2</v>
      </c>
      <c r="K31" s="128" t="str">
        <f t="shared" si="6"/>
        <v/>
      </c>
      <c r="L31" s="83">
        <v>-1010</v>
      </c>
      <c r="M31" s="126">
        <f t="shared" si="13"/>
        <v>-0.21344040574809806</v>
      </c>
      <c r="N31" s="83">
        <v>0</v>
      </c>
      <c r="O31" s="127">
        <f t="shared" si="14"/>
        <v>0</v>
      </c>
      <c r="P31" s="83">
        <f>+V31+H31</f>
        <v>0</v>
      </c>
      <c r="Q31" s="127" t="e">
        <f t="shared" si="15"/>
        <v>#DIV/0!</v>
      </c>
      <c r="R31" s="148">
        <f t="shared" si="7"/>
        <v>2</v>
      </c>
      <c r="S31" s="129" t="str">
        <f t="shared" si="8"/>
        <v/>
      </c>
      <c r="T31" s="188">
        <v>0</v>
      </c>
      <c r="U31" s="188">
        <v>-0.6000000000003638</v>
      </c>
      <c r="V31" s="189">
        <v>0</v>
      </c>
      <c r="X31" s="10"/>
    </row>
    <row r="32" spans="3:24" ht="15.75" thickBot="1" x14ac:dyDescent="0.3">
      <c r="C32" s="73" t="s">
        <v>80</v>
      </c>
      <c r="D32" s="141">
        <f>+D30</f>
        <v>-750</v>
      </c>
      <c r="E32" s="142">
        <f t="shared" si="11"/>
        <v>-0.58869701726844581</v>
      </c>
      <c r="F32" s="141">
        <f>+F30-F31</f>
        <v>1585.6502000000003</v>
      </c>
      <c r="G32" s="142" t="e">
        <f t="shared" si="16"/>
        <v>#DIV/0!</v>
      </c>
      <c r="H32" s="141">
        <f>H30-H31</f>
        <v>-5387.6397899999993</v>
      </c>
      <c r="I32" s="143" t="e">
        <f t="shared" si="12"/>
        <v>#DIV/0!</v>
      </c>
      <c r="J32" s="144">
        <f t="shared" si="5"/>
        <v>-5.1835197199999987</v>
      </c>
      <c r="K32" s="144">
        <f t="shared" si="6"/>
        <v>-4.3977479963739787</v>
      </c>
      <c r="L32" s="141">
        <f>L30-L31</f>
        <v>-1774</v>
      </c>
      <c r="M32" s="142">
        <f t="shared" si="13"/>
        <v>-0.37489433643279796</v>
      </c>
      <c r="N32" s="141">
        <f>N30-N31</f>
        <v>-14169.354960000001</v>
      </c>
      <c r="O32" s="143">
        <f t="shared" si="14"/>
        <v>-27.372620646888709</v>
      </c>
      <c r="P32" s="141">
        <f>+P30-P31</f>
        <v>-27804.969950000002</v>
      </c>
      <c r="Q32" s="143" t="e">
        <f t="shared" si="15"/>
        <v>#DIV/0!</v>
      </c>
      <c r="R32" s="144">
        <f t="shared" si="7"/>
        <v>-13.673602001127398</v>
      </c>
      <c r="S32" s="147">
        <f t="shared" si="8"/>
        <v>-0.96233138547896191</v>
      </c>
      <c r="T32" s="188">
        <v>-80050</v>
      </c>
      <c r="U32" s="188">
        <v>-232900.4</v>
      </c>
      <c r="V32" s="189">
        <v>-105917.07421999999</v>
      </c>
      <c r="X32" s="10"/>
    </row>
    <row r="33" spans="1:24" ht="15.75" thickBot="1" x14ac:dyDescent="0.3">
      <c r="B33" s="187" t="s">
        <v>81</v>
      </c>
      <c r="C33" s="73" t="s">
        <v>82</v>
      </c>
      <c r="D33" s="141">
        <v>-750</v>
      </c>
      <c r="E33" s="142"/>
      <c r="F33" s="141">
        <v>5086.79</v>
      </c>
      <c r="G33" s="142" t="e">
        <f t="shared" si="16"/>
        <v>#DIV/0!</v>
      </c>
      <c r="H33" s="141">
        <v>-449.24099999999953</v>
      </c>
      <c r="I33" s="143" t="e">
        <f t="shared" si="12"/>
        <v>#DIV/0!</v>
      </c>
      <c r="J33" s="144">
        <f t="shared" si="5"/>
        <v>1.4010120000000006</v>
      </c>
      <c r="K33" s="144">
        <f t="shared" si="6"/>
        <v>-1.0883152243359759</v>
      </c>
      <c r="L33" s="141">
        <v>-2784</v>
      </c>
      <c r="M33" s="142">
        <f t="shared" si="13"/>
        <v>-0.58833474218089599</v>
      </c>
      <c r="N33" s="141">
        <v>-310.57099999999991</v>
      </c>
      <c r="O33" s="143">
        <f t="shared" si="14"/>
        <v>-0.59996677272349663</v>
      </c>
      <c r="P33" s="141">
        <v>-8854.1825700000009</v>
      </c>
      <c r="Q33" s="143" t="e">
        <f t="shared" si="15"/>
        <v>#DIV/0!</v>
      </c>
      <c r="R33" s="144">
        <f t="shared" si="7"/>
        <v>-1.1803816702586212</v>
      </c>
      <c r="S33" s="147">
        <f t="shared" si="8"/>
        <v>-27.509366843652508</v>
      </c>
      <c r="T33" s="188">
        <v>-6000</v>
      </c>
      <c r="U33" s="188">
        <v>-126860</v>
      </c>
      <c r="V33" s="189">
        <v>-16137.288</v>
      </c>
      <c r="X33" s="10"/>
    </row>
    <row r="34" spans="1:24" ht="15.75" thickBot="1" x14ac:dyDescent="0.3">
      <c r="C34" s="153" t="s">
        <v>46</v>
      </c>
      <c r="D34" s="154">
        <v>0</v>
      </c>
      <c r="E34" s="155">
        <f t="shared" si="11"/>
        <v>0</v>
      </c>
      <c r="F34" s="154">
        <v>0</v>
      </c>
      <c r="G34" s="155" t="e">
        <f t="shared" si="16"/>
        <v>#DIV/0!</v>
      </c>
      <c r="H34" s="154">
        <v>0</v>
      </c>
      <c r="I34" s="156" t="e">
        <f t="shared" si="12"/>
        <v>#DIV/0!</v>
      </c>
      <c r="J34" s="157" t="str">
        <f t="shared" si="5"/>
        <v/>
      </c>
      <c r="K34" s="157" t="str">
        <f t="shared" si="6"/>
        <v/>
      </c>
      <c r="L34" s="154">
        <v>0</v>
      </c>
      <c r="M34" s="155">
        <f t="shared" si="13"/>
        <v>0</v>
      </c>
      <c r="N34" s="154">
        <v>0</v>
      </c>
      <c r="O34" s="154">
        <f t="shared" si="14"/>
        <v>0</v>
      </c>
      <c r="P34" s="154">
        <v>0</v>
      </c>
      <c r="Q34" s="159" t="e">
        <f t="shared" si="15"/>
        <v>#DIV/0!</v>
      </c>
      <c r="R34" s="160" t="str">
        <f t="shared" si="7"/>
        <v/>
      </c>
      <c r="S34" s="161" t="str">
        <f t="shared" si="8"/>
        <v/>
      </c>
      <c r="V34" s="178">
        <v>1261</v>
      </c>
    </row>
    <row r="35" spans="1:24" s="191" customFormat="1" x14ac:dyDescent="0.25">
      <c r="C35" s="181"/>
      <c r="D35" s="181"/>
      <c r="E35" s="181"/>
      <c r="F35" s="10"/>
      <c r="G35" s="181"/>
      <c r="H35" s="181" t="s">
        <v>71</v>
      </c>
      <c r="I35" s="181"/>
      <c r="J35" s="181"/>
      <c r="K35" s="181"/>
      <c r="L35" s="10"/>
      <c r="M35" s="10"/>
      <c r="N35" s="10"/>
      <c r="O35" s="10"/>
      <c r="P35" s="149" t="s">
        <v>71</v>
      </c>
      <c r="Q35" s="10"/>
      <c r="R35" s="10"/>
      <c r="T35" s="138"/>
      <c r="U35" s="138"/>
      <c r="V35" s="178"/>
      <c r="W35" s="138"/>
    </row>
    <row r="36" spans="1:24" s="138" customFormat="1" x14ac:dyDescent="0.25">
      <c r="C36" s="181" t="s">
        <v>74</v>
      </c>
      <c r="D36" s="181"/>
      <c r="E36" s="181"/>
      <c r="F36" s="10"/>
      <c r="G36" s="181"/>
      <c r="H36" s="181"/>
      <c r="I36" s="181"/>
      <c r="J36" s="181"/>
      <c r="K36" s="181"/>
      <c r="L36" s="149"/>
      <c r="M36" s="10"/>
      <c r="N36" s="10"/>
      <c r="O36" s="10"/>
      <c r="P36" s="149"/>
      <c r="Q36" s="10"/>
      <c r="R36" s="10"/>
      <c r="V36" s="178"/>
      <c r="W36" s="138">
        <v>-10438</v>
      </c>
    </row>
    <row r="37" spans="1:24" s="138" customFormat="1" x14ac:dyDescent="0.25">
      <c r="C37" s="181"/>
      <c r="D37" s="181"/>
      <c r="E37" s="181"/>
      <c r="F37" s="10"/>
      <c r="G37" s="181"/>
      <c r="H37" s="181"/>
      <c r="I37" s="181"/>
      <c r="J37" s="181"/>
      <c r="K37" s="181"/>
      <c r="L37" s="10"/>
      <c r="M37" s="10"/>
      <c r="N37" s="10"/>
      <c r="O37" s="10"/>
      <c r="P37" s="149"/>
      <c r="Q37" s="10"/>
      <c r="R37" s="10"/>
      <c r="T37" s="139"/>
      <c r="U37" s="139"/>
      <c r="V37" s="192"/>
    </row>
    <row r="38" spans="1:24" s="138" customFormat="1" x14ac:dyDescent="0.25">
      <c r="F38" s="15"/>
      <c r="L38" s="12"/>
      <c r="M38" s="15"/>
      <c r="N38" s="15"/>
      <c r="O38" s="15"/>
      <c r="P38" s="15">
        <v>-85448.737999999998</v>
      </c>
      <c r="Q38" s="15"/>
      <c r="R38" s="15"/>
      <c r="T38" s="139"/>
      <c r="U38" s="139"/>
      <c r="V38" s="192"/>
    </row>
    <row r="39" spans="1:24" s="138" customFormat="1" x14ac:dyDescent="0.25">
      <c r="F39" s="15"/>
      <c r="L39" s="12"/>
      <c r="M39" s="15"/>
      <c r="N39" s="15"/>
      <c r="O39" s="15"/>
      <c r="P39" s="87">
        <v>12100</v>
      </c>
      <c r="Q39" s="15"/>
      <c r="R39" s="15"/>
      <c r="V39" s="178">
        <v>12100</v>
      </c>
      <c r="W39" s="138">
        <v>448745.69620000001</v>
      </c>
    </row>
    <row r="40" spans="1:24" s="138" customFormat="1" x14ac:dyDescent="0.25">
      <c r="D40" s="138">
        <v>195955</v>
      </c>
      <c r="F40" s="15"/>
      <c r="H40" s="138">
        <v>128062.6955</v>
      </c>
      <c r="L40" s="191"/>
      <c r="N40" s="15"/>
      <c r="P40" s="193">
        <v>1178869.0420000001</v>
      </c>
      <c r="V40" s="178">
        <v>1178869.0420000001</v>
      </c>
      <c r="W40" s="138">
        <v>1178869.0420000001</v>
      </c>
    </row>
    <row r="41" spans="1:24" s="138" customFormat="1" x14ac:dyDescent="0.25">
      <c r="D41" s="138">
        <v>380521</v>
      </c>
      <c r="F41" s="15"/>
      <c r="H41" s="138">
        <v>372907.95599999995</v>
      </c>
      <c r="L41" s="138">
        <v>0</v>
      </c>
      <c r="N41" s="15"/>
      <c r="P41" s="138">
        <v>0</v>
      </c>
      <c r="T41" s="138">
        <v>0</v>
      </c>
      <c r="V41" s="178">
        <v>0</v>
      </c>
      <c r="W41" s="138">
        <v>0</v>
      </c>
      <c r="X41" s="191"/>
    </row>
    <row r="42" spans="1:24" s="15" customFormat="1" x14ac:dyDescent="0.25">
      <c r="A42" s="138"/>
      <c r="B42" s="138"/>
      <c r="C42" s="138"/>
      <c r="D42" s="138"/>
      <c r="E42" s="138"/>
      <c r="G42" s="138"/>
      <c r="H42" s="138"/>
      <c r="I42" s="138"/>
      <c r="J42" s="138"/>
      <c r="K42" s="138"/>
      <c r="L42" s="138"/>
      <c r="M42" s="138"/>
      <c r="O42" s="138"/>
      <c r="P42" s="138"/>
      <c r="Q42" s="138"/>
      <c r="R42" s="138"/>
      <c r="S42" s="138"/>
      <c r="T42" s="138"/>
      <c r="U42" s="138"/>
      <c r="V42" s="178"/>
      <c r="W42" s="138"/>
      <c r="X42" s="12"/>
    </row>
    <row r="43" spans="1:24" s="138" customFormat="1" x14ac:dyDescent="0.25">
      <c r="F43" s="15"/>
      <c r="N43" s="15"/>
      <c r="V43" s="178"/>
      <c r="X43" s="191"/>
    </row>
    <row r="44" spans="1:24" s="138" customFormat="1" x14ac:dyDescent="0.25">
      <c r="F44" s="15"/>
      <c r="N44" s="15"/>
      <c r="V44" s="178"/>
      <c r="X44" s="191"/>
    </row>
    <row r="45" spans="1:24" s="138" customFormat="1" x14ac:dyDescent="0.25">
      <c r="F45" s="15"/>
      <c r="N45" s="15"/>
      <c r="V45" s="178"/>
      <c r="X45" s="191"/>
    </row>
    <row r="46" spans="1:24" s="138" customFormat="1" x14ac:dyDescent="0.25">
      <c r="F46" s="15"/>
      <c r="N46" s="15"/>
      <c r="V46" s="178"/>
      <c r="X46" s="191"/>
    </row>
    <row r="47" spans="1:24" s="138" customFormat="1" x14ac:dyDescent="0.25">
      <c r="F47" s="15"/>
      <c r="N47" s="15"/>
      <c r="V47" s="178"/>
      <c r="X47" s="191"/>
    </row>
    <row r="48" spans="1:24" s="138" customFormat="1" x14ac:dyDescent="0.25">
      <c r="F48" s="15"/>
      <c r="N48" s="15"/>
      <c r="V48" s="178"/>
      <c r="X48" s="191"/>
    </row>
    <row r="49" spans="6:24" s="138" customFormat="1" x14ac:dyDescent="0.25">
      <c r="F49" s="15"/>
      <c r="N49" s="15"/>
      <c r="V49" s="178"/>
      <c r="X49" s="191"/>
    </row>
    <row r="50" spans="6:24" s="138" customFormat="1" x14ac:dyDescent="0.25">
      <c r="F50" s="15"/>
      <c r="N50" s="15"/>
      <c r="V50" s="178"/>
      <c r="X50" s="191"/>
    </row>
    <row r="51" spans="6:24" s="138" customFormat="1" x14ac:dyDescent="0.25">
      <c r="F51" s="15"/>
      <c r="N51" s="15"/>
      <c r="V51" s="178"/>
      <c r="X51" s="191"/>
    </row>
    <row r="52" spans="6:24" s="138" customFormat="1" x14ac:dyDescent="0.25">
      <c r="F52" s="15"/>
      <c r="N52" s="15"/>
      <c r="V52" s="178"/>
      <c r="X52" s="191"/>
    </row>
    <row r="53" spans="6:24" s="138" customFormat="1" x14ac:dyDescent="0.25">
      <c r="F53" s="15"/>
      <c r="N53" s="15"/>
      <c r="V53" s="178"/>
      <c r="X53" s="191"/>
    </row>
    <row r="54" spans="6:24" s="138" customFormat="1" x14ac:dyDescent="0.25">
      <c r="F54" s="15"/>
      <c r="N54" s="15"/>
      <c r="V54" s="178"/>
      <c r="X54" s="191"/>
    </row>
    <row r="55" spans="6:24" s="138" customFormat="1" x14ac:dyDescent="0.25">
      <c r="F55" s="15"/>
      <c r="N55" s="15"/>
      <c r="V55" s="178"/>
      <c r="X55" s="191"/>
    </row>
    <row r="56" spans="6:24" s="138" customFormat="1" x14ac:dyDescent="0.25">
      <c r="F56" s="15"/>
      <c r="N56" s="15"/>
      <c r="V56" s="178"/>
      <c r="X56" s="191"/>
    </row>
    <row r="57" spans="6:24" s="138" customFormat="1" x14ac:dyDescent="0.25">
      <c r="F57" s="15"/>
      <c r="N57" s="15"/>
      <c r="V57" s="178"/>
      <c r="X57" s="191"/>
    </row>
    <row r="58" spans="6:24" s="138" customFormat="1" x14ac:dyDescent="0.25">
      <c r="F58" s="15"/>
      <c r="N58" s="15"/>
      <c r="V58" s="178"/>
      <c r="X58" s="191"/>
    </row>
    <row r="59" spans="6:24" s="138" customFormat="1" x14ac:dyDescent="0.25">
      <c r="F59" s="15"/>
      <c r="N59" s="15"/>
      <c r="V59" s="178"/>
      <c r="X59" s="191"/>
    </row>
    <row r="60" spans="6:24" s="138" customFormat="1" x14ac:dyDescent="0.25">
      <c r="F60" s="15"/>
      <c r="N60" s="15"/>
      <c r="V60" s="178"/>
      <c r="X60" s="191"/>
    </row>
    <row r="61" spans="6:24" s="138" customFormat="1" x14ac:dyDescent="0.25">
      <c r="F61" s="15"/>
      <c r="N61" s="15"/>
      <c r="V61" s="178"/>
      <c r="X61" s="191"/>
    </row>
    <row r="62" spans="6:24" s="138" customFormat="1" x14ac:dyDescent="0.25">
      <c r="F62" s="15"/>
      <c r="N62" s="15"/>
      <c r="V62" s="178"/>
      <c r="X62" s="191"/>
    </row>
    <row r="63" spans="6:24" s="138" customFormat="1" x14ac:dyDescent="0.25">
      <c r="F63" s="15"/>
      <c r="N63" s="15"/>
      <c r="V63" s="178"/>
      <c r="X63" s="191"/>
    </row>
    <row r="64" spans="6:24" s="138" customFormat="1" x14ac:dyDescent="0.25">
      <c r="F64" s="15"/>
      <c r="N64" s="15"/>
      <c r="V64" s="178"/>
      <c r="X64" s="191"/>
    </row>
    <row r="65" spans="6:24" s="138" customFormat="1" x14ac:dyDescent="0.25">
      <c r="F65" s="15"/>
      <c r="N65" s="15"/>
      <c r="V65" s="178"/>
      <c r="X65" s="191"/>
    </row>
    <row r="66" spans="6:24" s="138" customFormat="1" x14ac:dyDescent="0.25">
      <c r="F66" s="15"/>
      <c r="N66" s="15"/>
      <c r="V66" s="178"/>
      <c r="X66" s="191"/>
    </row>
    <row r="67" spans="6:24" s="138" customFormat="1" x14ac:dyDescent="0.25">
      <c r="F67" s="15"/>
      <c r="N67" s="15"/>
      <c r="V67" s="178"/>
      <c r="X67" s="191"/>
    </row>
    <row r="68" spans="6:24" s="138" customFormat="1" x14ac:dyDescent="0.25">
      <c r="F68" s="15"/>
      <c r="N68" s="15"/>
      <c r="V68" s="178"/>
      <c r="X68" s="191"/>
    </row>
    <row r="69" spans="6:24" s="138" customFormat="1" x14ac:dyDescent="0.25">
      <c r="F69" s="15"/>
      <c r="N69" s="15"/>
      <c r="V69" s="178"/>
      <c r="X69" s="191"/>
    </row>
    <row r="70" spans="6:24" s="138" customFormat="1" x14ac:dyDescent="0.25">
      <c r="F70" s="15"/>
      <c r="N70" s="15"/>
      <c r="V70" s="178"/>
      <c r="X70" s="191"/>
    </row>
    <row r="71" spans="6:24" s="138" customFormat="1" x14ac:dyDescent="0.25">
      <c r="F71" s="15"/>
      <c r="N71" s="15"/>
      <c r="V71" s="178"/>
      <c r="X71" s="191"/>
    </row>
    <row r="72" spans="6:24" s="138" customFormat="1" x14ac:dyDescent="0.25">
      <c r="F72" s="15"/>
      <c r="N72" s="15"/>
      <c r="V72" s="178"/>
      <c r="X72" s="191"/>
    </row>
    <row r="73" spans="6:24" s="138" customFormat="1" x14ac:dyDescent="0.25">
      <c r="F73" s="15"/>
      <c r="N73" s="15"/>
      <c r="V73" s="178"/>
      <c r="X73" s="191"/>
    </row>
    <row r="74" spans="6:24" s="138" customFormat="1" x14ac:dyDescent="0.25">
      <c r="F74" s="15"/>
      <c r="N74" s="15"/>
      <c r="V74" s="178"/>
      <c r="X74" s="191"/>
    </row>
    <row r="75" spans="6:24" s="138" customFormat="1" x14ac:dyDescent="0.25">
      <c r="F75" s="15"/>
      <c r="N75" s="15"/>
      <c r="V75" s="178"/>
      <c r="X75" s="191"/>
    </row>
    <row r="76" spans="6:24" s="138" customFormat="1" x14ac:dyDescent="0.25">
      <c r="F76" s="15"/>
      <c r="N76" s="15"/>
      <c r="V76" s="178"/>
      <c r="X76" s="191"/>
    </row>
    <row r="77" spans="6:24" s="138" customFormat="1" x14ac:dyDescent="0.25">
      <c r="F77" s="15"/>
      <c r="N77" s="15"/>
      <c r="V77" s="178"/>
      <c r="X77" s="191"/>
    </row>
    <row r="78" spans="6:24" s="138" customFormat="1" x14ac:dyDescent="0.25">
      <c r="F78" s="15"/>
      <c r="N78" s="15"/>
      <c r="V78" s="178"/>
      <c r="X78" s="191"/>
    </row>
    <row r="79" spans="6:24" s="138" customFormat="1" x14ac:dyDescent="0.25">
      <c r="F79" s="15"/>
      <c r="N79" s="15"/>
      <c r="V79" s="178"/>
      <c r="X79" s="191"/>
    </row>
    <row r="80" spans="6:24" s="138" customFormat="1" x14ac:dyDescent="0.25">
      <c r="F80" s="15"/>
      <c r="N80" s="15"/>
      <c r="V80" s="178"/>
      <c r="X80" s="191"/>
    </row>
    <row r="81" spans="6:24" s="138" customFormat="1" x14ac:dyDescent="0.25">
      <c r="F81" s="15"/>
      <c r="N81" s="15"/>
      <c r="V81" s="178"/>
      <c r="X81" s="191"/>
    </row>
    <row r="82" spans="6:24" s="138" customFormat="1" x14ac:dyDescent="0.25">
      <c r="F82" s="15"/>
      <c r="N82" s="15"/>
      <c r="V82" s="178"/>
      <c r="X82" s="191"/>
    </row>
  </sheetData>
  <mergeCells count="4">
    <mergeCell ref="C3:S3"/>
    <mergeCell ref="D4:K4"/>
    <mergeCell ref="L4:S4"/>
    <mergeCell ref="N5:O5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8DECF-D105-49D6-B997-21190414A349}">
  <dimension ref="A1:AJ46"/>
  <sheetViews>
    <sheetView tabSelected="1" topLeftCell="A4" zoomScale="86" zoomScaleNormal="86" workbookViewId="0">
      <pane xSplit="3" ySplit="3" topLeftCell="D7" activePane="bottomRight" state="frozen"/>
      <selection activeCell="C4" sqref="C4"/>
      <selection pane="topRight" activeCell="D4" sqref="D4"/>
      <selection pane="bottomLeft" activeCell="C7" sqref="C7"/>
      <selection pane="bottomRight" activeCell="B40" sqref="B40"/>
    </sheetView>
  </sheetViews>
  <sheetFormatPr baseColWidth="10" defaultRowHeight="15" x14ac:dyDescent="0.25"/>
  <cols>
    <col min="1" max="1" width="11.42578125" style="10" hidden="1" customWidth="1"/>
    <col min="2" max="2" width="0.85546875" style="10" customWidth="1"/>
    <col min="3" max="3" width="35.7109375" style="10" customWidth="1"/>
    <col min="4" max="4" width="11.140625" style="10" customWidth="1"/>
    <col min="5" max="5" width="7.140625" style="10" customWidth="1"/>
    <col min="6" max="6" width="11" style="15" customWidth="1"/>
    <col min="7" max="7" width="6.42578125" style="10" customWidth="1"/>
    <col min="8" max="8" width="10.85546875" style="10" customWidth="1"/>
    <col min="9" max="9" width="5.42578125" style="10" customWidth="1"/>
    <col min="10" max="10" width="7.5703125" style="10" customWidth="1"/>
    <col min="11" max="11" width="9.5703125" style="10" customWidth="1"/>
    <col min="12" max="12" width="10.5703125" style="10" customWidth="1"/>
    <col min="13" max="13" width="5.42578125" style="10" customWidth="1"/>
    <col min="14" max="14" width="10.7109375" style="15" customWidth="1"/>
    <col min="15" max="15" width="5.42578125" style="10" customWidth="1"/>
    <col min="16" max="16" width="10.42578125" style="10" customWidth="1"/>
    <col min="17" max="17" width="6.28515625" style="10" customWidth="1"/>
    <col min="18" max="18" width="7.42578125" style="10" customWidth="1"/>
    <col min="19" max="19" width="7.140625" style="10" customWidth="1"/>
    <col min="20" max="20" width="13.42578125" style="196" customWidth="1"/>
    <col min="21" max="21" width="11.42578125" style="196" customWidth="1"/>
    <col min="22" max="22" width="11.42578125" style="197" customWidth="1"/>
    <col min="23" max="23" width="27.85546875" style="10" customWidth="1"/>
    <col min="24" max="30" width="11.42578125" style="10"/>
    <col min="31" max="31" width="8.7109375" style="10" customWidth="1"/>
    <col min="32" max="32" width="7.5703125" style="10" customWidth="1"/>
    <col min="33" max="34" width="11.42578125" style="12"/>
    <col min="35" max="35" width="13.42578125" style="12" customWidth="1"/>
    <col min="36" max="16384" width="11.42578125" style="10"/>
  </cols>
  <sheetData>
    <row r="1" spans="1:36" s="4" customFormat="1" ht="30" hidden="1" x14ac:dyDescent="0.25">
      <c r="C1" s="3" t="s">
        <v>0</v>
      </c>
      <c r="D1" s="4" t="s">
        <v>1</v>
      </c>
      <c r="F1" s="8" t="s">
        <v>2</v>
      </c>
      <c r="H1" s="4" t="s">
        <v>3</v>
      </c>
      <c r="K1" s="4" t="s">
        <v>4</v>
      </c>
      <c r="L1" s="4" t="s">
        <v>5</v>
      </c>
      <c r="N1" s="8" t="s">
        <v>6</v>
      </c>
      <c r="P1" s="4" t="s">
        <v>7</v>
      </c>
      <c r="T1" s="194"/>
      <c r="U1" s="194"/>
      <c r="V1" s="194"/>
      <c r="AG1" s="5"/>
      <c r="AH1" s="5"/>
      <c r="AI1" s="5"/>
    </row>
    <row r="2" spans="1:36" ht="30.75" hidden="1" x14ac:dyDescent="0.3">
      <c r="A2" s="4" t="s">
        <v>8</v>
      </c>
      <c r="B2" s="195">
        <v>201301</v>
      </c>
      <c r="D2" s="11">
        <f>B2</f>
        <v>201301</v>
      </c>
      <c r="F2" s="15" t="str">
        <f>CONCATENATE(LEFT(B2,4)-1,RIGHT(B2,2))</f>
        <v>201201</v>
      </c>
      <c r="H2" s="10">
        <f>B2</f>
        <v>201301</v>
      </c>
      <c r="L2" s="11" t="str">
        <f>CONCATENATE(LEFT(D2,4),"01")</f>
        <v>201301</v>
      </c>
      <c r="N2" s="15" t="str">
        <f>+F2</f>
        <v>201201</v>
      </c>
      <c r="P2" s="10">
        <f>D2</f>
        <v>201301</v>
      </c>
      <c r="Z2" s="14"/>
      <c r="AA2" s="14"/>
      <c r="AB2" s="14"/>
      <c r="AC2" s="14"/>
    </row>
    <row r="3" spans="1:36" ht="19.5" thickBot="1" x14ac:dyDescent="0.35">
      <c r="B3" s="10">
        <v>1000</v>
      </c>
      <c r="C3" s="17" t="s">
        <v>93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98"/>
      <c r="W3" s="19" t="str">
        <f>+C3</f>
        <v>MUSICAR S.A. COLOMBIA CONSOLIDADO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6" ht="19.5" thickBot="1" x14ac:dyDescent="0.35">
      <c r="A4" s="10" t="s">
        <v>94</v>
      </c>
      <c r="B4" s="10">
        <v>1</v>
      </c>
      <c r="C4" s="21"/>
      <c r="D4" s="182" t="str">
        <f>+'COLOMB$ '!D4:K4</f>
        <v>31/04/2022</v>
      </c>
      <c r="E4" s="26"/>
      <c r="F4" s="26"/>
      <c r="G4" s="26"/>
      <c r="H4" s="27"/>
      <c r="I4" s="27"/>
      <c r="J4" s="27"/>
      <c r="K4" s="183"/>
      <c r="L4" s="25" t="s">
        <v>13</v>
      </c>
      <c r="M4" s="26"/>
      <c r="N4" s="26"/>
      <c r="O4" s="26"/>
      <c r="P4" s="27"/>
      <c r="Q4" s="27"/>
      <c r="R4" s="27"/>
      <c r="S4" s="28"/>
      <c r="T4" s="199"/>
      <c r="U4" s="200"/>
      <c r="W4" s="14"/>
      <c r="X4" s="201" t="str">
        <f>+'COLOMB$ '!X4:Z4</f>
        <v>ABRIL</v>
      </c>
      <c r="Y4" s="202"/>
      <c r="Z4" s="202"/>
      <c r="AA4" s="203" t="str">
        <f>+'COLOMB$ '!AA4:AC4</f>
        <v>ACUM  ABRIL</v>
      </c>
      <c r="AB4" s="204"/>
      <c r="AC4" s="205"/>
      <c r="AG4" s="10"/>
      <c r="AH4" s="10"/>
      <c r="AI4" s="10"/>
    </row>
    <row r="5" spans="1:36" ht="15.75" thickBot="1" x14ac:dyDescent="0.3">
      <c r="A5" s="10" t="s">
        <v>95</v>
      </c>
      <c r="B5" s="10" t="s">
        <v>96</v>
      </c>
      <c r="C5" s="36" t="s">
        <v>16</v>
      </c>
      <c r="D5" s="184" t="str">
        <f>+'COLOMB$ '!D5:E5</f>
        <v>Ppto 2022</v>
      </c>
      <c r="E5" s="185"/>
      <c r="F5" s="184" t="str">
        <f>+'COLOMB$ '!F5:G5</f>
        <v>Real 2021</v>
      </c>
      <c r="G5" s="185"/>
      <c r="H5" s="184" t="str">
        <f>+'COLOMB$ '!H5:I5</f>
        <v>real 2022</v>
      </c>
      <c r="I5" s="185"/>
      <c r="J5" s="39" t="s">
        <v>20</v>
      </c>
      <c r="K5" s="40" t="s">
        <v>21</v>
      </c>
      <c r="L5" s="184" t="str">
        <f>+D5</f>
        <v>Ppto 2022</v>
      </c>
      <c r="M5" s="206"/>
      <c r="N5" s="184" t="str">
        <f>+F5</f>
        <v>Real 2021</v>
      </c>
      <c r="O5" s="206"/>
      <c r="P5" s="37" t="str">
        <f>+H5</f>
        <v>real 2022</v>
      </c>
      <c r="Q5" s="38"/>
      <c r="R5" s="39" t="s">
        <v>20</v>
      </c>
      <c r="S5" s="41" t="s">
        <v>21</v>
      </c>
      <c r="T5" s="207"/>
      <c r="U5" s="200"/>
      <c r="W5" s="208" t="s">
        <v>16</v>
      </c>
      <c r="X5" s="209" t="str">
        <f>+D5</f>
        <v>Ppto 2022</v>
      </c>
      <c r="Y5" s="209" t="str">
        <f>+F5</f>
        <v>Real 2021</v>
      </c>
      <c r="Z5" s="210" t="str">
        <f>+P5</f>
        <v>real 2022</v>
      </c>
      <c r="AA5" s="211" t="str">
        <f>+X5</f>
        <v>Ppto 2022</v>
      </c>
      <c r="AB5" s="47" t="str">
        <f>+Y5</f>
        <v>Real 2021</v>
      </c>
      <c r="AC5" s="212" t="str">
        <f>+Z5</f>
        <v>real 2022</v>
      </c>
      <c r="AD5" s="47" t="s">
        <v>24</v>
      </c>
      <c r="AE5" s="47" t="s">
        <v>20</v>
      </c>
      <c r="AF5" s="47" t="s">
        <v>21</v>
      </c>
      <c r="AG5" s="10"/>
      <c r="AH5" s="10"/>
      <c r="AI5" s="10"/>
    </row>
    <row r="6" spans="1:36" ht="15.75" thickBot="1" x14ac:dyDescent="0.3">
      <c r="C6" s="50" t="s">
        <v>26</v>
      </c>
      <c r="D6" s="51" t="s">
        <v>27</v>
      </c>
      <c r="E6" s="52" t="s">
        <v>28</v>
      </c>
      <c r="F6" s="51" t="s">
        <v>27</v>
      </c>
      <c r="G6" s="52" t="s">
        <v>28</v>
      </c>
      <c r="H6" s="51" t="s">
        <v>27</v>
      </c>
      <c r="I6" s="54" t="s">
        <v>28</v>
      </c>
      <c r="J6" s="55" t="s">
        <v>29</v>
      </c>
      <c r="K6" s="52" t="s">
        <v>29</v>
      </c>
      <c r="L6" s="51" t="s">
        <v>27</v>
      </c>
      <c r="M6" s="52" t="s">
        <v>28</v>
      </c>
      <c r="N6" s="51" t="s">
        <v>27</v>
      </c>
      <c r="O6" s="54" t="s">
        <v>28</v>
      </c>
      <c r="P6" s="51" t="s">
        <v>27</v>
      </c>
      <c r="Q6" s="54" t="s">
        <v>28</v>
      </c>
      <c r="R6" s="55" t="s">
        <v>29</v>
      </c>
      <c r="S6" s="56" t="s">
        <v>29</v>
      </c>
      <c r="T6" s="213"/>
      <c r="U6" s="200"/>
      <c r="V6" s="214"/>
      <c r="W6" s="57" t="s">
        <v>30</v>
      </c>
      <c r="X6" s="63"/>
      <c r="Y6" s="63"/>
      <c r="Z6" s="59"/>
      <c r="AA6" s="211" t="s">
        <v>31</v>
      </c>
      <c r="AB6" s="47" t="s">
        <v>31</v>
      </c>
      <c r="AC6" s="212" t="s">
        <v>31</v>
      </c>
      <c r="AD6" s="62"/>
      <c r="AE6" s="63" t="s">
        <v>29</v>
      </c>
      <c r="AF6" s="63" t="s">
        <v>29</v>
      </c>
      <c r="AG6" s="10"/>
      <c r="AH6" s="10"/>
      <c r="AI6" s="10"/>
    </row>
    <row r="7" spans="1:36" ht="15.75" thickBot="1" x14ac:dyDescent="0.3">
      <c r="B7" s="11" t="s">
        <v>97</v>
      </c>
      <c r="C7" s="65" t="str">
        <f>+'COLOMB$ '!C7</f>
        <v>Fact. Musical Experience  (Ambiental)</v>
      </c>
      <c r="D7" s="66">
        <f>+'COLOMB$ '!D7+'PROY SAT$'!D7</f>
        <v>395065</v>
      </c>
      <c r="E7" s="67">
        <f t="shared" ref="E7:E34" si="0">+D7/$D$17</f>
        <v>0.43588329076355292</v>
      </c>
      <c r="F7" s="66">
        <f>+'COLOMB$ '!F7+'PROY SAT$'!F7</f>
        <v>375569.288</v>
      </c>
      <c r="G7" s="67">
        <f t="shared" ref="G7:G13" si="1">+F7/$F$17</f>
        <v>0.48154638713510017</v>
      </c>
      <c r="H7" s="66">
        <f>+'COLOMB$ '!H7+'PROY SAT$'!H7</f>
        <v>364646.89799999999</v>
      </c>
      <c r="I7" s="68">
        <f t="shared" ref="I7:I34" si="2">+H7/$H$17</f>
        <v>0.43090859049718672</v>
      </c>
      <c r="J7" s="69">
        <f>IF(D7=0,"",(H7-D7)/ABS(D7)+1)</f>
        <v>0.92300481692885983</v>
      </c>
      <c r="K7" s="69">
        <f>IF(F7=0,"",(H7-F7)/ABS(F7))</f>
        <v>-2.9082223570954007E-2</v>
      </c>
      <c r="L7" s="66">
        <f>+'COLOMB$ '!L7+'PROY SAT$'!L7</f>
        <v>1466600</v>
      </c>
      <c r="M7" s="67">
        <f t="shared" ref="M7:M34" si="3">+L7/$L$17</f>
        <v>0.42648151874645956</v>
      </c>
      <c r="N7" s="66">
        <f>+'COLOMB$ '!N7+'PROY SAT$'!N7</f>
        <v>1402856.3359999999</v>
      </c>
      <c r="O7" s="215">
        <f t="shared" ref="O7:O34" si="4">+N7/$N$17</f>
        <v>0.45067772915687371</v>
      </c>
      <c r="P7" s="66">
        <f>+'COLOMB$ '!P7+'PROY SAT$'!P7</f>
        <v>1453271.2490000001</v>
      </c>
      <c r="Q7" s="68">
        <f t="shared" ref="Q7:Q34" si="5">+P7/$P$17</f>
        <v>0.43479772218254853</v>
      </c>
      <c r="R7" s="69">
        <f>IF(L7=0,"",(P7-L7)/ABS(L7)+1)</f>
        <v>0.99091180212736951</v>
      </c>
      <c r="S7" s="70">
        <f>IF(N7=0,"",(P7-N7)/ABS(N7))</f>
        <v>3.5937331361919428E-2</v>
      </c>
      <c r="T7" s="199"/>
      <c r="U7" s="199"/>
      <c r="V7" s="216"/>
      <c r="W7" s="73" t="s">
        <v>35</v>
      </c>
      <c r="X7" s="75">
        <f>+'COLOMB$ '!X7</f>
        <v>22254</v>
      </c>
      <c r="Y7" s="75">
        <f>+'COLOMB$ '!Y7</f>
        <v>681689</v>
      </c>
      <c r="Z7" s="74">
        <f>+'COLOMB$ '!Z7</f>
        <v>78252.153630000001</v>
      </c>
      <c r="AA7" s="217">
        <f>+'COLOMB$ '!AA7</f>
        <v>484392</v>
      </c>
      <c r="AB7" s="75">
        <f>+'COLOMB$ '!AB7</f>
        <v>590525</v>
      </c>
      <c r="AC7" s="94">
        <f>+'COLOMB$ '!AC7</f>
        <v>484392</v>
      </c>
      <c r="AD7" s="76">
        <f>+AC7-AA7</f>
        <v>0</v>
      </c>
      <c r="AE7" s="77">
        <f>IF(AA7=0,"",(AC7-AA7)/ABS(AA7)+1)</f>
        <v>1</v>
      </c>
      <c r="AF7" s="77">
        <f>IF(Y7=0,"",(AC7-AB7)/ABS(AB7))</f>
        <v>-0.17972651454214469</v>
      </c>
      <c r="AG7" s="10"/>
      <c r="AH7" s="10"/>
      <c r="AI7" s="10"/>
    </row>
    <row r="8" spans="1:36" x14ac:dyDescent="0.25">
      <c r="B8" s="11" t="s">
        <v>98</v>
      </c>
      <c r="C8" s="65" t="str">
        <f>+'COLOMB$ '!C8</f>
        <v>Instalaciones</v>
      </c>
      <c r="D8" s="66">
        <f>+'COLOMB$ '!D8+'PROY SAT$'!D8</f>
        <v>43582</v>
      </c>
      <c r="E8" s="67">
        <f t="shared" si="0"/>
        <v>4.8084911541283491E-2</v>
      </c>
      <c r="F8" s="66">
        <f>+'COLOMB$ '!F8+'PROY SAT$'!F8</f>
        <v>13879.722</v>
      </c>
      <c r="G8" s="67">
        <f t="shared" si="1"/>
        <v>1.7796263424871863E-2</v>
      </c>
      <c r="H8" s="66">
        <f>+'COLOMB$ '!H8+'PROY SAT$'!H8</f>
        <v>20664.773000000001</v>
      </c>
      <c r="I8" s="68">
        <f t="shared" si="2"/>
        <v>2.441986550609385E-2</v>
      </c>
      <c r="J8" s="69">
        <f t="shared" ref="J8:J34" si="6">IF(D8=0,"",(H8-D8)/ABS(D8)+1)</f>
        <v>0.47415843696939108</v>
      </c>
      <c r="K8" s="69">
        <f t="shared" ref="K8:K34" si="7">IF(F8=0,"",(H8-F8)/ABS(F8))</f>
        <v>0.48884631839167969</v>
      </c>
      <c r="L8" s="66">
        <f>+'COLOMB$ '!L8+'PROY SAT$'!L8</f>
        <v>141639</v>
      </c>
      <c r="M8" s="67">
        <f t="shared" si="3"/>
        <v>4.1188064798670244E-2</v>
      </c>
      <c r="N8" s="66">
        <f>+'COLOMB$ '!N8+'PROY SAT$'!N8</f>
        <v>140315.26500000001</v>
      </c>
      <c r="O8" s="215">
        <f t="shared" si="4"/>
        <v>4.5077292216930881E-2</v>
      </c>
      <c r="P8" s="66">
        <f>+'COLOMB$ '!P8+'PROY SAT$'!P8</f>
        <v>115540.90399999999</v>
      </c>
      <c r="Q8" s="68">
        <f t="shared" si="5"/>
        <v>3.4568166068571625E-2</v>
      </c>
      <c r="R8" s="69">
        <f t="shared" ref="R8:R34" si="8">IF(L8=0,"",(P8-L8)/ABS(L8)+1)</f>
        <v>0.81574216141034595</v>
      </c>
      <c r="S8" s="70">
        <f t="shared" ref="S8:S34" si="9">IF(N8=0,"",(P8-N8)/ABS(N8))</f>
        <v>-0.17656212244619299</v>
      </c>
      <c r="T8" s="199"/>
      <c r="U8" s="199"/>
      <c r="V8" s="199"/>
      <c r="W8" s="81" t="s">
        <v>38</v>
      </c>
      <c r="X8" s="82">
        <f>+'COLOMB$ '!X8</f>
        <v>1019208</v>
      </c>
      <c r="Y8" s="82">
        <f>+'COLOMB$ '!Y8</f>
        <v>766153.91020000004</v>
      </c>
      <c r="Z8" s="82">
        <f>+'COLOMB$ '!Z8</f>
        <v>964809.17712999997</v>
      </c>
      <c r="AA8" s="218">
        <f>+'COLOMB$ '!AA8</f>
        <v>3781028</v>
      </c>
      <c r="AB8" s="82">
        <f>+'COLOMB$ '!AB8</f>
        <v>3557030.1444200003</v>
      </c>
      <c r="AC8" s="110">
        <f>+'COLOMB$ '!AC8</f>
        <v>3903063.17741</v>
      </c>
      <c r="AD8" s="85">
        <f>+AC8-AA8</f>
        <v>122035.17741</v>
      </c>
      <c r="AE8" s="86">
        <f>IF(AA8=0,"",(AC8-AA8)/ABS(AA8)+1)</f>
        <v>1.032275660854667</v>
      </c>
      <c r="AF8" s="86">
        <f>IF(AB8=0,"",(AC8-AB8)/ABS(AB8))</f>
        <v>9.7281445177750378E-2</v>
      </c>
      <c r="AG8" s="10"/>
      <c r="AH8" s="10"/>
      <c r="AI8" s="10"/>
    </row>
    <row r="9" spans="1:36" x14ac:dyDescent="0.25">
      <c r="B9" s="11" t="s">
        <v>99</v>
      </c>
      <c r="C9" s="65" t="str">
        <f>+'COLOMB$ '!C9</f>
        <v>Fact.Voice Experience (Publihold)</v>
      </c>
      <c r="D9" s="66">
        <f>+'COLOMB$ '!D9+'PROY SAT$'!D9</f>
        <v>86697</v>
      </c>
      <c r="E9" s="67">
        <f t="shared" si="0"/>
        <v>9.5654572435745377E-2</v>
      </c>
      <c r="F9" s="66">
        <f>+'COLOMB$ '!F9+'PROY SAT$'!F9</f>
        <v>111912.4574</v>
      </c>
      <c r="G9" s="67">
        <f t="shared" si="1"/>
        <v>0.14349160396837563</v>
      </c>
      <c r="H9" s="66">
        <f>+'COLOMB$ '!H9+'PROY SAT$'!H9</f>
        <v>102596.82220000001</v>
      </c>
      <c r="I9" s="68">
        <f t="shared" si="2"/>
        <v>0.12124017038448105</v>
      </c>
      <c r="J9" s="69">
        <f t="shared" si="6"/>
        <v>1.1833952985685781</v>
      </c>
      <c r="K9" s="69">
        <f t="shared" si="7"/>
        <v>-8.3240377491701739E-2</v>
      </c>
      <c r="L9" s="66">
        <f>+'COLOMB$ '!L9+'PROY SAT$'!L9</f>
        <v>351345</v>
      </c>
      <c r="M9" s="67">
        <f t="shared" si="3"/>
        <v>0.10216974580933781</v>
      </c>
      <c r="N9" s="66">
        <f>+'COLOMB$ '!N9+'PROY SAT$'!N9</f>
        <v>421868.05339999998</v>
      </c>
      <c r="O9" s="215">
        <f t="shared" si="4"/>
        <v>0.13552815882220368</v>
      </c>
      <c r="P9" s="66">
        <f>+'COLOMB$ '!P9+'PROY SAT$'!P9</f>
        <v>383590.7452</v>
      </c>
      <c r="Q9" s="68">
        <f t="shared" si="5"/>
        <v>0.11476479864170654</v>
      </c>
      <c r="R9" s="69">
        <f t="shared" si="8"/>
        <v>1.091778010787118</v>
      </c>
      <c r="S9" s="70">
        <f t="shared" si="9"/>
        <v>-9.073289122394583E-2</v>
      </c>
      <c r="T9" s="199"/>
      <c r="U9" s="199"/>
      <c r="V9" s="199"/>
      <c r="W9" s="81" t="s">
        <v>41</v>
      </c>
      <c r="X9" s="82">
        <f>+'COLOMB$ '!X9</f>
        <v>118025</v>
      </c>
      <c r="Y9" s="82">
        <f>+'COLOMB$ '!Y9</f>
        <v>104077.12851000001</v>
      </c>
      <c r="Z9" s="82">
        <f>+'COLOMB$ '!Z9</f>
        <v>73032.076000000001</v>
      </c>
      <c r="AA9" s="218">
        <f>+'COLOMB$ '!AA9</f>
        <v>515663</v>
      </c>
      <c r="AB9" s="82">
        <f>+'COLOMB$ '!AB9</f>
        <v>591775.05154999997</v>
      </c>
      <c r="AC9" s="110">
        <f>+'COLOMB$ '!AC9</f>
        <v>513777.09182999999</v>
      </c>
      <c r="AD9" s="85">
        <f>+AA9-AC9</f>
        <v>1885.9081700000097</v>
      </c>
      <c r="AE9" s="86">
        <f>IF(AA9=0,"",(AC9-AA9)/ABS(AA9)+1)</f>
        <v>0.99634275065304279</v>
      </c>
      <c r="AF9" s="86">
        <f t="shared" ref="AF9:AF22" si="10">IF(AB9=0,"",(AC9-AB9)/ABS(AB9))</f>
        <v>-0.13180339305569697</v>
      </c>
      <c r="AG9" s="10"/>
      <c r="AH9" s="10"/>
      <c r="AI9" s="10"/>
    </row>
    <row r="10" spans="1:36" x14ac:dyDescent="0.25">
      <c r="B10" s="11">
        <v>4170250500</v>
      </c>
      <c r="C10" s="65" t="str">
        <f>+'COLOMB$ '!C10</f>
        <v>Fact. Service &amp; Equipment Experience</v>
      </c>
      <c r="D10" s="66">
        <f>+'COLOMB$ '!D10+'PROY SAT$'!D10</f>
        <v>89978</v>
      </c>
      <c r="E10" s="67">
        <f t="shared" si="0"/>
        <v>9.9274566808811124E-2</v>
      </c>
      <c r="F10" s="66">
        <f>+'COLOMB$ '!F10+'PROY SAT$'!F10</f>
        <v>39373.923999999999</v>
      </c>
      <c r="G10" s="67">
        <f t="shared" si="1"/>
        <v>5.0484348575200885E-2</v>
      </c>
      <c r="H10" s="66">
        <f>+'COLOMB$ '!H10+'PROY SAT$'!H10</f>
        <v>61251.985000000001</v>
      </c>
      <c r="I10" s="68">
        <f t="shared" si="2"/>
        <v>7.2382369536857616E-2</v>
      </c>
      <c r="J10" s="69">
        <f t="shared" si="6"/>
        <v>0.68074401520371652</v>
      </c>
      <c r="K10" s="69">
        <f t="shared" si="7"/>
        <v>0.55564847943527296</v>
      </c>
      <c r="L10" s="66">
        <f>+'COLOMB$ '!L10+'PROY SAT$'!L10</f>
        <v>329084</v>
      </c>
      <c r="M10" s="67">
        <f t="shared" si="3"/>
        <v>9.5696334457357077E-2</v>
      </c>
      <c r="N10" s="66">
        <f>+'COLOMB$ '!N10+'PROY SAT$'!N10</f>
        <v>195146.51699999999</v>
      </c>
      <c r="O10" s="215">
        <f t="shared" si="4"/>
        <v>6.2692227904962927E-2</v>
      </c>
      <c r="P10" s="66">
        <f>+'COLOMB$ '!P10+'PROY SAT$'!P10</f>
        <v>233929.79699999999</v>
      </c>
      <c r="Q10" s="68">
        <f t="shared" si="5"/>
        <v>6.9988409222445147E-2</v>
      </c>
      <c r="R10" s="69">
        <f t="shared" si="8"/>
        <v>0.71085132367419868</v>
      </c>
      <c r="S10" s="70">
        <f t="shared" si="9"/>
        <v>0.19873928879806757</v>
      </c>
      <c r="T10" s="199"/>
      <c r="U10" s="199"/>
      <c r="V10" s="199"/>
      <c r="W10" s="81" t="s">
        <v>44</v>
      </c>
      <c r="X10" s="82">
        <f>+'COLOMB$ '!X10</f>
        <v>8353</v>
      </c>
      <c r="Y10" s="82">
        <f>+'COLOMB$ '!Y10</f>
        <v>7493.2209999999995</v>
      </c>
      <c r="Z10" s="82">
        <f>+'COLOMB$ '!Z10</f>
        <v>9535.0849999999991</v>
      </c>
      <c r="AA10" s="218">
        <f>+'COLOMB$ '!AA10</f>
        <v>33412</v>
      </c>
      <c r="AB10" s="82">
        <f>+'COLOMB$ '!AB10</f>
        <v>29467.489000000001</v>
      </c>
      <c r="AC10" s="110">
        <f>+'COLOMB$ '!AC10</f>
        <v>37212.35</v>
      </c>
      <c r="AD10" s="85">
        <f>+AA10-AC10</f>
        <v>-3800.3499999999985</v>
      </c>
      <c r="AE10" s="86">
        <f t="shared" ref="AE10:AE21" si="11">IF(AA10=0,"",(AC10-AA10)/ABS(AA10)+1)</f>
        <v>1.1137420687178259</v>
      </c>
      <c r="AF10" s="86">
        <f t="shared" si="10"/>
        <v>0.26282731453636909</v>
      </c>
      <c r="AG10" s="10"/>
      <c r="AH10" s="149"/>
      <c r="AI10" s="149"/>
    </row>
    <row r="11" spans="1:36" x14ac:dyDescent="0.25">
      <c r="B11" s="11"/>
      <c r="C11" s="65" t="str">
        <f>+'COLOMB$ '!C11</f>
        <v>POP Satelital</v>
      </c>
      <c r="D11" s="66">
        <f>+'COLOMB$ '!D11+'PROY SAT$'!D11</f>
        <v>0</v>
      </c>
      <c r="E11" s="67">
        <f t="shared" si="0"/>
        <v>0</v>
      </c>
      <c r="F11" s="66">
        <f>+'COLOMB$ '!F11+'PROY SAT$'!F11</f>
        <v>0</v>
      </c>
      <c r="G11" s="67">
        <f t="shared" si="1"/>
        <v>0</v>
      </c>
      <c r="H11" s="66">
        <f>+'COLOMB$ '!H11+'PROY SAT$'!H11</f>
        <v>0</v>
      </c>
      <c r="I11" s="68">
        <f t="shared" si="2"/>
        <v>0</v>
      </c>
      <c r="J11" s="69" t="str">
        <f>IF(D11=0,"",(H11-D11)/ABS(D11)+1)</f>
        <v/>
      </c>
      <c r="K11" s="69" t="str">
        <f>IF(F11=0,"",(H11-F11)/ABS(F11))</f>
        <v/>
      </c>
      <c r="L11" s="66">
        <f>+'COLOMB$ '!L11+'PROY SAT$'!L11</f>
        <v>0</v>
      </c>
      <c r="M11" s="67">
        <f t="shared" si="3"/>
        <v>0</v>
      </c>
      <c r="N11" s="66">
        <f>+'COLOMB$ '!N11+'PROY SAT$'!N11</f>
        <v>0</v>
      </c>
      <c r="O11" s="215">
        <f t="shared" si="4"/>
        <v>0</v>
      </c>
      <c r="P11" s="66">
        <f>+'COLOMB$ '!P11+'PROY SAT$'!P11</f>
        <v>0</v>
      </c>
      <c r="Q11" s="68">
        <f t="shared" si="5"/>
        <v>0</v>
      </c>
      <c r="R11" s="69" t="str">
        <f t="shared" si="8"/>
        <v/>
      </c>
      <c r="S11" s="70" t="str">
        <f>IF(N11=0,"",(P11-N11)/ABS(N11))</f>
        <v/>
      </c>
      <c r="T11" s="199"/>
      <c r="U11" s="199"/>
      <c r="V11" s="199"/>
      <c r="W11" s="81" t="s">
        <v>46</v>
      </c>
      <c r="X11" s="82">
        <f>+'COLOMB$ '!X11</f>
        <v>348665</v>
      </c>
      <c r="Y11" s="82">
        <f>+'COLOMB$ '!Y11</f>
        <v>318657.72200000001</v>
      </c>
      <c r="Z11" s="82">
        <f>+'COLOMB$ '!Z11</f>
        <v>364235.84700000001</v>
      </c>
      <c r="AA11" s="218">
        <f>+'COLOMB$ '!AA11</f>
        <v>1600564</v>
      </c>
      <c r="AB11" s="82">
        <f>+'COLOMB$ '!AB11</f>
        <v>1321879.2390000001</v>
      </c>
      <c r="AC11" s="110">
        <f>+'COLOMB$ '!AC11</f>
        <v>1603448.31528</v>
      </c>
      <c r="AD11" s="85">
        <f>+AA11-AC11</f>
        <v>-2884.3152799999807</v>
      </c>
      <c r="AE11" s="86">
        <f t="shared" si="11"/>
        <v>1.0018020618232073</v>
      </c>
      <c r="AF11" s="86">
        <f t="shared" si="10"/>
        <v>0.21300665595823001</v>
      </c>
      <c r="AG11" s="10"/>
      <c r="AH11" s="149"/>
      <c r="AI11" s="10"/>
    </row>
    <row r="12" spans="1:36" x14ac:dyDescent="0.25">
      <c r="B12" s="219" t="s">
        <v>100</v>
      </c>
      <c r="C12" s="65" t="str">
        <f>+'COLOMB$ '!C12</f>
        <v xml:space="preserve"> Fact.Voice Experience (Audicóm)</v>
      </c>
      <c r="D12" s="66">
        <f>+'COLOMB$ '!D12+'PROY SAT$'!D12</f>
        <v>121816</v>
      </c>
      <c r="E12" s="67">
        <f t="shared" si="0"/>
        <v>0.13440208306899615</v>
      </c>
      <c r="F12" s="66">
        <f>+'COLOMB$ '!F12+'PROY SAT$'!F12</f>
        <v>116473.086</v>
      </c>
      <c r="G12" s="67">
        <f t="shared" si="1"/>
        <v>0.14933913808675381</v>
      </c>
      <c r="H12" s="66">
        <f>+'COLOMB$ '!H12+'PROY SAT$'!H12</f>
        <v>121192.83</v>
      </c>
      <c r="I12" s="68">
        <f t="shared" si="2"/>
        <v>0.14321534569496097</v>
      </c>
      <c r="J12" s="69">
        <f>IF(D12=0,"",(H12-D12)/ABS(D12)+1)</f>
        <v>0.99488433374926122</v>
      </c>
      <c r="K12" s="69">
        <f>IF(F12=0,"",(H12-F12)/ABS(F12))</f>
        <v>4.0522185528766762E-2</v>
      </c>
      <c r="L12" s="66">
        <f>+'COLOMB$ '!L12+'PROY SAT$'!L12</f>
        <v>496011</v>
      </c>
      <c r="M12" s="67">
        <f t="shared" si="3"/>
        <v>0.14423805031702588</v>
      </c>
      <c r="N12" s="66">
        <f>+'COLOMB$ '!N12+'PROY SAT$'!N12</f>
        <v>464428.33500000002</v>
      </c>
      <c r="O12" s="215">
        <f t="shared" si="4"/>
        <v>0.14920095665013827</v>
      </c>
      <c r="P12" s="66">
        <f>+'COLOMB$ '!P12+'PROY SAT$'!P12</f>
        <v>488237.28399999999</v>
      </c>
      <c r="Q12" s="68">
        <f t="shared" si="5"/>
        <v>0.14607352833400342</v>
      </c>
      <c r="R12" s="69">
        <f t="shared" si="8"/>
        <v>0.98432753305874265</v>
      </c>
      <c r="S12" s="70">
        <f>IF(N12=0,"",(P12-N12)/ABS(N12))</f>
        <v>5.1265065470219348E-2</v>
      </c>
      <c r="T12" s="199"/>
      <c r="U12" s="199"/>
      <c r="V12" s="199"/>
      <c r="W12" s="81" t="s">
        <v>49</v>
      </c>
      <c r="X12" s="82">
        <f>+'COLOMB$ '!X12</f>
        <v>250692</v>
      </c>
      <c r="Y12" s="82">
        <f>+'COLOMB$ '!Y12</f>
        <v>140986.52883000002</v>
      </c>
      <c r="Z12" s="82">
        <f>+'COLOMB$ '!Z12</f>
        <v>264432.27750000003</v>
      </c>
      <c r="AA12" s="218">
        <f>+'COLOMB$ '!AA12</f>
        <v>1030857</v>
      </c>
      <c r="AB12" s="82">
        <f>+'COLOMB$ '!AB12</f>
        <v>627830.51286999998</v>
      </c>
      <c r="AC12" s="110">
        <f>+'COLOMB$ '!AC12</f>
        <v>1064451.2620599999</v>
      </c>
      <c r="AD12" s="85">
        <f>+AA12-AC12</f>
        <v>-33594.262059999863</v>
      </c>
      <c r="AE12" s="86">
        <f t="shared" si="11"/>
        <v>1.0325886733659468</v>
      </c>
      <c r="AF12" s="86">
        <f t="shared" si="10"/>
        <v>0.69544365913991113</v>
      </c>
      <c r="AG12" s="10"/>
      <c r="AH12" s="149"/>
      <c r="AI12" s="149"/>
      <c r="AJ12" s="149"/>
    </row>
    <row r="13" spans="1:36" ht="15.75" thickBot="1" x14ac:dyDescent="0.3">
      <c r="B13" s="11"/>
      <c r="C13" s="65" t="str">
        <f>+'COLOMB$ '!C13</f>
        <v>Fact. Servicio Satelital</v>
      </c>
      <c r="D13" s="66">
        <f>+'COLOMB$ '!D13+'PROY SAT$'!D13</f>
        <v>0</v>
      </c>
      <c r="E13" s="67">
        <f t="shared" si="0"/>
        <v>0</v>
      </c>
      <c r="F13" s="66">
        <f>+'COLOMB$ '!F13+'PROY SAT$'!F13</f>
        <v>0</v>
      </c>
      <c r="G13" s="67">
        <f t="shared" si="1"/>
        <v>0</v>
      </c>
      <c r="H13" s="66">
        <f>+'COLOMB$ '!H13+'PROY SAT$'!H13</f>
        <v>0</v>
      </c>
      <c r="I13" s="68">
        <f t="shared" si="2"/>
        <v>0</v>
      </c>
      <c r="J13" s="69" t="str">
        <f>IF(D13=0,"",(H13-D13)/ABS(D13)+1)</f>
        <v/>
      </c>
      <c r="K13" s="69" t="str">
        <f>IF(F13=0,"",(H13-F13)/ABS(F13))</f>
        <v/>
      </c>
      <c r="L13" s="66">
        <f>+'COLOMB$ '!L13+'PROY SAT$'!L13</f>
        <v>0</v>
      </c>
      <c r="M13" s="67">
        <f t="shared" si="3"/>
        <v>0</v>
      </c>
      <c r="N13" s="66">
        <f>+'COLOMB$ '!N13+'PROY SAT$'!N13</f>
        <v>0</v>
      </c>
      <c r="O13" s="215">
        <f t="shared" si="4"/>
        <v>0</v>
      </c>
      <c r="P13" s="66">
        <f>+'COLOMB$ '!P13+'PROY SAT$'!P13</f>
        <v>0</v>
      </c>
      <c r="Q13" s="68">
        <f t="shared" si="5"/>
        <v>0</v>
      </c>
      <c r="R13" s="69" t="str">
        <f t="shared" si="8"/>
        <v/>
      </c>
      <c r="S13" s="70" t="str">
        <f t="shared" ref="S13:S16" si="12">IF(N13=0,"",(P13-N13)/ABS(N13))</f>
        <v/>
      </c>
      <c r="T13" s="199"/>
      <c r="U13" s="199"/>
      <c r="V13" s="199"/>
      <c r="W13" s="81" t="s">
        <v>51</v>
      </c>
      <c r="X13" s="90">
        <f>X9+X10+X11+X12</f>
        <v>725735</v>
      </c>
      <c r="Y13" s="90">
        <f>Y9+Y10+Y11+Y12</f>
        <v>571214.60034000012</v>
      </c>
      <c r="Z13" s="91">
        <f>Z9+Z10+Z11+Z12</f>
        <v>711235.2855</v>
      </c>
      <c r="AA13" s="218">
        <f t="shared" ref="AA13:AC13" si="13">AA9+AA10+AA11+AA12</f>
        <v>3180496</v>
      </c>
      <c r="AB13" s="82">
        <f>+'COLOMB$ '!AB13</f>
        <v>2570952.2924199998</v>
      </c>
      <c r="AC13" s="92">
        <f t="shared" si="13"/>
        <v>3218889.0191700002</v>
      </c>
      <c r="AD13" s="85">
        <f>+AC13-AA13</f>
        <v>38393.019170000218</v>
      </c>
      <c r="AE13" s="86">
        <f t="shared" si="11"/>
        <v>1.0120713936348293</v>
      </c>
      <c r="AF13" s="86">
        <f t="shared" si="10"/>
        <v>0.25202207316733483</v>
      </c>
      <c r="AG13" s="10"/>
      <c r="AH13" s="149"/>
      <c r="AI13" s="220"/>
    </row>
    <row r="14" spans="1:36" ht="15.75" thickBot="1" x14ac:dyDescent="0.3">
      <c r="B14" s="11"/>
      <c r="C14" s="65" t="str">
        <f>+'COLOMB$ '!C14</f>
        <v>Fact. Visual Experience</v>
      </c>
      <c r="D14" s="66">
        <f>+'COLOMB$ '!D14+'PROY SAT$'!D14</f>
        <v>17723</v>
      </c>
      <c r="E14" s="67">
        <f t="shared" si="0"/>
        <v>1.9554148209035092E-2</v>
      </c>
      <c r="F14" s="66">
        <f>+'COLOMB$ '!F14+'PROY SAT$'!F14</f>
        <v>12092.731</v>
      </c>
      <c r="G14" s="67"/>
      <c r="H14" s="66">
        <f>+'COLOMB$ '!H14+'PROY SAT$'!H14</f>
        <v>12787.558999999999</v>
      </c>
      <c r="I14" s="68">
        <f t="shared" si="2"/>
        <v>1.5111246125531596E-2</v>
      </c>
      <c r="J14" s="69">
        <f>IF(D14=0,"",(H14-D14)/ABS(D14)+1)</f>
        <v>0.72152338768831459</v>
      </c>
      <c r="K14" s="69">
        <f>IF(F14=0,"",(H14-F14)/ABS(F14))</f>
        <v>5.7458319382114723E-2</v>
      </c>
      <c r="L14" s="66">
        <f>+'COLOMB$ '!L14+'PROY SAT$'!L14</f>
        <v>58666</v>
      </c>
      <c r="M14" s="67">
        <f t="shared" si="3"/>
        <v>1.7059842342001769E-2</v>
      </c>
      <c r="N14" s="66">
        <f>+'COLOMB$ '!N14+'PROY SAT$'!N14</f>
        <v>59681.120999999999</v>
      </c>
      <c r="O14" s="215">
        <f t="shared" si="4"/>
        <v>1.9172991129304498E-2</v>
      </c>
      <c r="P14" s="66">
        <f>+'COLOMB$ '!P14+'PROY SAT$'!P14</f>
        <v>51192.499000000003</v>
      </c>
      <c r="Q14" s="68">
        <f t="shared" si="5"/>
        <v>1.53160547099163E-2</v>
      </c>
      <c r="R14" s="69">
        <f t="shared" si="8"/>
        <v>0.87260933078784997</v>
      </c>
      <c r="S14" s="70">
        <f t="shared" si="12"/>
        <v>-0.14223295169003269</v>
      </c>
      <c r="T14" s="199"/>
      <c r="U14" s="199"/>
      <c r="V14" s="199"/>
      <c r="W14" s="73" t="s">
        <v>53</v>
      </c>
      <c r="X14" s="75">
        <f>X8-X13</f>
        <v>293473</v>
      </c>
      <c r="Y14" s="75">
        <f>Y8-Y13</f>
        <v>194939.30985999992</v>
      </c>
      <c r="Z14" s="74">
        <f>Z8-Z13</f>
        <v>253573.89162999997</v>
      </c>
      <c r="AA14" s="217">
        <f t="shared" ref="AA14:AC14" si="14">AA8-AA13</f>
        <v>600532</v>
      </c>
      <c r="AB14" s="75">
        <f>AB8-AB13</f>
        <v>986077.85200000042</v>
      </c>
      <c r="AC14" s="94">
        <f t="shared" si="14"/>
        <v>684174.15823999979</v>
      </c>
      <c r="AD14" s="76">
        <f>+AC14-AA14</f>
        <v>83642.158239999786</v>
      </c>
      <c r="AE14" s="77">
        <f t="shared" si="11"/>
        <v>1.1392801020428549</v>
      </c>
      <c r="AF14" s="77">
        <f t="shared" si="10"/>
        <v>-0.3061661846959326</v>
      </c>
      <c r="AG14" s="10"/>
      <c r="AH14" s="149"/>
      <c r="AI14" s="149"/>
    </row>
    <row r="15" spans="1:36" x14ac:dyDescent="0.25">
      <c r="B15" s="11"/>
      <c r="C15" s="65" t="str">
        <f>+'COLOMB$ '!C15</f>
        <v>Fac.   Olfa Experience</v>
      </c>
      <c r="D15" s="66">
        <f>+'COLOMB$ '!D15+'PROY SAT$'!D15</f>
        <v>106784</v>
      </c>
      <c r="E15" s="67">
        <f t="shared" si="0"/>
        <v>0.11781697017173183</v>
      </c>
      <c r="F15" s="66">
        <f>+'COLOMB$ '!F15+'PROY SAT$'!F15</f>
        <v>76612.232999999993</v>
      </c>
      <c r="G15" s="67"/>
      <c r="H15" s="66">
        <f>+'COLOMB$ '!H15+'PROY SAT$'!H15</f>
        <v>110647.531</v>
      </c>
      <c r="I15" s="68">
        <f t="shared" si="2"/>
        <v>0.13075381111620968</v>
      </c>
      <c r="J15" s="69">
        <f t="shared" ref="J15:J16" si="15">IF(D15=0,"",(H15-D15)/ABS(D15)+1)</f>
        <v>1.0361808042403358</v>
      </c>
      <c r="K15" s="69">
        <f t="shared" ref="K15:K16" si="16">IF(F15=0,"",(H15-F15)/ABS(F15))</f>
        <v>0.44425409190200754</v>
      </c>
      <c r="L15" s="66">
        <f>+'COLOMB$ '!L15+'PROY SAT$'!L15</f>
        <v>423757</v>
      </c>
      <c r="M15" s="67">
        <f t="shared" si="3"/>
        <v>0.12322687095284567</v>
      </c>
      <c r="N15" s="66">
        <f>+'COLOMB$ '!N15+'PROY SAT$'!N15</f>
        <v>293063.35100000002</v>
      </c>
      <c r="O15" s="215">
        <f t="shared" si="4"/>
        <v>9.4148717968069853E-2</v>
      </c>
      <c r="P15" s="66">
        <f>+'COLOMB$ '!P15+'PROY SAT$'!P15</f>
        <v>408081.70699999999</v>
      </c>
      <c r="Q15" s="68">
        <f t="shared" si="5"/>
        <v>0.12209213991542069</v>
      </c>
      <c r="R15" s="69">
        <f t="shared" si="8"/>
        <v>0.96300876917667433</v>
      </c>
      <c r="S15" s="70">
        <f t="shared" si="12"/>
        <v>0.39246925829357615</v>
      </c>
      <c r="T15" s="199"/>
      <c r="U15" s="199"/>
      <c r="V15" s="199"/>
      <c r="W15" s="89"/>
      <c r="X15" s="97"/>
      <c r="Y15" s="97"/>
      <c r="Z15" s="98"/>
      <c r="AA15" s="221"/>
      <c r="AB15" s="101"/>
      <c r="AC15" s="222"/>
      <c r="AD15" s="103"/>
      <c r="AE15" s="102"/>
      <c r="AF15" s="102"/>
      <c r="AG15" s="10"/>
      <c r="AH15" s="149"/>
      <c r="AI15" s="10"/>
    </row>
    <row r="16" spans="1:36" ht="15.75" thickBot="1" x14ac:dyDescent="0.3">
      <c r="B16" s="11"/>
      <c r="C16" s="65" t="str">
        <f>+'COLOMB$ '!C16</f>
        <v>Facturacion Locutor virtual</v>
      </c>
      <c r="D16" s="66">
        <f>+'COLOMB$ '!D16+'PROY SAT$'!D16</f>
        <v>44710</v>
      </c>
      <c r="E16" s="67">
        <f t="shared" si="0"/>
        <v>4.932945700084404E-2</v>
      </c>
      <c r="F16" s="66">
        <f>+'COLOMB$ '!F16+'PROY SAT$'!F16</f>
        <v>34009.942999999999</v>
      </c>
      <c r="G16" s="67"/>
      <c r="H16" s="66">
        <f>+'COLOMB$ '!H16+'PROY SAT$'!H16</f>
        <v>52439.563000000002</v>
      </c>
      <c r="I16" s="68">
        <f t="shared" si="2"/>
        <v>6.1968601138678622E-2</v>
      </c>
      <c r="J16" s="69">
        <f t="shared" si="15"/>
        <v>1.1728821963766496</v>
      </c>
      <c r="K16" s="69">
        <f t="shared" si="16"/>
        <v>0.54188917635057499</v>
      </c>
      <c r="L16" s="66">
        <f>+'COLOMB$ '!L16+'PROY SAT$'!L16</f>
        <v>171734</v>
      </c>
      <c r="M16" s="67">
        <f t="shared" si="3"/>
        <v>4.993957257630198E-2</v>
      </c>
      <c r="N16" s="66">
        <f>+'COLOMB$ '!N16+'PROY SAT$'!N16</f>
        <v>135411.51199999999</v>
      </c>
      <c r="O16" s="215">
        <f t="shared" si="4"/>
        <v>4.350192615151631E-2</v>
      </c>
      <c r="P16" s="66">
        <f>+'COLOMB$ '!P16+'PROY SAT$'!P16</f>
        <v>208563.50200000001</v>
      </c>
      <c r="Q16" s="68">
        <f t="shared" si="5"/>
        <v>6.2399180925387869E-2</v>
      </c>
      <c r="R16" s="69">
        <f t="shared" si="8"/>
        <v>1.2144566713638534</v>
      </c>
      <c r="S16" s="70">
        <f t="shared" si="12"/>
        <v>0.54021987436341479</v>
      </c>
      <c r="T16" s="199"/>
      <c r="U16" s="199"/>
      <c r="V16" s="199"/>
      <c r="W16" s="89"/>
      <c r="X16" s="97"/>
      <c r="Y16" s="97"/>
      <c r="Z16" s="98"/>
      <c r="AA16" s="221"/>
      <c r="AB16" s="101"/>
      <c r="AC16" s="222"/>
      <c r="AD16" s="103"/>
      <c r="AE16" s="102"/>
      <c r="AF16" s="102" t="str">
        <f t="shared" si="10"/>
        <v/>
      </c>
      <c r="AG16" s="10"/>
      <c r="AH16" s="149"/>
      <c r="AI16" s="10"/>
    </row>
    <row r="17" spans="1:35" x14ac:dyDescent="0.25">
      <c r="B17" s="11" t="s">
        <v>101</v>
      </c>
      <c r="C17" s="104" t="s">
        <v>58</v>
      </c>
      <c r="D17" s="105">
        <f>SUM(D7:D16)</f>
        <v>906355</v>
      </c>
      <c r="E17" s="106">
        <f t="shared" si="0"/>
        <v>1</v>
      </c>
      <c r="F17" s="105">
        <f>SUM(F7:F16)</f>
        <v>779923.3844000001</v>
      </c>
      <c r="G17" s="106">
        <f>+F18/$F$18</f>
        <v>1</v>
      </c>
      <c r="H17" s="105">
        <f>SUM(H7:H16)</f>
        <v>846227.9611999999</v>
      </c>
      <c r="I17" s="107">
        <f t="shared" si="2"/>
        <v>1</v>
      </c>
      <c r="J17" s="108">
        <f t="shared" si="6"/>
        <v>0.93366060892255232</v>
      </c>
      <c r="K17" s="108">
        <f t="shared" si="7"/>
        <v>8.5014218224791827E-2</v>
      </c>
      <c r="L17" s="105">
        <f>SUM(L7:L16)</f>
        <v>3438836</v>
      </c>
      <c r="M17" s="106">
        <f t="shared" si="3"/>
        <v>1</v>
      </c>
      <c r="N17" s="105">
        <f>SUM(N7:N16)</f>
        <v>3112770.4903999995</v>
      </c>
      <c r="O17" s="106">
        <f t="shared" si="4"/>
        <v>1</v>
      </c>
      <c r="P17" s="105">
        <f>SUM(P7:P16)</f>
        <v>3342407.6871999996</v>
      </c>
      <c r="Q17" s="107">
        <f t="shared" si="5"/>
        <v>1</v>
      </c>
      <c r="R17" s="108">
        <f t="shared" si="8"/>
        <v>0.97195902543767709</v>
      </c>
      <c r="S17" s="109">
        <f t="shared" si="9"/>
        <v>7.3772607877200427E-2</v>
      </c>
      <c r="T17" s="199"/>
      <c r="U17" s="199"/>
      <c r="V17" s="199"/>
      <c r="W17" s="81" t="s">
        <v>59</v>
      </c>
      <c r="X17" s="82">
        <f t="shared" ref="X17" si="17">+X7+X14</f>
        <v>315727</v>
      </c>
      <c r="Y17" s="82">
        <f>+'COLOMB$ '!Y17</f>
        <v>876628.30985999992</v>
      </c>
      <c r="Z17" s="83">
        <f>+Z7+Z14</f>
        <v>331826.04525999998</v>
      </c>
      <c r="AA17" s="218">
        <f t="shared" ref="AA17:AC17" si="18">+AA7+AA14</f>
        <v>1084924</v>
      </c>
      <c r="AB17" s="82">
        <f>+'COLOMB$ '!AB17</f>
        <v>1576602.8520000004</v>
      </c>
      <c r="AC17" s="110">
        <f t="shared" si="18"/>
        <v>1168566.1582399998</v>
      </c>
      <c r="AD17" s="85">
        <f>+AC17-AA17</f>
        <v>83642.158239999786</v>
      </c>
      <c r="AE17" s="86">
        <f t="shared" si="11"/>
        <v>1.0770949469640267</v>
      </c>
      <c r="AF17" s="86">
        <f t="shared" si="10"/>
        <v>-0.25880753243747179</v>
      </c>
      <c r="AG17" s="10"/>
      <c r="AH17" s="149"/>
      <c r="AI17" s="10"/>
    </row>
    <row r="18" spans="1:35" x14ac:dyDescent="0.25">
      <c r="B18" s="11"/>
      <c r="C18" s="112" t="s">
        <v>60</v>
      </c>
      <c r="D18" s="117">
        <f>+'COLOMB$ '!D18+'PROY SAT$'!D18</f>
        <v>72256</v>
      </c>
      <c r="E18" s="113">
        <f t="shared" si="0"/>
        <v>7.9721521920218905E-2</v>
      </c>
      <c r="F18" s="117">
        <f>+'COLOMB$ '!F18+'PROY SAT$'!F18</f>
        <v>37480.975079999997</v>
      </c>
      <c r="G18" s="113">
        <f t="shared" ref="G18:G34" si="19">+F18/$F$17</f>
        <v>4.8057252583642358E-2</v>
      </c>
      <c r="H18" s="117">
        <f>+'COLOMB$ '!H18+'PROY SAT$'!H18</f>
        <v>76902.480030000006</v>
      </c>
      <c r="I18" s="115">
        <f t="shared" si="2"/>
        <v>9.087678918213464E-2</v>
      </c>
      <c r="J18" s="116">
        <f t="shared" si="6"/>
        <v>1.0643058020095217</v>
      </c>
      <c r="K18" s="116">
        <f t="shared" si="7"/>
        <v>1.0517737296283811</v>
      </c>
      <c r="L18" s="117">
        <f>+'COLOMB$ '!L18+'PROY SAT$'!L18</f>
        <v>263267</v>
      </c>
      <c r="M18" s="113">
        <f t="shared" si="3"/>
        <v>7.6557009406671331E-2</v>
      </c>
      <c r="N18" s="117">
        <f>+'COLOMB$ '!N18+'PROY SAT$'!N18</f>
        <v>160616.79456000001</v>
      </c>
      <c r="O18" s="113">
        <f t="shared" si="4"/>
        <v>5.1599305202665396E-2</v>
      </c>
      <c r="P18" s="117">
        <f>+'COLOMB$ '!P18+'PROY SAT$'!P18</f>
        <v>236592.69962</v>
      </c>
      <c r="Q18" s="115">
        <f t="shared" si="5"/>
        <v>7.0785111141902127E-2</v>
      </c>
      <c r="R18" s="116">
        <f t="shared" si="8"/>
        <v>0.89867966596649029</v>
      </c>
      <c r="S18" s="118">
        <f t="shared" si="9"/>
        <v>0.47302590783318388</v>
      </c>
      <c r="T18" s="199"/>
      <c r="U18" s="199"/>
      <c r="V18" s="199"/>
      <c r="W18" s="81" t="s">
        <v>61</v>
      </c>
      <c r="X18" s="82">
        <f>+'COLOMB$ '!X18</f>
        <v>0</v>
      </c>
      <c r="Y18" s="82">
        <f>+'COLOMB$ '!Y18</f>
        <v>0</v>
      </c>
      <c r="Z18" s="82">
        <f>+'COLOMB$ '!Z18</f>
        <v>51265.703999999998</v>
      </c>
      <c r="AA18" s="218">
        <f>+'COLOMB$ '!AA18</f>
        <v>440621</v>
      </c>
      <c r="AB18" s="82">
        <f>+'COLOMB$ '!AB18</f>
        <v>261.94200000000001</v>
      </c>
      <c r="AC18" s="110">
        <f>+'COLOMB$ '!AC18</f>
        <v>479074.31900000002</v>
      </c>
      <c r="AD18" s="85">
        <f t="shared" ref="AD18:AD22" si="20">+AC18-AA18</f>
        <v>38453.319000000018</v>
      </c>
      <c r="AE18" s="86">
        <f t="shared" si="11"/>
        <v>1.0872707360747673</v>
      </c>
      <c r="AF18" s="86">
        <f t="shared" si="10"/>
        <v>1827.9328133708989</v>
      </c>
      <c r="AG18" s="10"/>
      <c r="AH18" s="10"/>
      <c r="AI18" s="10"/>
    </row>
    <row r="19" spans="1:35" ht="15.75" thickBot="1" x14ac:dyDescent="0.3">
      <c r="B19" s="11" t="s">
        <v>102</v>
      </c>
      <c r="C19" s="223" t="s">
        <v>62</v>
      </c>
      <c r="D19" s="120">
        <f>+D17-D18</f>
        <v>834099</v>
      </c>
      <c r="E19" s="121">
        <f t="shared" si="0"/>
        <v>0.92027847807978114</v>
      </c>
      <c r="F19" s="120">
        <f>+F17-F18</f>
        <v>742442.40932000009</v>
      </c>
      <c r="G19" s="121">
        <f t="shared" si="19"/>
        <v>0.95194274741635765</v>
      </c>
      <c r="H19" s="120">
        <f>+H17-H18</f>
        <v>769325.48116999993</v>
      </c>
      <c r="I19" s="122">
        <f t="shared" si="2"/>
        <v>0.9091232108178654</v>
      </c>
      <c r="J19" s="123">
        <f t="shared" si="6"/>
        <v>0.92234312853749967</v>
      </c>
      <c r="K19" s="123">
        <f t="shared" si="7"/>
        <v>3.6208965857192785E-2</v>
      </c>
      <c r="L19" s="120">
        <f>+L17-L18</f>
        <v>3175569</v>
      </c>
      <c r="M19" s="121">
        <f t="shared" si="3"/>
        <v>0.92344299059332868</v>
      </c>
      <c r="N19" s="120">
        <f>+N17-N18</f>
        <v>2952153.6958399997</v>
      </c>
      <c r="O19" s="121">
        <f t="shared" si="4"/>
        <v>0.94840069479733469</v>
      </c>
      <c r="P19" s="120">
        <f>+P17-P18</f>
        <v>3105814.9875799995</v>
      </c>
      <c r="Q19" s="122">
        <f t="shared" si="5"/>
        <v>0.92921488885809789</v>
      </c>
      <c r="R19" s="124">
        <f t="shared" si="8"/>
        <v>0.97803416886233596</v>
      </c>
      <c r="S19" s="125">
        <f t="shared" si="9"/>
        <v>5.2050573097373008E-2</v>
      </c>
      <c r="T19" s="199"/>
      <c r="U19" s="199"/>
      <c r="V19" s="199"/>
      <c r="W19" s="81" t="s">
        <v>63</v>
      </c>
      <c r="X19" s="82">
        <f>+'COLOMB$ '!X19</f>
        <v>50709</v>
      </c>
      <c r="Y19" s="82">
        <f>+'COLOMB$ '!Y19</f>
        <v>56939.274100000002</v>
      </c>
      <c r="Z19" s="82">
        <f>+'COLOMB$ '!Z19</f>
        <v>45308.644439999996</v>
      </c>
      <c r="AA19" s="218">
        <f>+'COLOMB$ '!AA19</f>
        <v>609247</v>
      </c>
      <c r="AB19" s="82">
        <f>+'COLOMB$ '!AB19</f>
        <v>591038.87230999989</v>
      </c>
      <c r="AC19" s="110">
        <f>+'COLOMB$ '!AC19</f>
        <v>651001.31271000009</v>
      </c>
      <c r="AD19" s="85">
        <f t="shared" si="20"/>
        <v>41754.312710000086</v>
      </c>
      <c r="AE19" s="86">
        <f t="shared" si="11"/>
        <v>1.0685342934967264</v>
      </c>
      <c r="AF19" s="86">
        <f t="shared" si="10"/>
        <v>0.10145261709377026</v>
      </c>
      <c r="AG19" s="10"/>
      <c r="AH19" s="149"/>
      <c r="AI19" s="10"/>
    </row>
    <row r="20" spans="1:35" x14ac:dyDescent="0.25">
      <c r="B20" s="11" t="s">
        <v>103</v>
      </c>
      <c r="C20" s="81" t="s">
        <v>64</v>
      </c>
      <c r="D20" s="117">
        <f>+'COLOMB$ '!D20+'PROY SAT$'!D20</f>
        <v>191678</v>
      </c>
      <c r="E20" s="126">
        <f t="shared" si="0"/>
        <v>0.21148225584897751</v>
      </c>
      <c r="F20" s="117">
        <f>+'COLOMB$ '!F20+'PROY SAT$'!F20</f>
        <v>143964.43225000001</v>
      </c>
      <c r="G20" s="126">
        <f t="shared" si="19"/>
        <v>0.18458791610762221</v>
      </c>
      <c r="H20" s="117">
        <f>+'COLOMB$ '!H20+'PROY SAT$'!H20</f>
        <v>199104.89157000001</v>
      </c>
      <c r="I20" s="127">
        <f t="shared" si="2"/>
        <v>0.23528517219834927</v>
      </c>
      <c r="J20" s="128">
        <f t="shared" si="6"/>
        <v>1.038746708385939</v>
      </c>
      <c r="K20" s="128">
        <f t="shared" si="7"/>
        <v>0.38301446029562619</v>
      </c>
      <c r="L20" s="117">
        <f>+'COLOMB$ '!L20+'PROY SAT$'!L20</f>
        <v>736728</v>
      </c>
      <c r="M20" s="126">
        <f t="shared" si="3"/>
        <v>0.2142376083069969</v>
      </c>
      <c r="N20" s="117">
        <f>+'COLOMB$ '!N20+'PROY SAT$'!N20</f>
        <v>613432.62858000002</v>
      </c>
      <c r="O20" s="126">
        <f t="shared" si="4"/>
        <v>0.19706966204924806</v>
      </c>
      <c r="P20" s="117">
        <f>+'COLOMB$ '!P20+'PROY SAT$'!P20</f>
        <v>772424.40998</v>
      </c>
      <c r="Q20" s="127">
        <f t="shared" si="5"/>
        <v>0.2310982029325917</v>
      </c>
      <c r="R20" s="128">
        <f t="shared" si="8"/>
        <v>1.0484526310660107</v>
      </c>
      <c r="S20" s="129">
        <f t="shared" si="9"/>
        <v>0.25918377013632438</v>
      </c>
      <c r="T20" s="199"/>
      <c r="U20" s="199"/>
      <c r="V20" s="199"/>
      <c r="W20" s="81" t="s">
        <v>65</v>
      </c>
      <c r="X20" s="82">
        <f>+'COLOMB$ '!X20</f>
        <v>73155</v>
      </c>
      <c r="Y20" s="82">
        <f>+'COLOMB$ '!Y20</f>
        <v>53534.247640000001</v>
      </c>
      <c r="Z20" s="82">
        <f>+'COLOMB$ '!Z20</f>
        <v>-6409.9240099999997</v>
      </c>
      <c r="AA20" s="218">
        <f>+'COLOMB$ '!AA20</f>
        <v>-156807</v>
      </c>
      <c r="AB20" s="82">
        <f>+'COLOMB$ '!AB20</f>
        <v>219146.49763999999</v>
      </c>
      <c r="AC20" s="110">
        <f>+'COLOMB$ '!AC20</f>
        <v>-203130.59865999999</v>
      </c>
      <c r="AD20" s="85">
        <f t="shared" si="20"/>
        <v>-46323.598659999989</v>
      </c>
      <c r="AE20" s="86">
        <f t="shared" si="11"/>
        <v>0.7045820743971889</v>
      </c>
      <c r="AF20" s="86">
        <f t="shared" si="10"/>
        <v>-1.9269169293031099</v>
      </c>
      <c r="AG20" s="10"/>
      <c r="AH20" s="10"/>
      <c r="AI20" s="10"/>
    </row>
    <row r="21" spans="1:35" ht="15.75" thickBot="1" x14ac:dyDescent="0.3">
      <c r="B21" s="11"/>
      <c r="C21" s="81" t="s">
        <v>66</v>
      </c>
      <c r="D21" s="117">
        <f>+'COLOMB$ '!D21+'PROY SAT$'!D21</f>
        <v>291261</v>
      </c>
      <c r="E21" s="126">
        <f t="shared" si="0"/>
        <v>0.32135421551158211</v>
      </c>
      <c r="F21" s="117">
        <f>+'COLOMB$ '!F21+'PROY SAT$'!F21</f>
        <v>297325.99641000002</v>
      </c>
      <c r="G21" s="126">
        <f t="shared" si="19"/>
        <v>0.3812246207218607</v>
      </c>
      <c r="H21" s="117">
        <f>+'COLOMB$ '!H21+'PROY SAT$'!H21</f>
        <v>281520.89672000002</v>
      </c>
      <c r="I21" s="127">
        <f t="shared" si="2"/>
        <v>0.33267737492482191</v>
      </c>
      <c r="J21" s="128">
        <f t="shared" si="6"/>
        <v>0.96655884831817518</v>
      </c>
      <c r="K21" s="128">
        <f t="shared" si="7"/>
        <v>-5.3157476577343869E-2</v>
      </c>
      <c r="L21" s="117">
        <f>+'COLOMB$ '!L21+'PROY SAT$'!L21</f>
        <v>1134446</v>
      </c>
      <c r="M21" s="126">
        <f t="shared" si="3"/>
        <v>0.32989244034900184</v>
      </c>
      <c r="N21" s="117">
        <f>+'COLOMB$ '!N21+'PROY SAT$'!N21</f>
        <v>1172686.2150000001</v>
      </c>
      <c r="O21" s="126">
        <f t="shared" si="4"/>
        <v>0.37673391553172514</v>
      </c>
      <c r="P21" s="117">
        <f>+'COLOMB$ '!P21+'PROY SAT$'!P21</f>
        <v>1093259.17557</v>
      </c>
      <c r="Q21" s="127">
        <f t="shared" si="5"/>
        <v>0.32708732084261227</v>
      </c>
      <c r="R21" s="128">
        <f t="shared" si="8"/>
        <v>0.96369432795390875</v>
      </c>
      <c r="S21" s="129">
        <f t="shared" si="9"/>
        <v>-6.7730854523603418E-2</v>
      </c>
      <c r="T21" s="199"/>
      <c r="U21" s="199"/>
      <c r="V21" s="199"/>
      <c r="W21" s="81" t="s">
        <v>67</v>
      </c>
      <c r="X21" s="82">
        <f>+'COLOMB$ '!X21</f>
        <v>77500</v>
      </c>
      <c r="Y21" s="82">
        <f>+'COLOMB$ '!Y21</f>
        <v>0</v>
      </c>
      <c r="Z21" s="82">
        <f>+'COLOMB$ '!Z21</f>
        <v>59670.233</v>
      </c>
      <c r="AA21" s="218">
        <f>+'COLOMB$ '!AA21</f>
        <v>77500</v>
      </c>
      <c r="AB21" s="82">
        <f>+'COLOMB$ '!AB21</f>
        <v>0</v>
      </c>
      <c r="AC21" s="110">
        <f>+'COLOMB$ '!AC21</f>
        <v>59670.233</v>
      </c>
      <c r="AD21" s="85">
        <f t="shared" si="20"/>
        <v>-17829.767</v>
      </c>
      <c r="AE21" s="86">
        <f t="shared" si="11"/>
        <v>0.76993849032258066</v>
      </c>
      <c r="AF21" s="86" t="str">
        <f t="shared" si="10"/>
        <v/>
      </c>
      <c r="AG21" s="10"/>
      <c r="AH21" s="10"/>
      <c r="AI21" s="10"/>
    </row>
    <row r="22" spans="1:35" ht="15.75" thickBot="1" x14ac:dyDescent="0.3">
      <c r="B22" s="11" t="s">
        <v>104</v>
      </c>
      <c r="C22" s="112" t="s">
        <v>68</v>
      </c>
      <c r="D22" s="117">
        <f>SUM(D20:D21)</f>
        <v>482939</v>
      </c>
      <c r="E22" s="113">
        <f t="shared" si="0"/>
        <v>0.53283647136055956</v>
      </c>
      <c r="F22" s="117">
        <f>SUM(F20:F21)</f>
        <v>441290.42866000003</v>
      </c>
      <c r="G22" s="113">
        <f t="shared" si="19"/>
        <v>0.56581253682948296</v>
      </c>
      <c r="H22" s="117">
        <f>SUM(H20:H21)</f>
        <v>480625.78829000005</v>
      </c>
      <c r="I22" s="115">
        <f t="shared" si="2"/>
        <v>0.56796254712317118</v>
      </c>
      <c r="J22" s="116">
        <f t="shared" si="6"/>
        <v>0.99521013687028803</v>
      </c>
      <c r="K22" s="116">
        <f t="shared" si="7"/>
        <v>8.9137123933196935E-2</v>
      </c>
      <c r="L22" s="117">
        <f>SUM(L20:L21)</f>
        <v>1871174</v>
      </c>
      <c r="M22" s="113">
        <f>+L22/$L$17</f>
        <v>0.54413004865599868</v>
      </c>
      <c r="N22" s="117">
        <f>SUM(N20:N21)</f>
        <v>1786118.8435800001</v>
      </c>
      <c r="O22" s="113">
        <f>+N22/$N$17</f>
        <v>0.57380357758097322</v>
      </c>
      <c r="P22" s="117">
        <f>SUM(P20:P21)</f>
        <v>1865683.58555</v>
      </c>
      <c r="Q22" s="115">
        <f t="shared" si="5"/>
        <v>0.55818552377520403</v>
      </c>
      <c r="R22" s="116">
        <f>IF(L22=0,"",(P22-L22)/ABS(L22)+1)</f>
        <v>0.99706579160997322</v>
      </c>
      <c r="S22" s="118">
        <f>IF(N22=0,"",(P22-N22)/ABS(N22))</f>
        <v>4.4546163462742816E-2</v>
      </c>
      <c r="U22" s="199"/>
      <c r="V22" s="199"/>
      <c r="W22" s="73" t="s">
        <v>69</v>
      </c>
      <c r="X22" s="75">
        <f>X17-X18-X19-X20-X21</f>
        <v>114363</v>
      </c>
      <c r="Y22" s="75">
        <f>Y17-Y18-Y19-Y20-Y21</f>
        <v>766154.78811999992</v>
      </c>
      <c r="Z22" s="74">
        <f>Z17-Z18-Z19-Z20-Z21</f>
        <v>181991.38782999999</v>
      </c>
      <c r="AA22" s="130">
        <f t="shared" ref="AA22:AC22" si="21">AA17-AA18-AA19-AA20-AA21</f>
        <v>114363</v>
      </c>
      <c r="AB22" s="131">
        <f t="shared" si="21"/>
        <v>766155.54005000053</v>
      </c>
      <c r="AC22" s="132">
        <f t="shared" si="21"/>
        <v>181950.89218999966</v>
      </c>
      <c r="AD22" s="76">
        <f t="shared" si="20"/>
        <v>67587.892189999664</v>
      </c>
      <c r="AE22" s="77">
        <f t="shared" ref="AE22" si="22">IF(X22=0,"",(Z22-X22)/ABS(X22)+1)</f>
        <v>1.5913484940933693</v>
      </c>
      <c r="AF22" s="77">
        <f t="shared" si="10"/>
        <v>-0.76251442079486198</v>
      </c>
      <c r="AG22" s="10"/>
      <c r="AH22" s="10"/>
      <c r="AI22" s="10"/>
    </row>
    <row r="23" spans="1:35" x14ac:dyDescent="0.25">
      <c r="A23" s="11" t="s">
        <v>105</v>
      </c>
      <c r="B23" s="11" t="s">
        <v>106</v>
      </c>
      <c r="C23" s="81" t="s">
        <v>70</v>
      </c>
      <c r="D23" s="117">
        <f>+'COLOMB$ '!D23+'PROY SAT$'!D23</f>
        <v>51864</v>
      </c>
      <c r="E23" s="126">
        <f t="shared" si="0"/>
        <v>5.7222611449156233E-2</v>
      </c>
      <c r="F23" s="117">
        <f>+'COLOMB$ '!F23+'PROY SAT$'!F23</f>
        <v>41346.042000000001</v>
      </c>
      <c r="G23" s="126">
        <f t="shared" si="19"/>
        <v>5.3012953357986267E-2</v>
      </c>
      <c r="H23" s="117">
        <f>+'COLOMB$ '!H23+'PROY SAT$'!H23</f>
        <v>52506.31725</v>
      </c>
      <c r="I23" s="127">
        <f t="shared" si="2"/>
        <v>6.2047485615510767E-2</v>
      </c>
      <c r="J23" s="128">
        <f t="shared" si="6"/>
        <v>1.0123846454187877</v>
      </c>
      <c r="K23" s="128">
        <f t="shared" si="7"/>
        <v>0.26992366645397398</v>
      </c>
      <c r="L23" s="117">
        <f>+'COLOMB$ '!L23+'PROY SAT$'!L23</f>
        <v>204327</v>
      </c>
      <c r="M23" s="126">
        <f t="shared" si="3"/>
        <v>5.9417488941025394E-2</v>
      </c>
      <c r="N23" s="117">
        <f>+'COLOMB$ '!N23+'PROY SAT$'!N23</f>
        <v>167559.93621000001</v>
      </c>
      <c r="O23" s="126">
        <f t="shared" si="4"/>
        <v>5.3829839600049695E-2</v>
      </c>
      <c r="P23" s="117">
        <f>+'COLOMB$ '!P23+'PROY SAT$'!P23</f>
        <v>194273.81330000001</v>
      </c>
      <c r="Q23" s="127">
        <f t="shared" si="5"/>
        <v>5.8123912903858529E-2</v>
      </c>
      <c r="R23" s="128">
        <f t="shared" si="8"/>
        <v>0.95079854008525555</v>
      </c>
      <c r="S23" s="129">
        <f t="shared" si="9"/>
        <v>0.15942878527072216</v>
      </c>
      <c r="T23" s="199"/>
      <c r="U23" s="199"/>
      <c r="V23" s="199"/>
      <c r="W23" s="20"/>
      <c r="X23" s="224"/>
      <c r="Y23" s="224"/>
      <c r="Z23" s="224"/>
      <c r="AA23" s="224"/>
      <c r="AB23" s="224"/>
      <c r="AC23" s="224"/>
      <c r="AD23" s="224"/>
      <c r="AE23" s="224"/>
      <c r="AF23" s="224"/>
      <c r="AG23" s="10"/>
      <c r="AH23" s="20"/>
      <c r="AI23" s="10"/>
    </row>
    <row r="24" spans="1:35" x14ac:dyDescent="0.25">
      <c r="B24" s="11"/>
      <c r="C24" s="81" t="s">
        <v>72</v>
      </c>
      <c r="D24" s="117">
        <f>+'COLOMB$ '!D24+'PROY SAT$'!D24</f>
        <v>170532</v>
      </c>
      <c r="E24" s="126">
        <f t="shared" si="0"/>
        <v>0.18815144176398874</v>
      </c>
      <c r="F24" s="117">
        <f>+'COLOMB$ '!F24+'PROY SAT$'!F24</f>
        <v>188944.57321</v>
      </c>
      <c r="G24" s="126">
        <f t="shared" si="19"/>
        <v>0.24226042838214967</v>
      </c>
      <c r="H24" s="117">
        <f>+'COLOMB$ '!H24+'PROY SAT$'!H24</f>
        <v>166750.83064</v>
      </c>
      <c r="I24" s="127">
        <f t="shared" si="2"/>
        <v>0.19705190360708211</v>
      </c>
      <c r="J24" s="128">
        <f t="shared" si="6"/>
        <v>0.97782721506813974</v>
      </c>
      <c r="K24" s="128">
        <f t="shared" si="7"/>
        <v>-0.11746165657445506</v>
      </c>
      <c r="L24" s="117">
        <f>+'COLOMB$ '!L24+'PROY SAT$'!L24</f>
        <v>737015</v>
      </c>
      <c r="M24" s="126">
        <f t="shared" si="3"/>
        <v>0.21432106677957308</v>
      </c>
      <c r="N24" s="117">
        <f>+'COLOMB$ '!N24+'PROY SAT$'!N24</f>
        <v>623531.9702000001</v>
      </c>
      <c r="O24" s="126">
        <f t="shared" si="4"/>
        <v>0.20031414848059503</v>
      </c>
      <c r="P24" s="117">
        <f>+'COLOMB$ '!P24+'PROY SAT$'!P24</f>
        <v>705697.42617999983</v>
      </c>
      <c r="Q24" s="127">
        <f t="shared" si="5"/>
        <v>0.21113445522595012</v>
      </c>
      <c r="R24" s="128">
        <f t="shared" si="8"/>
        <v>0.95750754893726697</v>
      </c>
      <c r="S24" s="129">
        <f t="shared" si="9"/>
        <v>0.13177424720282566</v>
      </c>
      <c r="T24" s="199"/>
      <c r="U24" s="199"/>
      <c r="V24" s="225"/>
      <c r="W24" s="226"/>
      <c r="X24" s="20"/>
      <c r="Y24" s="20"/>
      <c r="Z24" s="20"/>
      <c r="AA24" s="20"/>
      <c r="AB24" s="20"/>
      <c r="AC24" s="20"/>
      <c r="AD24" s="20"/>
      <c r="AE24" s="20"/>
      <c r="AF24" s="20"/>
      <c r="AG24" s="10"/>
      <c r="AH24" s="20"/>
      <c r="AI24" s="10"/>
    </row>
    <row r="25" spans="1:35" x14ac:dyDescent="0.25">
      <c r="B25" s="11"/>
      <c r="C25" s="112" t="s">
        <v>73</v>
      </c>
      <c r="D25" s="117">
        <f>SUM(D23:D24)</f>
        <v>222396</v>
      </c>
      <c r="E25" s="113">
        <f t="shared" si="0"/>
        <v>0.24537405321314495</v>
      </c>
      <c r="F25" s="117">
        <f>SUM(F23:F24)</f>
        <v>230290.61521000002</v>
      </c>
      <c r="G25" s="113">
        <f t="shared" si="19"/>
        <v>0.29527338174013595</v>
      </c>
      <c r="H25" s="117">
        <f>SUM(H23:H24)</f>
        <v>219257.14788999999</v>
      </c>
      <c r="I25" s="115">
        <f t="shared" si="2"/>
        <v>0.25909938922259285</v>
      </c>
      <c r="J25" s="116">
        <f t="shared" si="6"/>
        <v>0.9858862024946492</v>
      </c>
      <c r="K25" s="116">
        <f t="shared" si="7"/>
        <v>-4.7911059293226962E-2</v>
      </c>
      <c r="L25" s="117">
        <f>SUM(L23:L24)</f>
        <v>941342</v>
      </c>
      <c r="M25" s="113">
        <f t="shared" si="3"/>
        <v>0.27373855572059846</v>
      </c>
      <c r="N25" s="117">
        <f t="shared" ref="N25" si="23">SUM(N23:N24)</f>
        <v>791091.90641000005</v>
      </c>
      <c r="O25" s="113">
        <f t="shared" si="4"/>
        <v>0.2541439880806447</v>
      </c>
      <c r="P25" s="117">
        <f>SUM(P23:P24)</f>
        <v>899971.23947999987</v>
      </c>
      <c r="Q25" s="115">
        <f t="shared" si="5"/>
        <v>0.26925836812980869</v>
      </c>
      <c r="R25" s="116">
        <f t="shared" si="8"/>
        <v>0.95605129642574094</v>
      </c>
      <c r="S25" s="118">
        <f t="shared" si="9"/>
        <v>0.13763171154676282</v>
      </c>
      <c r="T25" s="199"/>
      <c r="U25" s="199"/>
      <c r="V25" s="199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10"/>
      <c r="AH25" s="20"/>
      <c r="AI25" s="20"/>
    </row>
    <row r="26" spans="1:35" ht="15.75" thickBot="1" x14ac:dyDescent="0.3">
      <c r="B26" s="11"/>
      <c r="C26" s="112" t="s">
        <v>75</v>
      </c>
      <c r="D26" s="117">
        <f>D22+D25</f>
        <v>705335</v>
      </c>
      <c r="E26" s="113">
        <f t="shared" si="0"/>
        <v>0.77821052457370454</v>
      </c>
      <c r="F26" s="117">
        <f>F22+F25</f>
        <v>671581.04387000005</v>
      </c>
      <c r="G26" s="113">
        <f t="shared" si="19"/>
        <v>0.86108591856961891</v>
      </c>
      <c r="H26" s="117">
        <f>H22+H25</f>
        <v>699882.93618000008</v>
      </c>
      <c r="I26" s="115">
        <f t="shared" si="2"/>
        <v>0.82706193634576408</v>
      </c>
      <c r="J26" s="116">
        <f t="shared" si="6"/>
        <v>0.99227024914402384</v>
      </c>
      <c r="K26" s="116">
        <f t="shared" si="7"/>
        <v>4.2142184578215267E-2</v>
      </c>
      <c r="L26" s="117">
        <f>L22+L25</f>
        <v>2812516</v>
      </c>
      <c r="M26" s="113">
        <f t="shared" si="3"/>
        <v>0.81786860437659725</v>
      </c>
      <c r="N26" s="117">
        <f>N22+N25</f>
        <v>2577210.7499900004</v>
      </c>
      <c r="O26" s="113">
        <f t="shared" si="4"/>
        <v>0.82794756566161798</v>
      </c>
      <c r="P26" s="117">
        <f>P22+P25</f>
        <v>2765654.8250299999</v>
      </c>
      <c r="Q26" s="115">
        <f t="shared" si="5"/>
        <v>0.82744389190501266</v>
      </c>
      <c r="R26" s="116">
        <f t="shared" si="8"/>
        <v>0.98333834368586703</v>
      </c>
      <c r="S26" s="118">
        <f t="shared" si="9"/>
        <v>7.3119388874476304E-2</v>
      </c>
      <c r="T26" s="199"/>
      <c r="U26" s="199"/>
      <c r="V26" s="199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10"/>
    </row>
    <row r="27" spans="1:35" ht="15.75" thickBot="1" x14ac:dyDescent="0.3">
      <c r="B27" s="11" t="s">
        <v>107</v>
      </c>
      <c r="C27" s="73" t="s">
        <v>76</v>
      </c>
      <c r="D27" s="141">
        <f>D19-D26</f>
        <v>128764</v>
      </c>
      <c r="E27" s="142">
        <f t="shared" si="0"/>
        <v>0.14206795350607654</v>
      </c>
      <c r="F27" s="141">
        <f>F19-F26</f>
        <v>70861.365450000041</v>
      </c>
      <c r="G27" s="142">
        <f t="shared" si="19"/>
        <v>9.0856828846738749E-2</v>
      </c>
      <c r="H27" s="141">
        <f>H19-H26</f>
        <v>69442.544989999849</v>
      </c>
      <c r="I27" s="143">
        <f t="shared" si="2"/>
        <v>8.2061274472101264E-2</v>
      </c>
      <c r="J27" s="144">
        <f t="shared" si="6"/>
        <v>0.53930093030660631</v>
      </c>
      <c r="K27" s="144">
        <f t="shared" si="7"/>
        <v>-2.0022482646080468E-2</v>
      </c>
      <c r="L27" s="141">
        <f>L19-L26</f>
        <v>363053</v>
      </c>
      <c r="M27" s="142">
        <f t="shared" si="3"/>
        <v>0.10557438621673147</v>
      </c>
      <c r="N27" s="141">
        <f>N19-N26</f>
        <v>374942.94584999932</v>
      </c>
      <c r="O27" s="227">
        <f t="shared" si="4"/>
        <v>0.12045312913571669</v>
      </c>
      <c r="P27" s="141">
        <f>+P19-P26</f>
        <v>340160.16254999954</v>
      </c>
      <c r="Q27" s="145">
        <f t="shared" si="5"/>
        <v>0.10177099695308515</v>
      </c>
      <c r="R27" s="146">
        <f t="shared" si="8"/>
        <v>0.93694353868443325</v>
      </c>
      <c r="S27" s="147">
        <f t="shared" si="9"/>
        <v>-9.27682029625784E-2</v>
      </c>
      <c r="T27" s="199"/>
      <c r="U27" s="199"/>
      <c r="V27" s="199"/>
    </row>
    <row r="28" spans="1:35" x14ac:dyDescent="0.25">
      <c r="B28" s="11" t="s">
        <v>108</v>
      </c>
      <c r="C28" s="81" t="s">
        <v>77</v>
      </c>
      <c r="D28" s="117">
        <f>+'COLOMB$ '!D28+'PROY SAT$'!D28</f>
        <v>640</v>
      </c>
      <c r="E28" s="126">
        <f t="shared" si="0"/>
        <v>7.061250834386085E-4</v>
      </c>
      <c r="F28" s="117">
        <f>+'COLOMB$ '!F28+'PROY SAT$'!F28</f>
        <v>39174.886570000002</v>
      </c>
      <c r="G28" s="126">
        <f t="shared" si="19"/>
        <v>5.0229147315716767E-2</v>
      </c>
      <c r="H28" s="117">
        <f>+'COLOMB$ '!H28+'PROY SAT$'!H28</f>
        <v>4818.5799400000005</v>
      </c>
      <c r="I28" s="127">
        <f t="shared" si="2"/>
        <v>5.6941866269308531E-3</v>
      </c>
      <c r="J28" s="128">
        <f t="shared" si="6"/>
        <v>7.5290311562500012</v>
      </c>
      <c r="K28" s="128">
        <f t="shared" si="7"/>
        <v>-0.87699824142719907</v>
      </c>
      <c r="L28" s="117">
        <f>+'COLOMB$ '!L28+'PROY SAT$'!L28</f>
        <v>2560</v>
      </c>
      <c r="M28" s="126">
        <f t="shared" si="3"/>
        <v>7.4443794353670832E-4</v>
      </c>
      <c r="N28" s="117">
        <f>+'COLOMB$ '!N28+'PROY SAT$'!N28</f>
        <v>160040.27511000002</v>
      </c>
      <c r="O28" s="126">
        <f t="shared" si="4"/>
        <v>5.1414094165816382E-2</v>
      </c>
      <c r="P28" s="117">
        <f>+'COLOMB$ '!P28+'PROY SAT$'!P28</f>
        <v>8151.9211100000002</v>
      </c>
      <c r="Q28" s="127">
        <f t="shared" si="5"/>
        <v>2.4389368003246261E-3</v>
      </c>
      <c r="R28" s="148">
        <f t="shared" si="8"/>
        <v>3.1843441835937503</v>
      </c>
      <c r="S28" s="129">
        <f t="shared" si="9"/>
        <v>-0.94906331481624262</v>
      </c>
      <c r="T28" s="199"/>
      <c r="U28" s="199"/>
      <c r="V28" s="199"/>
    </row>
    <row r="29" spans="1:35" ht="15.75" thickBot="1" x14ac:dyDescent="0.3">
      <c r="B29" s="11"/>
      <c r="C29" s="81" t="s">
        <v>78</v>
      </c>
      <c r="D29" s="117">
        <f>+'COLOMB$ '!D29+'PROY SAT$'!D29</f>
        <v>15528</v>
      </c>
      <c r="E29" s="126">
        <f t="shared" si="0"/>
        <v>1.7132359836929238E-2</v>
      </c>
      <c r="F29" s="117">
        <f>+'COLOMB$ '!F29+'PROY SAT$'!F29</f>
        <v>12021.37924</v>
      </c>
      <c r="G29" s="126">
        <f t="shared" si="19"/>
        <v>1.541353866347798E-2</v>
      </c>
      <c r="H29" s="117">
        <f>+'COLOMB$ '!H29+'PROY SAT$'!H29</f>
        <v>15005.221519999999</v>
      </c>
      <c r="I29" s="127">
        <f t="shared" si="2"/>
        <v>1.7731890469232112E-2</v>
      </c>
      <c r="J29" s="128">
        <f t="shared" si="6"/>
        <v>0.96633317362184434</v>
      </c>
      <c r="K29" s="128">
        <f t="shared" si="7"/>
        <v>0.24821130923742482</v>
      </c>
      <c r="L29" s="117">
        <f>+'COLOMB$ '!L29+'PROY SAT$'!L29</f>
        <v>62121</v>
      </c>
      <c r="M29" s="126">
        <f t="shared" si="3"/>
        <v>1.8064542769704633E-2</v>
      </c>
      <c r="N29" s="117">
        <f>+'COLOMB$ '!N29+'PROY SAT$'!N29</f>
        <v>125193.46759</v>
      </c>
      <c r="O29" s="126">
        <f t="shared" si="4"/>
        <v>4.0219305591628216E-2</v>
      </c>
      <c r="P29" s="117">
        <f>+'COLOMB$ '!P29+'PROY SAT$'!P29</f>
        <v>69983.691529999996</v>
      </c>
      <c r="Q29" s="127">
        <f t="shared" si="5"/>
        <v>2.0938107519919782E-2</v>
      </c>
      <c r="R29" s="148">
        <f t="shared" si="8"/>
        <v>1.1265705885288388</v>
      </c>
      <c r="S29" s="129">
        <f t="shared" si="9"/>
        <v>-0.44099566153729541</v>
      </c>
      <c r="T29" s="199"/>
      <c r="U29" s="199"/>
      <c r="V29" s="199"/>
    </row>
    <row r="30" spans="1:35" ht="15.75" thickBot="1" x14ac:dyDescent="0.3">
      <c r="B30" s="11" t="s">
        <v>109</v>
      </c>
      <c r="C30" s="73" t="s">
        <v>79</v>
      </c>
      <c r="D30" s="141">
        <f>D27+D28-D29</f>
        <v>113876</v>
      </c>
      <c r="E30" s="142">
        <f t="shared" si="0"/>
        <v>0.1256417187525859</v>
      </c>
      <c r="F30" s="141">
        <f>F27+F28-F29</f>
        <v>98014.872780000049</v>
      </c>
      <c r="G30" s="142">
        <f t="shared" si="19"/>
        <v>0.12567243749897755</v>
      </c>
      <c r="H30" s="141">
        <f>H27+H28-H29</f>
        <v>59255.903409999846</v>
      </c>
      <c r="I30" s="143">
        <f t="shared" si="2"/>
        <v>7.0023570629799997E-2</v>
      </c>
      <c r="J30" s="144">
        <f t="shared" si="6"/>
        <v>0.52035462617232642</v>
      </c>
      <c r="K30" s="144">
        <f t="shared" si="7"/>
        <v>-0.39543967431347804</v>
      </c>
      <c r="L30" s="141">
        <f>L27+L28-L29</f>
        <v>303492</v>
      </c>
      <c r="M30" s="142">
        <f t="shared" si="3"/>
        <v>8.8254281390563558E-2</v>
      </c>
      <c r="N30" s="141">
        <f>N27+N28-N29</f>
        <v>409789.75336999935</v>
      </c>
      <c r="O30" s="142">
        <f t="shared" si="4"/>
        <v>0.13164791770990486</v>
      </c>
      <c r="P30" s="141">
        <f>P27+P28-P29</f>
        <v>278328.39212999953</v>
      </c>
      <c r="Q30" s="143">
        <f t="shared" si="5"/>
        <v>8.3271826233489984E-2</v>
      </c>
      <c r="R30" s="144">
        <f t="shared" si="8"/>
        <v>0.91708642115772254</v>
      </c>
      <c r="S30" s="147">
        <f t="shared" si="9"/>
        <v>-0.32080197261863524</v>
      </c>
      <c r="T30" s="199"/>
      <c r="U30" s="199"/>
      <c r="V30" s="199"/>
    </row>
    <row r="31" spans="1:35" ht="15.75" thickBot="1" x14ac:dyDescent="0.3">
      <c r="B31" s="11"/>
      <c r="C31" s="81" t="s">
        <v>63</v>
      </c>
      <c r="D31" s="117">
        <f>+'COLOMB$ '!D31+'PROY SAT$'!D31</f>
        <v>40995</v>
      </c>
      <c r="E31" s="126">
        <f t="shared" si="0"/>
        <v>4.523062155557149E-2</v>
      </c>
      <c r="F31" s="117">
        <f>+'COLOMB$ '!F31+'PROY SAT$'!F31</f>
        <v>31777.506000000001</v>
      </c>
      <c r="G31" s="126">
        <f t="shared" si="19"/>
        <v>4.0744394431058935E-2</v>
      </c>
      <c r="H31" s="117">
        <f>+'COLOMB$ '!H31+'PROY SAT$'!H31</f>
        <v>23160.721000000001</v>
      </c>
      <c r="I31" s="127">
        <f t="shared" si="2"/>
        <v>2.7369363885301978E-2</v>
      </c>
      <c r="J31" s="128">
        <f t="shared" si="6"/>
        <v>0.56496453226003174</v>
      </c>
      <c r="K31" s="128">
        <f t="shared" si="7"/>
        <v>-0.27115988901079902</v>
      </c>
      <c r="L31" s="117">
        <f>+'COLOMB$ '!L31+'PROY SAT$'!L31</f>
        <v>109256</v>
      </c>
      <c r="M31" s="126">
        <f t="shared" si="3"/>
        <v>3.1771215609002583E-2</v>
      </c>
      <c r="N31" s="117">
        <f>+'COLOMB$ '!N31+'PROY SAT$'!N31</f>
        <v>133893.234</v>
      </c>
      <c r="O31" s="126">
        <f t="shared" si="4"/>
        <v>4.3014168379241588E-2</v>
      </c>
      <c r="P31" s="117">
        <f>+'COLOMB$ '!P31+'PROY SAT$'!P31</f>
        <v>105709.954</v>
      </c>
      <c r="Q31" s="127">
        <f t="shared" si="5"/>
        <v>3.1626888127628532E-2</v>
      </c>
      <c r="R31" s="148">
        <f t="shared" si="8"/>
        <v>0.96754369554074837</v>
      </c>
      <c r="S31" s="129">
        <f t="shared" si="9"/>
        <v>-0.2104906958928186</v>
      </c>
      <c r="T31" s="199"/>
      <c r="U31" s="199"/>
      <c r="V31" s="199"/>
    </row>
    <row r="32" spans="1:35" ht="15.75" thickBot="1" x14ac:dyDescent="0.3">
      <c r="B32" s="11"/>
      <c r="C32" s="73" t="s">
        <v>80</v>
      </c>
      <c r="D32" s="141">
        <f>D30-D31</f>
        <v>72881</v>
      </c>
      <c r="E32" s="142">
        <f t="shared" si="0"/>
        <v>8.0411097197014419E-2</v>
      </c>
      <c r="F32" s="141">
        <f>F30-F31</f>
        <v>66237.36678000004</v>
      </c>
      <c r="G32" s="142">
        <f t="shared" si="19"/>
        <v>8.4928043067918596E-2</v>
      </c>
      <c r="H32" s="141">
        <f>H30-H31</f>
        <v>36095.182409999848</v>
      </c>
      <c r="I32" s="142">
        <f t="shared" si="2"/>
        <v>4.2654206744498026E-2</v>
      </c>
      <c r="J32" s="144">
        <f t="shared" si="6"/>
        <v>0.49526189829996636</v>
      </c>
      <c r="K32" s="144">
        <f t="shared" si="7"/>
        <v>-0.45506314389148445</v>
      </c>
      <c r="L32" s="141">
        <f>+L30-L31</f>
        <v>194236</v>
      </c>
      <c r="M32" s="142">
        <f t="shared" si="3"/>
        <v>5.6483065781560968E-2</v>
      </c>
      <c r="N32" s="141">
        <f>+N30-N31</f>
        <v>275896.51936999935</v>
      </c>
      <c r="O32" s="142">
        <f t="shared" si="4"/>
        <v>8.8633749330663272E-2</v>
      </c>
      <c r="P32" s="141">
        <f>+P30-P31</f>
        <v>172618.43812999953</v>
      </c>
      <c r="Q32" s="143">
        <f t="shared" si="5"/>
        <v>5.164493810586146E-2</v>
      </c>
      <c r="R32" s="144">
        <f t="shared" si="8"/>
        <v>0.88870465892007422</v>
      </c>
      <c r="S32" s="147">
        <f t="shared" si="9"/>
        <v>-0.37433629636151966</v>
      </c>
      <c r="T32" s="199"/>
      <c r="U32" s="199"/>
      <c r="V32" s="199"/>
    </row>
    <row r="33" spans="2:35" ht="15.75" thickBot="1" x14ac:dyDescent="0.3">
      <c r="B33" s="11" t="s">
        <v>110</v>
      </c>
      <c r="C33" s="73" t="s">
        <v>82</v>
      </c>
      <c r="D33" s="141">
        <f>+'COLOMB$ '!D33+'PROY SAT$'!D33</f>
        <v>171067</v>
      </c>
      <c r="E33" s="142">
        <f t="shared" si="0"/>
        <v>0.1887417182009257</v>
      </c>
      <c r="F33" s="141">
        <f>+'COLOMB$ '!F33+'PROY SAT$'!F33</f>
        <v>99011.709600000133</v>
      </c>
      <c r="G33" s="142">
        <f t="shared" si="19"/>
        <v>0.12695055896569951</v>
      </c>
      <c r="H33" s="141">
        <f>+'COLOMB$ '!H33+'PROY SAT$'!H33</f>
        <v>111771.85726999999</v>
      </c>
      <c r="I33" s="142">
        <f t="shared" si="2"/>
        <v>0.13208244396876354</v>
      </c>
      <c r="J33" s="144">
        <f t="shared" si="6"/>
        <v>0.65338058930126786</v>
      </c>
      <c r="K33" s="144">
        <f t="shared" si="7"/>
        <v>0.12887513731002018</v>
      </c>
      <c r="L33" s="141">
        <f>+'COLOMB$ '!L33+'PROY SAT$'!L33</f>
        <v>535956</v>
      </c>
      <c r="M33" s="142">
        <f t="shared" si="3"/>
        <v>0.15585389940084377</v>
      </c>
      <c r="N33" s="141">
        <f>+'COLOMB$ '!N33+'PROY SAT$'!N33</f>
        <v>520567.47163999942</v>
      </c>
      <c r="O33" s="142">
        <f t="shared" si="4"/>
        <v>0.16723605972411576</v>
      </c>
      <c r="P33" s="141">
        <f>+'COLOMB$ '!P33+'PROY SAT$'!P33</f>
        <v>513342.75952999963</v>
      </c>
      <c r="Q33" s="142">
        <f t="shared" si="5"/>
        <v>0.15358472322089378</v>
      </c>
      <c r="R33" s="144">
        <f t="shared" si="8"/>
        <v>0.95780765497540776</v>
      </c>
      <c r="S33" s="147">
        <f t="shared" si="9"/>
        <v>-1.3878531609435767E-2</v>
      </c>
      <c r="T33" s="199"/>
      <c r="U33" s="199"/>
      <c r="V33" s="199"/>
    </row>
    <row r="34" spans="2:35" ht="15.75" thickBot="1" x14ac:dyDescent="0.3">
      <c r="C34" s="153" t="s">
        <v>46</v>
      </c>
      <c r="D34" s="141">
        <f>+'COLOMB$ '!D34+'PROY SAT$'!D34</f>
        <v>358203</v>
      </c>
      <c r="E34" s="142">
        <f t="shared" si="0"/>
        <v>0.39521269259837483</v>
      </c>
      <c r="F34" s="141">
        <f>+'COLOMB$ '!F34+'PROY SAT$'!F34</f>
        <v>327374.78700000001</v>
      </c>
      <c r="G34" s="142">
        <f t="shared" si="19"/>
        <v>0.41975249562731276</v>
      </c>
      <c r="H34" s="141">
        <f>+'COLOMB$ '!H34+'PROY SAT$'!H34</f>
        <v>347569.36800000002</v>
      </c>
      <c r="I34" s="142">
        <f t="shared" si="2"/>
        <v>0.41072782268636771</v>
      </c>
      <c r="J34" s="142">
        <f t="shared" si="6"/>
        <v>0.97031395046942659</v>
      </c>
      <c r="K34" s="142">
        <f t="shared" si="7"/>
        <v>6.1686427305716753E-2</v>
      </c>
      <c r="L34" s="141">
        <f>+'COLOMB$ '!L34+'PROY SAT$'!L34</f>
        <v>1406114</v>
      </c>
      <c r="M34" s="142">
        <f t="shared" si="3"/>
        <v>0.40889242755397465</v>
      </c>
      <c r="N34" s="141">
        <f>+'COLOMB$ '!N34+'PROY SAT$'!N34</f>
        <v>1274808.432</v>
      </c>
      <c r="O34" s="142">
        <f t="shared" si="4"/>
        <v>0.40954141525422377</v>
      </c>
      <c r="P34" s="141">
        <f>+'COLOMB$ '!P34+'PROY SAT$'!P34</f>
        <v>1361517.007</v>
      </c>
      <c r="Q34" s="142">
        <f t="shared" si="5"/>
        <v>0.40734618108198806</v>
      </c>
      <c r="R34" s="142">
        <f t="shared" si="8"/>
        <v>0.96828351541909119</v>
      </c>
      <c r="S34" s="142">
        <f t="shared" si="9"/>
        <v>6.8016944996171752E-2</v>
      </c>
      <c r="T34" s="199"/>
      <c r="U34" s="199"/>
      <c r="V34" s="199"/>
    </row>
    <row r="35" spans="2:35" s="15" customFormat="1" x14ac:dyDescent="0.25">
      <c r="C35" s="20"/>
      <c r="D35" s="140" t="s">
        <v>71</v>
      </c>
      <c r="E35" s="140"/>
      <c r="F35" s="140" t="s">
        <v>71</v>
      </c>
      <c r="G35" s="140"/>
      <c r="H35" s="228" t="s">
        <v>71</v>
      </c>
      <c r="I35" s="140"/>
      <c r="J35" s="140"/>
      <c r="K35" s="140"/>
      <c r="L35" s="228" t="s">
        <v>111</v>
      </c>
      <c r="M35" s="140"/>
      <c r="N35" s="140"/>
      <c r="O35" s="140"/>
      <c r="P35" s="228" t="s">
        <v>111</v>
      </c>
      <c r="Q35" s="140"/>
      <c r="R35" s="140"/>
      <c r="S35" s="140"/>
      <c r="T35" s="229"/>
      <c r="U35" s="229"/>
      <c r="V35" s="229"/>
    </row>
    <row r="36" spans="2:35" s="15" customFormat="1" x14ac:dyDescent="0.25">
      <c r="D36" s="87"/>
      <c r="E36" s="87"/>
      <c r="F36" s="87"/>
      <c r="G36" s="87"/>
      <c r="H36" s="230"/>
      <c r="I36" s="87"/>
      <c r="J36" s="87"/>
      <c r="K36" s="87"/>
      <c r="L36" s="140"/>
      <c r="M36" s="87"/>
      <c r="N36" s="140"/>
      <c r="O36" s="140"/>
      <c r="P36" s="140"/>
      <c r="Q36" s="140"/>
      <c r="R36" s="87"/>
      <c r="S36" s="87"/>
      <c r="T36" s="229"/>
      <c r="U36" s="229"/>
      <c r="V36" s="229"/>
    </row>
    <row r="37" spans="2:35" s="15" customFormat="1" x14ac:dyDescent="0.25">
      <c r="D37" s="87"/>
      <c r="E37" s="87"/>
      <c r="F37" s="87"/>
      <c r="G37" s="87"/>
      <c r="H37" s="230"/>
      <c r="I37" s="87"/>
      <c r="J37" s="87"/>
      <c r="K37" s="87"/>
      <c r="L37" s="140"/>
      <c r="M37" s="87"/>
      <c r="N37" s="87"/>
      <c r="O37" s="87"/>
      <c r="P37" s="87"/>
      <c r="Q37" s="87"/>
      <c r="R37" s="87"/>
      <c r="S37" s="87"/>
      <c r="T37" s="79"/>
      <c r="U37" s="79"/>
      <c r="V37" s="231"/>
    </row>
    <row r="38" spans="2:35" s="15" customFormat="1" x14ac:dyDescent="0.25"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87"/>
      <c r="O38" s="87"/>
      <c r="P38" s="87"/>
      <c r="Q38" s="87"/>
      <c r="R38" s="87"/>
      <c r="T38" s="79"/>
      <c r="U38" s="79"/>
      <c r="V38" s="231"/>
    </row>
    <row r="39" spans="2:35" s="15" customFormat="1" x14ac:dyDescent="0.25"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87"/>
      <c r="O39" s="87"/>
      <c r="P39" s="87"/>
      <c r="Q39" s="87"/>
      <c r="R39" s="87"/>
      <c r="T39" s="79"/>
      <c r="U39" s="79"/>
      <c r="V39" s="231"/>
    </row>
    <row r="40" spans="2:35" s="15" customFormat="1" x14ac:dyDescent="0.25"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T40" s="79"/>
      <c r="U40" s="79"/>
      <c r="V40" s="231"/>
    </row>
    <row r="41" spans="2:35" s="15" customFormat="1" x14ac:dyDescent="0.25"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T41" s="79"/>
      <c r="U41" s="79"/>
      <c r="V41" s="231"/>
    </row>
    <row r="42" spans="2:35" s="15" customFormat="1" x14ac:dyDescent="0.25">
      <c r="H42" s="87"/>
      <c r="N42" s="87"/>
      <c r="T42" s="79"/>
      <c r="U42" s="79"/>
      <c r="V42" s="231"/>
      <c r="AG42" s="12"/>
      <c r="AH42" s="12"/>
      <c r="AI42" s="12"/>
    </row>
    <row r="43" spans="2:35" x14ac:dyDescent="0.25">
      <c r="B43" s="10" t="s">
        <v>83</v>
      </c>
      <c r="C43" s="15"/>
      <c r="D43" s="15"/>
      <c r="E43" s="15"/>
      <c r="G43" s="15"/>
      <c r="H43" s="15"/>
      <c r="I43" s="15"/>
      <c r="J43" s="15"/>
      <c r="K43" s="15"/>
      <c r="L43" s="15"/>
      <c r="M43" s="15"/>
      <c r="O43" s="15"/>
      <c r="P43" s="15"/>
      <c r="Q43" s="15"/>
      <c r="R43" s="15"/>
      <c r="S43" s="15"/>
      <c r="T43" s="79"/>
    </row>
    <row r="44" spans="2:35" x14ac:dyDescent="0.25">
      <c r="C44" s="15"/>
      <c r="D44" s="232"/>
      <c r="E44" s="15"/>
      <c r="G44" s="15"/>
      <c r="H44" s="15"/>
      <c r="I44" s="15"/>
      <c r="J44" s="15"/>
      <c r="K44" s="15"/>
      <c r="L44" s="87"/>
      <c r="M44" s="87"/>
      <c r="N44" s="87"/>
      <c r="O44" s="87"/>
      <c r="P44" s="87"/>
      <c r="Q44" s="87"/>
      <c r="R44" s="15"/>
      <c r="S44" s="15"/>
      <c r="T44" s="79"/>
    </row>
    <row r="45" spans="2:35" x14ac:dyDescent="0.25">
      <c r="C45" s="15"/>
      <c r="D45" s="15"/>
      <c r="E45" s="15"/>
      <c r="G45" s="15"/>
      <c r="H45" s="15"/>
      <c r="I45" s="15"/>
      <c r="J45" s="15"/>
      <c r="K45" s="15"/>
      <c r="L45" s="15"/>
      <c r="M45" s="15"/>
      <c r="O45" s="15"/>
      <c r="P45" s="15"/>
      <c r="Q45" s="15"/>
      <c r="R45" s="15"/>
      <c r="S45" s="15"/>
      <c r="T45" s="79"/>
    </row>
    <row r="46" spans="2:35" x14ac:dyDescent="0.25">
      <c r="C46" s="15"/>
      <c r="D46" s="15"/>
      <c r="E46" s="15"/>
      <c r="G46" s="15"/>
      <c r="H46" s="15"/>
      <c r="I46" s="15"/>
      <c r="J46" s="15"/>
      <c r="K46" s="15"/>
      <c r="L46" s="15"/>
      <c r="M46" s="15"/>
      <c r="O46" s="15"/>
      <c r="P46" s="15"/>
      <c r="Q46" s="15"/>
      <c r="R46" s="15"/>
      <c r="S46" s="15"/>
      <c r="T46" s="79"/>
    </row>
  </sheetData>
  <mergeCells count="12"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64A96-25C5-447F-ADE8-3F37DCC020E5}">
  <sheetPr>
    <tabColor rgb="FFFF0000"/>
  </sheetPr>
  <dimension ref="A1:AK47"/>
  <sheetViews>
    <sheetView topLeftCell="C5" zoomScale="89" zoomScaleNormal="89" workbookViewId="0">
      <selection activeCell="F32" sqref="F32"/>
    </sheetView>
  </sheetViews>
  <sheetFormatPr baseColWidth="10" defaultRowHeight="15" x14ac:dyDescent="0.25"/>
  <cols>
    <col min="1" max="1" width="11.42578125" style="10" hidden="1" customWidth="1"/>
    <col min="2" max="2" width="15" style="10" hidden="1" customWidth="1"/>
    <col min="3" max="3" width="35.7109375" style="10" customWidth="1"/>
    <col min="4" max="4" width="14.42578125" style="10" customWidth="1"/>
    <col min="5" max="5" width="5.42578125" style="10" customWidth="1"/>
    <col min="6" max="6" width="11.28515625" style="10" customWidth="1"/>
    <col min="7" max="7" width="5.42578125" style="10" customWidth="1"/>
    <col min="8" max="8" width="13.140625" style="10" customWidth="1"/>
    <col min="9" max="9" width="7.5703125" style="10" customWidth="1"/>
    <col min="10" max="10" width="6.85546875" style="10" customWidth="1"/>
    <col min="11" max="11" width="8.140625" style="10" customWidth="1"/>
    <col min="12" max="12" width="13.28515625" style="10" customWidth="1"/>
    <col min="13" max="13" width="6.7109375" style="10" customWidth="1"/>
    <col min="14" max="14" width="11.5703125" style="10" customWidth="1"/>
    <col min="15" max="15" width="8.5703125" style="10" customWidth="1"/>
    <col min="16" max="16" width="9.42578125" style="10" customWidth="1"/>
    <col min="17" max="17" width="8.42578125" style="10" customWidth="1"/>
    <col min="18" max="19" width="9.5703125" style="10" customWidth="1"/>
    <col min="20" max="20" width="14.42578125" style="10" customWidth="1"/>
    <col min="21" max="22" width="11.42578125" style="10" hidden="1" customWidth="1"/>
    <col min="23" max="23" width="34.140625" style="10" customWidth="1"/>
    <col min="24" max="24" width="11.42578125" style="10"/>
    <col min="25" max="25" width="12.5703125" style="10" customWidth="1"/>
    <col min="26" max="29" width="11.42578125" style="10"/>
    <col min="30" max="30" width="12.42578125" style="10" customWidth="1"/>
    <col min="31" max="31" width="8.42578125" style="10" customWidth="1"/>
    <col min="32" max="32" width="9.140625" style="10" customWidth="1"/>
    <col min="33" max="33" width="11.42578125" style="10"/>
    <col min="34" max="34" width="27" style="10" customWidth="1"/>
    <col min="35" max="35" width="11.5703125" style="10" customWidth="1"/>
    <col min="36" max="16384" width="11.42578125" style="10"/>
  </cols>
  <sheetData>
    <row r="1" spans="1:37" s="4" customFormat="1" ht="30" hidden="1" x14ac:dyDescent="0.25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</row>
    <row r="2" spans="1:37" ht="30.75" hidden="1" x14ac:dyDescent="0.3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0" t="str">
        <f>+F2</f>
        <v>201201</v>
      </c>
      <c r="P2" s="11">
        <f>D2</f>
        <v>201301</v>
      </c>
      <c r="Z2" s="14"/>
      <c r="AA2" s="14"/>
      <c r="AB2" s="14"/>
      <c r="AC2" s="14"/>
    </row>
    <row r="3" spans="1:37" ht="19.5" thickBot="1" x14ac:dyDescent="0.35">
      <c r="B3" s="10">
        <v>1000</v>
      </c>
      <c r="C3" s="17" t="s">
        <v>11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233"/>
      <c r="W3" s="19" t="str">
        <f>+C3</f>
        <v>MUSICAR S.A. COLOMBIA</v>
      </c>
      <c r="X3" s="19"/>
      <c r="Y3" s="19"/>
      <c r="Z3" s="19"/>
      <c r="AA3" s="19"/>
      <c r="AB3" s="19"/>
      <c r="AC3" s="19"/>
      <c r="AD3" s="19"/>
      <c r="AE3" s="19"/>
      <c r="AF3" s="19"/>
      <c r="AG3" s="10" t="s">
        <v>112</v>
      </c>
      <c r="AH3" s="234" t="str">
        <f>+'COLOMB$ '!D4</f>
        <v>31/04/2022</v>
      </c>
      <c r="AI3" s="235">
        <v>3966.27</v>
      </c>
      <c r="AJ3" s="236">
        <f>+AI3-AI4</f>
        <v>253.38000000000011</v>
      </c>
      <c r="AK3" s="237">
        <f>+AJ3/AI4</f>
        <v>6.8243336053586318E-2</v>
      </c>
    </row>
    <row r="4" spans="1:37" ht="20.25" thickTop="1" thickBot="1" x14ac:dyDescent="0.35">
      <c r="A4" s="10" t="s">
        <v>94</v>
      </c>
      <c r="B4" s="10">
        <v>1</v>
      </c>
      <c r="C4" s="21"/>
      <c r="D4" s="182" t="str">
        <f>+'COLOMB$ '!D4:K4</f>
        <v>31/04/2022</v>
      </c>
      <c r="E4" s="26"/>
      <c r="F4" s="26"/>
      <c r="G4" s="26"/>
      <c r="H4" s="27"/>
      <c r="I4" s="27"/>
      <c r="J4" s="27"/>
      <c r="K4" s="183"/>
      <c r="L4" s="25" t="s">
        <v>13</v>
      </c>
      <c r="M4" s="26"/>
      <c r="N4" s="26"/>
      <c r="O4" s="26"/>
      <c r="P4" s="27"/>
      <c r="Q4" s="27"/>
      <c r="R4" s="27"/>
      <c r="S4" s="28"/>
      <c r="W4" s="14"/>
      <c r="X4" s="201" t="str">
        <f>+'COLOMB$ '!X4:Z4</f>
        <v>ABRIL</v>
      </c>
      <c r="Y4" s="202"/>
      <c r="Z4" s="202"/>
      <c r="AA4" s="238" t="str">
        <f>+'COLOMB$ '!AA4:AC4</f>
        <v>ACUM  ABRIL</v>
      </c>
      <c r="AB4" s="239"/>
      <c r="AC4" s="240"/>
      <c r="AG4" s="10" t="s">
        <v>112</v>
      </c>
      <c r="AH4" s="10">
        <f>+'COLOMB$ '!A4</f>
        <v>202104</v>
      </c>
      <c r="AI4" s="241">
        <v>3712.89</v>
      </c>
    </row>
    <row r="5" spans="1:37" ht="15.75" customHeight="1" thickBot="1" x14ac:dyDescent="0.3">
      <c r="A5" s="10" t="s">
        <v>95</v>
      </c>
      <c r="B5" s="10" t="s">
        <v>96</v>
      </c>
      <c r="C5" s="36" t="s">
        <v>113</v>
      </c>
      <c r="D5" s="184" t="str">
        <f>+'COLOMB$ '!D5:E5</f>
        <v>Ppto 2022</v>
      </c>
      <c r="E5" s="206"/>
      <c r="F5" s="184" t="str">
        <f>+'COLOMB$ '!F5:G5</f>
        <v>Real 2021</v>
      </c>
      <c r="G5" s="206"/>
      <c r="H5" s="184" t="str">
        <f>+'COLOMB$ '!H5:I5</f>
        <v>real 2022</v>
      </c>
      <c r="I5" s="206"/>
      <c r="J5" s="39" t="s">
        <v>20</v>
      </c>
      <c r="K5" s="40" t="s">
        <v>21</v>
      </c>
      <c r="L5" s="184" t="str">
        <f>+D5</f>
        <v>Ppto 2022</v>
      </c>
      <c r="M5" s="206"/>
      <c r="N5" s="184" t="str">
        <f>+F5</f>
        <v>Real 2021</v>
      </c>
      <c r="O5" s="206"/>
      <c r="P5" s="184" t="str">
        <f>+H5</f>
        <v>real 2022</v>
      </c>
      <c r="Q5" s="206"/>
      <c r="R5" s="39" t="s">
        <v>20</v>
      </c>
      <c r="S5" s="41" t="s">
        <v>21</v>
      </c>
      <c r="T5" s="242"/>
      <c r="U5" s="243"/>
      <c r="W5" s="208" t="s">
        <v>113</v>
      </c>
      <c r="X5" s="43" t="str">
        <f>+D5</f>
        <v>Ppto 2022</v>
      </c>
      <c r="Y5" s="209" t="str">
        <f>+F5</f>
        <v>Real 2021</v>
      </c>
      <c r="Z5" s="210" t="str">
        <f>+P5</f>
        <v>real 2022</v>
      </c>
      <c r="AA5" s="244" t="str">
        <f>+X5</f>
        <v>Ppto 2022</v>
      </c>
      <c r="AB5" s="43" t="str">
        <f>+Y5</f>
        <v>Real 2021</v>
      </c>
      <c r="AC5" s="245" t="str">
        <f>+Z5</f>
        <v>real 2022</v>
      </c>
      <c r="AD5" s="47" t="s">
        <v>24</v>
      </c>
      <c r="AE5" s="47" t="s">
        <v>20</v>
      </c>
      <c r="AF5" s="47" t="s">
        <v>21</v>
      </c>
      <c r="AH5" s="10" t="s">
        <v>114</v>
      </c>
      <c r="AI5" s="246">
        <v>3400</v>
      </c>
      <c r="AJ5" s="10" t="s">
        <v>115</v>
      </c>
    </row>
    <row r="6" spans="1:37" ht="15.75" thickBot="1" x14ac:dyDescent="0.3">
      <c r="C6" s="50" t="s">
        <v>26</v>
      </c>
      <c r="D6" s="247" t="s">
        <v>27</v>
      </c>
      <c r="E6" s="248" t="s">
        <v>28</v>
      </c>
      <c r="F6" s="247" t="s">
        <v>27</v>
      </c>
      <c r="G6" s="53" t="s">
        <v>28</v>
      </c>
      <c r="H6" s="186" t="s">
        <v>27</v>
      </c>
      <c r="I6" s="54" t="s">
        <v>28</v>
      </c>
      <c r="J6" s="55" t="s">
        <v>29</v>
      </c>
      <c r="K6" s="52" t="s">
        <v>29</v>
      </c>
      <c r="L6" s="51" t="s">
        <v>27</v>
      </c>
      <c r="M6" s="52" t="s">
        <v>28</v>
      </c>
      <c r="N6" s="51" t="s">
        <v>27</v>
      </c>
      <c r="O6" s="54" t="s">
        <v>28</v>
      </c>
      <c r="P6" s="186" t="s">
        <v>27</v>
      </c>
      <c r="Q6" s="54" t="s">
        <v>28</v>
      </c>
      <c r="R6" s="55" t="s">
        <v>29</v>
      </c>
      <c r="S6" s="56" t="s">
        <v>29</v>
      </c>
      <c r="T6" s="249"/>
      <c r="U6" s="250" t="s">
        <v>116</v>
      </c>
      <c r="V6" s="251"/>
      <c r="W6" s="57" t="str">
        <f>+'COLOMB$ '!W6</f>
        <v xml:space="preserve">Flujo de Caja </v>
      </c>
      <c r="X6" s="58"/>
      <c r="Y6" s="63"/>
      <c r="Z6" s="59"/>
      <c r="AA6" s="252" t="s">
        <v>13</v>
      </c>
      <c r="AB6" s="253"/>
      <c r="AC6" s="254"/>
      <c r="AD6" s="62" t="s">
        <v>117</v>
      </c>
      <c r="AE6" s="63" t="s">
        <v>29</v>
      </c>
      <c r="AF6" s="63" t="s">
        <v>29</v>
      </c>
    </row>
    <row r="7" spans="1:37" ht="15.75" thickBot="1" x14ac:dyDescent="0.3">
      <c r="B7" s="11" t="s">
        <v>97</v>
      </c>
      <c r="C7" s="255" t="str">
        <f>+'COLOMB$ '!C7</f>
        <v>Fact. Musical Experience  (Ambiental)</v>
      </c>
      <c r="D7" s="66">
        <f>+'COL. CONS.$'!D7/'COLOMBIA USD'!$AI$5*1000</f>
        <v>116195.58823529413</v>
      </c>
      <c r="E7" s="67">
        <f t="shared" ref="E7:E12" si="0">+D7/$D$17</f>
        <v>0.45850089073806499</v>
      </c>
      <c r="F7" s="66">
        <f>+'COL. CONS.$'!F7/'COLOMBIA USD'!$AI$4*1000</f>
        <v>101152.81842446182</v>
      </c>
      <c r="G7" s="67">
        <f t="shared" ref="G7:G15" si="1">+F7/$F$17</f>
        <v>0.48154638713510017</v>
      </c>
      <c r="H7" s="66">
        <f>+'COL. CONS.$'!H7/'COLOMBIA USD'!$AI$3*1000</f>
        <v>91936.983110075715</v>
      </c>
      <c r="I7" s="68">
        <f t="shared" ref="I7:I15" si="2">+H7/$H$17</f>
        <v>0.45937544416985149</v>
      </c>
      <c r="J7" s="69">
        <f>IF(D7=0,"",(H7-D7)/ABS(D7)+1)</f>
        <v>0.79122610854987763</v>
      </c>
      <c r="K7" s="69">
        <f>IF(F7=0,"",(H7-F7)/ABS(F7))</f>
        <v>-9.1108042839836825E-2</v>
      </c>
      <c r="L7" s="66">
        <f>+'COL. CONS.$'!L7/'COLOMBIA USD'!$AI$5*1000</f>
        <v>431352.9411764706</v>
      </c>
      <c r="M7" s="67">
        <f t="shared" ref="M7:M15" si="3">+L7/$L$17</f>
        <v>0.44889936096271255</v>
      </c>
      <c r="N7" s="66">
        <f>+'COL. CONS.$'!N7/'COLOMBIA USD'!$AI$4*1000</f>
        <v>377834.06887895952</v>
      </c>
      <c r="O7" s="67">
        <f t="shared" ref="O7:O15" si="4">+N7/$N$17</f>
        <v>0.52261618343386484</v>
      </c>
      <c r="P7" s="66">
        <f>+'COL. CONS.$'!P7/'COLOMBIA USD'!$AI$3*1000</f>
        <v>366407.54386363004</v>
      </c>
      <c r="Q7" s="67">
        <f t="shared" ref="Q7:Q15" si="5">+P7/$P$17</f>
        <v>0.46373436684033897</v>
      </c>
      <c r="R7" s="69">
        <f>IF(L7=0,"",(P7-L7)/ABS(L7)+1)</f>
        <v>0.84943791704373517</v>
      </c>
      <c r="S7" s="69">
        <f>IF(N7=0,"",(P7-N7)/ABS(N7))</f>
        <v>-3.0242177602544371E-2</v>
      </c>
      <c r="T7" s="115"/>
      <c r="U7" s="102"/>
      <c r="V7" s="256" t="s">
        <v>118</v>
      </c>
      <c r="W7" s="73" t="s">
        <v>35</v>
      </c>
      <c r="X7" s="75">
        <f>+'COL. CONS.$'!X7/'COLOMBIA USD'!AI5*1000</f>
        <v>6545.2941176470586</v>
      </c>
      <c r="Y7" s="95">
        <f>'COLOMB$ '!Y7/'COLOMBIA USD'!$AI$4*1000</f>
        <v>183600.64531941427</v>
      </c>
      <c r="Z7" s="257">
        <f>'COLOMB$ '!Z7/'COLOMBIA USD'!$AI$3*1000</f>
        <v>19729.406628898185</v>
      </c>
      <c r="AA7" s="258">
        <f>'COLOMB$ '!AA7/'COLOMBIA USD'!$AI$5*1000</f>
        <v>142468.23529411765</v>
      </c>
      <c r="AB7" s="95">
        <f>'COLOMB$ '!AB7/'COLOMBIA USD'!$AI$4*1000</f>
        <v>159047.26506845071</v>
      </c>
      <c r="AC7" s="259">
        <f>+'COL. CONS.$'!AC7/'COLOMBIA USD'!AI3*1000</f>
        <v>122127.84303640449</v>
      </c>
      <c r="AD7" s="76">
        <f>+AC7-AA7</f>
        <v>-20340.39225771316</v>
      </c>
      <c r="AE7" s="77">
        <f>IF(AA7=0,"",(AC7-AA7)/ABS(AA7)+1)</f>
        <v>0.85722858000085722</v>
      </c>
      <c r="AF7" s="77">
        <f>IF(Y7=0,"",(AC7-AB7)/ABS(AB7))</f>
        <v>-0.23212861922622091</v>
      </c>
      <c r="AI7" s="236"/>
    </row>
    <row r="8" spans="1:37" x14ac:dyDescent="0.25">
      <c r="B8" s="11" t="s">
        <v>98</v>
      </c>
      <c r="C8" s="255" t="str">
        <f>+'COLOMB$ '!C8</f>
        <v>Instalaciones</v>
      </c>
      <c r="D8" s="66">
        <f>+'COL. CONS.$'!D8/'COLOMBIA USD'!$AI$5*1000</f>
        <v>12818.235294117647</v>
      </c>
      <c r="E8" s="67">
        <f t="shared" si="0"/>
        <v>5.0579995241659848E-2</v>
      </c>
      <c r="F8" s="66">
        <f>+'COL. CONS.$'!F8/'COLOMBIA USD'!$AI$4*1000</f>
        <v>3738.252951205126</v>
      </c>
      <c r="G8" s="67">
        <f t="shared" si="1"/>
        <v>1.779626342487186E-2</v>
      </c>
      <c r="H8" s="66">
        <f>+'COL. CONS.$'!H8/'COLOMBIA USD'!$AI$3*1000</f>
        <v>5210.1276514206047</v>
      </c>
      <c r="I8" s="68">
        <f t="shared" si="2"/>
        <v>2.6033100315977883E-2</v>
      </c>
      <c r="J8" s="69">
        <f t="shared" ref="J8:J34" si="6">IF(D8=0,"",(H8-D8)/ABS(D8)+1)</f>
        <v>0.40646216361869714</v>
      </c>
      <c r="K8" s="69">
        <f t="shared" ref="K8:K34" si="7">IF(F8=0,"",(H8-F8)/ABS(F8))</f>
        <v>0.39373330789212124</v>
      </c>
      <c r="L8" s="66">
        <f>+'COL. CONS.$'!L8/'COLOMBIA USD'!$AI$5*1000</f>
        <v>41658.529411764706</v>
      </c>
      <c r="M8" s="67">
        <f t="shared" si="3"/>
        <v>4.3353100086865971E-2</v>
      </c>
      <c r="N8" s="66">
        <f>+'COL. CONS.$'!N8/'COLOMBIA USD'!$AI$4*1000</f>
        <v>37791.387571406645</v>
      </c>
      <c r="O8" s="67">
        <f t="shared" si="4"/>
        <v>5.227265714242843E-2</v>
      </c>
      <c r="P8" s="66">
        <f>+'COL. CONS.$'!P8/'COLOMBIA USD'!$AI$3*1000</f>
        <v>29130.872078804518</v>
      </c>
      <c r="Q8" s="67">
        <f t="shared" si="5"/>
        <v>3.6868745595475816E-2</v>
      </c>
      <c r="R8" s="69">
        <f t="shared" ref="R8:R34" si="8">IF(L8=0,"",(P8-L8)/ABS(L8)+1)</f>
        <v>0.69927749467262101</v>
      </c>
      <c r="S8" s="69">
        <f t="shared" ref="S8:S34" si="9">IF(N8=0,"",(P8-N8)/ABS(N8))</f>
        <v>-0.22916638020337637</v>
      </c>
      <c r="T8" s="115"/>
      <c r="U8" s="102"/>
      <c r="V8" s="260" t="s">
        <v>119</v>
      </c>
      <c r="W8" s="81" t="s">
        <v>38</v>
      </c>
      <c r="X8" s="82">
        <f>'COLOMB$ '!X8/'COLOMBIA USD'!$AI$5*1000</f>
        <v>299767.0588235294</v>
      </c>
      <c r="Y8" s="90">
        <f>'COLOMB$ '!Y8/'COLOMBIA USD'!$AI$4*1000</f>
        <v>206349.7464778111</v>
      </c>
      <c r="Z8" s="91">
        <f>'COLOMB$ '!Z8/'COLOMBIA USD'!$AI$3*1000</f>
        <v>243253.52967145454</v>
      </c>
      <c r="AA8" s="261">
        <f>'COLOMB$ '!AA8/'COLOMBIA USD'!$AI$5*1000</f>
        <v>1112067.0588235294</v>
      </c>
      <c r="AB8" s="90">
        <f>'COLOMB$ '!AB8/'COLOMBIA USD'!$AI$4*1000</f>
        <v>958021.95713312284</v>
      </c>
      <c r="AC8" s="262">
        <f>'COLOMB$ '!AC8/'COLOMBIA USD'!$AI$3*1000</f>
        <v>984063.91330141423</v>
      </c>
      <c r="AD8" s="85">
        <f>+AC8-AA8</f>
        <v>-128003.14552211517</v>
      </c>
      <c r="AE8" s="86">
        <f>IF(AA8=0,"",(AC8-AA8)/ABS(AA8)+1)</f>
        <v>0.88489619892389282</v>
      </c>
      <c r="AF8" s="86">
        <f>IF(AB8=0,"",(AC8-AB8)/ABS(AB8))</f>
        <v>2.7183047292800938E-2</v>
      </c>
      <c r="AG8" s="236"/>
    </row>
    <row r="9" spans="1:37" x14ac:dyDescent="0.25">
      <c r="B9" s="11" t="s">
        <v>99</v>
      </c>
      <c r="C9" s="255" t="str">
        <f>+'COLOMB$ '!C9</f>
        <v>Fact.Voice Experience (Publihold)</v>
      </c>
      <c r="D9" s="66">
        <f>+'COL. CONS.$'!D9/'COLOMBIA USD'!$AI$5*1000</f>
        <v>25499.117647058825</v>
      </c>
      <c r="E9" s="67">
        <f t="shared" si="0"/>
        <v>0.10061800393433491</v>
      </c>
      <c r="F9" s="66">
        <f>+'COL. CONS.$'!F9/'COLOMBIA USD'!$AI$4*1000</f>
        <v>30141.603279386138</v>
      </c>
      <c r="G9" s="67">
        <f t="shared" si="1"/>
        <v>0.1434916039683756</v>
      </c>
      <c r="H9" s="66">
        <f>+'COL. CONS.$'!H9/'COLOMBIA USD'!$AI$3*1000</f>
        <v>25867.331825619542</v>
      </c>
      <c r="I9" s="68">
        <f t="shared" si="2"/>
        <v>0.12924958645484017</v>
      </c>
      <c r="J9" s="69">
        <f t="shared" si="6"/>
        <v>1.0144402713716327</v>
      </c>
      <c r="K9" s="69">
        <f t="shared" si="7"/>
        <v>-0.14180637354117701</v>
      </c>
      <c r="L9" s="66">
        <f>+'COL. CONS.$'!L9/'COLOMBIA USD'!$AI$5*1000</f>
        <v>103336.76470588236</v>
      </c>
      <c r="M9" s="67">
        <f t="shared" si="3"/>
        <v>0.1075402604510052</v>
      </c>
      <c r="N9" s="66">
        <f>+'COL. CONS.$'!N9/'COLOMBIA USD'!$AI$4*1000</f>
        <v>113622.55639138244</v>
      </c>
      <c r="O9" s="67">
        <f t="shared" si="4"/>
        <v>0.15716154699719864</v>
      </c>
      <c r="P9" s="66">
        <f>+'COL. CONS.$'!P9/'COLOMBIA USD'!$AI$3*1000</f>
        <v>96713.220532137246</v>
      </c>
      <c r="Q9" s="67">
        <f t="shared" si="5"/>
        <v>0.12240262199746842</v>
      </c>
      <c r="R9" s="69">
        <f t="shared" si="8"/>
        <v>0.93590331386320169</v>
      </c>
      <c r="S9" s="69">
        <f t="shared" si="9"/>
        <v>-0.14882023777919209</v>
      </c>
      <c r="T9" s="115"/>
      <c r="U9" s="263">
        <f>+H18/D18</f>
        <v>0.91235335134329598</v>
      </c>
      <c r="V9" s="260" t="s">
        <v>120</v>
      </c>
      <c r="W9" s="81" t="s">
        <v>41</v>
      </c>
      <c r="X9" s="82">
        <f>'COLOMB$ '!X9/'COLOMBIA USD'!$AI$5*1000</f>
        <v>34713.235294117643</v>
      </c>
      <c r="Y9" s="90">
        <f>'COLOMB$ '!Y9/'COLOMBIA USD'!$AI$4*1000</f>
        <v>28031.298667614719</v>
      </c>
      <c r="Z9" s="91">
        <f>'COLOMB$ '!Z9/'COLOMBIA USD'!$AI$3*1000</f>
        <v>18413.289059998438</v>
      </c>
      <c r="AA9" s="261">
        <f>'COLOMB$ '!AA9/'COLOMBIA USD'!$AI$5*1000</f>
        <v>151665.5882352941</v>
      </c>
      <c r="AB9" s="90">
        <f>'COLOMB$ '!AB9/'COLOMBIA USD'!$AI$4*1000</f>
        <v>159383.9439223893</v>
      </c>
      <c r="AC9" s="262">
        <f>'COLOMB$ '!AC9/'COLOMBIA USD'!$AI$3*1000</f>
        <v>129536.59025482381</v>
      </c>
      <c r="AD9" s="85">
        <f>+AA9-AC9</f>
        <v>22128.997980470289</v>
      </c>
      <c r="AE9" s="86">
        <f>IF(AA9=0,"",(AC9-AA9)/ABS(AA9)+1)</f>
        <v>0.85409348133645624</v>
      </c>
      <c r="AF9" s="86">
        <f t="shared" ref="AF9:AF22" si="10">IF(AB9=0,"",(AC9-AB9)/ABS(AB9))</f>
        <v>-0.18726700402205768</v>
      </c>
      <c r="AG9" s="236"/>
    </row>
    <row r="10" spans="1:37" ht="15.75" thickBot="1" x14ac:dyDescent="0.3">
      <c r="B10" s="219" t="s">
        <v>100</v>
      </c>
      <c r="C10" s="255" t="str">
        <f>+'COLOMB$ '!C10</f>
        <v>Fact. Service &amp; Equipment Experience</v>
      </c>
      <c r="D10" s="66">
        <f>+'COL. CONS.$'!D10/'COLOMBIA USD'!$AI$5*1000</f>
        <v>26464.117647058825</v>
      </c>
      <c r="E10" s="67">
        <f t="shared" si="0"/>
        <v>0.1044258366264529</v>
      </c>
      <c r="F10" s="66">
        <f>+'COL. CONS.$'!F10/'COLOMBIA USD'!$AI$4*1000</f>
        <v>10604.656749863314</v>
      </c>
      <c r="G10" s="67">
        <f t="shared" si="1"/>
        <v>5.0484348575200885E-2</v>
      </c>
      <c r="H10" s="66">
        <f>+'COL. CONS.$'!H10/'COLOMBIA USD'!$AI$3*1000</f>
        <v>15443.22121287759</v>
      </c>
      <c r="I10" s="68">
        <f t="shared" si="2"/>
        <v>7.7164122250835868E-2</v>
      </c>
      <c r="J10" s="69">
        <f>IF(D10=0,"",(H10-D10)/ABS(D10)+1)</f>
        <v>0.58355322549716382</v>
      </c>
      <c r="K10" s="69">
        <f t="shared" si="7"/>
        <v>0.45626789976739618</v>
      </c>
      <c r="L10" s="66">
        <f>+'COL. CONS.$'!L10/'COLOMBIA USD'!$AI$5*1000</f>
        <v>96789.411764705888</v>
      </c>
      <c r="M10" s="67">
        <f t="shared" si="3"/>
        <v>0.10072657664192915</v>
      </c>
      <c r="N10" s="66">
        <f>+'COL. CONS.$'!N10/'COLOMBIA USD'!$AI$4*1000</f>
        <v>52559.197013647048</v>
      </c>
      <c r="O10" s="67">
        <f t="shared" si="4"/>
        <v>7.2699338704738062E-2</v>
      </c>
      <c r="P10" s="66">
        <f>+'COL. CONS.$'!P10/'COLOMBIA USD'!$AI$3*1000</f>
        <v>58979.796382999644</v>
      </c>
      <c r="Q10" s="67">
        <f t="shared" si="5"/>
        <v>7.4646275684274566E-2</v>
      </c>
      <c r="R10" s="69">
        <f>IF(L10=0,"",(P10-L10)/ABS(L10)+1)</f>
        <v>0.60936207078496296</v>
      </c>
      <c r="S10" s="69">
        <f>IF(N10=0,"",(P10-N10)/ABS(N10))</f>
        <v>0.12215938854022981</v>
      </c>
      <c r="T10" s="115"/>
      <c r="U10" s="264">
        <f>+H19/D19</f>
        <v>0.77849463022094301</v>
      </c>
      <c r="V10" s="265">
        <v>1208</v>
      </c>
      <c r="W10" s="81" t="s">
        <v>44</v>
      </c>
      <c r="X10" s="82">
        <f>'COLOMB$ '!X10/'COLOMBIA USD'!$AI$5*1000</f>
        <v>2456.7647058823527</v>
      </c>
      <c r="Y10" s="90">
        <f>'COLOMB$ '!Y10/'COLOMBIA USD'!$AI$4*1000</f>
        <v>2018.1640177866836</v>
      </c>
      <c r="Z10" s="91">
        <f>'COLOMB$ '!Z10/'COLOMBIA USD'!$AI$3*1000</f>
        <v>2404.0433455110215</v>
      </c>
      <c r="AA10" s="261">
        <f>'COLOMB$ '!AA10/'COLOMBIA USD'!$AI$5*1000</f>
        <v>9827.0588235294108</v>
      </c>
      <c r="AB10" s="90">
        <f>'COLOMB$ '!AB10/'COLOMBIA USD'!$AI$4*1000</f>
        <v>7936.5370371866666</v>
      </c>
      <c r="AC10" s="262">
        <f>'COLOMB$ '!AC10/'COLOMBIA USD'!$AI$3*1000</f>
        <v>9382.2029261749703</v>
      </c>
      <c r="AD10" s="85">
        <f>+AA10-AC10</f>
        <v>444.85589735444046</v>
      </c>
      <c r="AE10" s="86">
        <f t="shared" ref="AE10:AE21" si="11">IF(AA10=0,"",(AC10-AA10)/ABS(AA10)+1)</f>
        <v>0.95473153205419914</v>
      </c>
      <c r="AF10" s="86">
        <f t="shared" si="10"/>
        <v>0.18215323411390033</v>
      </c>
      <c r="AG10" s="236"/>
    </row>
    <row r="11" spans="1:37" x14ac:dyDescent="0.25">
      <c r="B11" s="11">
        <v>4170250500</v>
      </c>
      <c r="C11" s="255" t="str">
        <f>+'COLOMB$ '!C11</f>
        <v>POP Satelital</v>
      </c>
      <c r="D11" s="66">
        <f>+'COL. CONS.$'!D11/'COLOMBIA USD'!$AI$5*1000</f>
        <v>0</v>
      </c>
      <c r="E11" s="67">
        <f t="shared" si="0"/>
        <v>0</v>
      </c>
      <c r="F11" s="66">
        <f>+'COL. CONS.$'!F11/'COLOMBIA USD'!$AI$4*1000</f>
        <v>0</v>
      </c>
      <c r="G11" s="67">
        <f t="shared" si="1"/>
        <v>0</v>
      </c>
      <c r="H11" s="66">
        <f>+'COL. CONS.$'!H11/'COLOMBIA USD'!$AI$3*1000</f>
        <v>0</v>
      </c>
      <c r="I11" s="68">
        <f t="shared" si="2"/>
        <v>0</v>
      </c>
      <c r="J11" s="69" t="str">
        <f>IF(D11=0,"",(H11-D11)/ABS(D11)+1)</f>
        <v/>
      </c>
      <c r="K11" s="69" t="str">
        <f t="shared" si="7"/>
        <v/>
      </c>
      <c r="L11" s="66">
        <f>+'COL. CONS.$'!L11/'COLOMBIA USD'!$AI$5*1000</f>
        <v>0</v>
      </c>
      <c r="M11" s="67">
        <f t="shared" si="3"/>
        <v>0</v>
      </c>
      <c r="N11" s="66">
        <f>+'COL. CONS.$'!N11/'COLOMBIA USD'!$AI$4*1000</f>
        <v>0</v>
      </c>
      <c r="O11" s="67">
        <f t="shared" si="4"/>
        <v>0</v>
      </c>
      <c r="P11" s="66">
        <f>+'COL. CONS.$'!P11/'COLOMBIA USD'!$AI$3*1000</f>
        <v>0</v>
      </c>
      <c r="Q11" s="67">
        <f t="shared" si="5"/>
        <v>0</v>
      </c>
      <c r="R11" s="69" t="str">
        <f>IF(L11=0,"",(P11-L11)/ABS(L11)+1)</f>
        <v/>
      </c>
      <c r="S11" s="69" t="str">
        <f>IF(N11=0,"",(P11-N11)/ABS(N11))</f>
        <v/>
      </c>
      <c r="T11" s="115"/>
      <c r="U11" s="86">
        <f>+H20/D20</f>
        <v>0.89044336581024308</v>
      </c>
      <c r="V11" s="260" t="s">
        <v>121</v>
      </c>
      <c r="W11" s="81" t="s">
        <v>46</v>
      </c>
      <c r="X11" s="82">
        <f>'COLOMB$ '!X11/'COLOMBIA USD'!$AI$5*1000</f>
        <v>102548.5294117647</v>
      </c>
      <c r="Y11" s="90">
        <f>'COLOMB$ '!Y11/'COLOMBIA USD'!$AI$4*1000</f>
        <v>85824.713902108604</v>
      </c>
      <c r="Z11" s="91">
        <f>'COLOMB$ '!Z11/'COLOMBIA USD'!$AI$3*1000</f>
        <v>91833.346443888091</v>
      </c>
      <c r="AA11" s="261">
        <f>'COLOMB$ '!AA11/'COLOMBIA USD'!$AI$5*1000</f>
        <v>470754.1176470588</v>
      </c>
      <c r="AB11" s="90">
        <f>'COLOMB$ '!AB11/'COLOMBIA USD'!$AI$4*1000</f>
        <v>356024.34734128945</v>
      </c>
      <c r="AC11" s="262">
        <f>'COLOMB$ '!AC11/'COLOMBIA USD'!$AI$3*1000</f>
        <v>404271.0948271298</v>
      </c>
      <c r="AD11" s="85">
        <f>+AA11-AC11</f>
        <v>66483.022819929</v>
      </c>
      <c r="AE11" s="86">
        <f t="shared" si="11"/>
        <v>0.85877335889863904</v>
      </c>
      <c r="AF11" s="86">
        <f t="shared" si="10"/>
        <v>0.13551530350701099</v>
      </c>
      <c r="AG11" s="236"/>
      <c r="AH11" s="149"/>
    </row>
    <row r="12" spans="1:37" x14ac:dyDescent="0.25">
      <c r="B12" s="11"/>
      <c r="C12" s="255" t="str">
        <f>+'COLOMB$ '!C12</f>
        <v xml:space="preserve"> Fact.Voice Experience (Audicóm)</v>
      </c>
      <c r="D12" s="66">
        <f>+'COL. CONS.$'!D12/'COLOMBIA USD'!$AI$5*1000</f>
        <v>35828.23529411765</v>
      </c>
      <c r="E12" s="67">
        <f t="shared" si="0"/>
        <v>0.14137608876045241</v>
      </c>
      <c r="F12" s="66">
        <f>+'COL. CONS.$'!F12/'COLOMBIA USD'!$AI$4*1000</f>
        <v>31369.926391570985</v>
      </c>
      <c r="G12" s="67">
        <f t="shared" si="1"/>
        <v>0.14933913808675381</v>
      </c>
      <c r="H12" s="66">
        <f>+'COL. CONS.$'!H12/'COLOMBIA USD'!$AI$3*1000</f>
        <v>30555.869872701558</v>
      </c>
      <c r="I12" s="68">
        <f t="shared" si="2"/>
        <v>0.15267649448495049</v>
      </c>
      <c r="J12" s="69">
        <f t="shared" si="6"/>
        <v>0.85284328468497805</v>
      </c>
      <c r="K12" s="69">
        <f t="shared" si="7"/>
        <v>-2.5950220880599898E-2</v>
      </c>
      <c r="L12" s="66">
        <f>+'COL. CONS.$'!L12/'COLOMBIA USD'!$AI$5*1000</f>
        <v>145885.5882352941</v>
      </c>
      <c r="M12" s="67">
        <f t="shared" si="3"/>
        <v>0.15181986971940267</v>
      </c>
      <c r="N12" s="66">
        <f>+'COL. CONS.$'!N12/'COLOMBIA USD'!$AI$4*1000</f>
        <v>125085.40112957831</v>
      </c>
      <c r="O12" s="67">
        <f t="shared" si="4"/>
        <v>0.17301683550028496</v>
      </c>
      <c r="P12" s="66">
        <f>+'COL. CONS.$'!P12/'COLOMBIA USD'!$AI$3*1000</f>
        <v>123097.3393137633</v>
      </c>
      <c r="Q12" s="67">
        <f t="shared" si="5"/>
        <v>0.15579500930702492</v>
      </c>
      <c r="R12" s="69">
        <f t="shared" si="8"/>
        <v>0.84379369341969279</v>
      </c>
      <c r="S12" s="69">
        <f t="shared" si="9"/>
        <v>-1.5893635850881965E-2</v>
      </c>
      <c r="T12" s="115"/>
      <c r="U12" s="263"/>
      <c r="V12" s="260"/>
      <c r="W12" s="81" t="s">
        <v>49</v>
      </c>
      <c r="X12" s="82">
        <f>'COLOMB$ '!X12/'COLOMBIA USD'!$AI$5*1000</f>
        <v>73732.941176470587</v>
      </c>
      <c r="Y12" s="90">
        <f>'COLOMB$ '!Y12/'COLOMBIA USD'!$AI$4*1000</f>
        <v>37972.180385090869</v>
      </c>
      <c r="Z12" s="266">
        <f>'COLOMB$ '!Z12/'COLOMBIA USD'!$AI$3*1000</f>
        <v>66670.266396387553</v>
      </c>
      <c r="AA12" s="267">
        <f>'COLOMB$ '!AA12/'COLOMBIA USD'!$AI$5*1000</f>
        <v>303193.23529411765</v>
      </c>
      <c r="AB12" s="90">
        <f>'COLOMB$ '!AB12/'COLOMBIA USD'!$AI$4*1000</f>
        <v>169094.83256169723</v>
      </c>
      <c r="AC12" s="268">
        <f>'COLOMB$ '!AC12/'COLOMBIA USD'!$AI$3*1000</f>
        <v>268375.89525171003</v>
      </c>
      <c r="AD12" s="85">
        <f>+AA12-AC12</f>
        <v>34817.340042407624</v>
      </c>
      <c r="AE12" s="86">
        <f t="shared" si="11"/>
        <v>0.88516452219445962</v>
      </c>
      <c r="AF12" s="86">
        <f t="shared" si="10"/>
        <v>0.58713244624899075</v>
      </c>
      <c r="AG12" s="236"/>
    </row>
    <row r="13" spans="1:37" ht="15.75" thickBot="1" x14ac:dyDescent="0.3">
      <c r="B13" s="11"/>
      <c r="C13" s="255" t="str">
        <f>+'COLOMB$ '!C13</f>
        <v>Fact. Servicio Satelital</v>
      </c>
      <c r="D13" s="66">
        <f>+'COL. CONS.$'!D13/'COLOMBIA USD'!$AI$3*1000</f>
        <v>0</v>
      </c>
      <c r="E13" s="67"/>
      <c r="F13" s="66">
        <f>+'COL. CONS.$'!F13/'COLOMBIA USD'!$AI$4*1000</f>
        <v>0</v>
      </c>
      <c r="G13" s="67">
        <f t="shared" si="1"/>
        <v>0</v>
      </c>
      <c r="H13" s="66">
        <f>+'COL. CONS.$'!H13/'COLOMBIA USD'!$AI$3*1000</f>
        <v>0</v>
      </c>
      <c r="I13" s="68">
        <f t="shared" si="2"/>
        <v>0</v>
      </c>
      <c r="J13" s="69" t="str">
        <f t="shared" si="6"/>
        <v/>
      </c>
      <c r="K13" s="69" t="str">
        <f t="shared" si="7"/>
        <v/>
      </c>
      <c r="L13" s="66">
        <f>+'COL. CONS.$'!L13/'COLOMBIA USD'!$AI$3*1000</f>
        <v>0</v>
      </c>
      <c r="M13" s="67">
        <f t="shared" si="3"/>
        <v>0</v>
      </c>
      <c r="N13" s="66">
        <f>+'COL. CONS.$'!N13/'COLOMBIA USD'!$AI$4*1000</f>
        <v>0</v>
      </c>
      <c r="O13" s="67">
        <f t="shared" si="4"/>
        <v>0</v>
      </c>
      <c r="P13" s="66">
        <f>+'COL. CONS.$'!P13/'COLOMBIA USD'!$AI$3*1000</f>
        <v>0</v>
      </c>
      <c r="Q13" s="67">
        <f t="shared" si="5"/>
        <v>0</v>
      </c>
      <c r="R13" s="69" t="str">
        <f>IF(L13=0,"",(P13-L13)/ABS(L13)+1)</f>
        <v/>
      </c>
      <c r="S13" s="69" t="str">
        <f>IF(N13=0,"",(P13-N13)/ABS(N13))</f>
        <v/>
      </c>
      <c r="T13" s="115"/>
      <c r="U13" s="102"/>
      <c r="V13" s="265"/>
      <c r="W13" s="81" t="s">
        <v>51</v>
      </c>
      <c r="X13" s="90">
        <f>'COLOMB$ '!X13/'COLOMBIA USD'!$AI$5*1000</f>
        <v>213451.47058823527</v>
      </c>
      <c r="Y13" s="90">
        <f>'COLOMB$ '!Y13/'COLOMBIA USD'!$AI$4*1000</f>
        <v>153846.35697260089</v>
      </c>
      <c r="Z13" s="91">
        <f>'COLOMB$ '!Z13/'COLOMBIA USD'!$AI$3*1000</f>
        <v>179320.94524578509</v>
      </c>
      <c r="AA13" s="261">
        <f>'COLOMB$ '!AA13/'COLOMBIA USD'!$AI$5*1000</f>
        <v>935440</v>
      </c>
      <c r="AB13" s="90">
        <f>'COLOMB$ '!AB13/'COLOMBIA USD'!$AI$4*1000</f>
        <v>692439.6608625626</v>
      </c>
      <c r="AC13" s="262">
        <f>'COLOMB$ '!AC13/'COLOMBIA USD'!$AI$3*1000</f>
        <v>811565.7832598387</v>
      </c>
      <c r="AD13" s="85">
        <f>+AC13-AA13</f>
        <v>-123874.2167401613</v>
      </c>
      <c r="AE13" s="86">
        <f t="shared" si="11"/>
        <v>0.86757652362507343</v>
      </c>
      <c r="AF13" s="86">
        <f t="shared" si="10"/>
        <v>0.17203827153528775</v>
      </c>
      <c r="AG13" s="236"/>
    </row>
    <row r="14" spans="1:37" ht="15.75" thickBot="1" x14ac:dyDescent="0.3">
      <c r="C14" s="255" t="str">
        <f>+'COLOMB$ '!C14</f>
        <v>Fact. Visual Experience</v>
      </c>
      <c r="D14" s="66">
        <f>+'COL. CONS.$'!D14/'COLOMBIA USD'!$AI$5*1000</f>
        <v>5212.6470588235297</v>
      </c>
      <c r="E14" s="67"/>
      <c r="F14" s="66">
        <f>+'COL. CONS.$'!F14/'COLOMBIA USD'!$AI$4*1000</f>
        <v>3256.9591342592967</v>
      </c>
      <c r="G14" s="67">
        <f t="shared" si="1"/>
        <v>1.5505024265047537E-2</v>
      </c>
      <c r="H14" s="66">
        <f>+'COL. CONS.$'!H14/'COLOMBIA USD'!$AI$3*1000</f>
        <v>3224.0767774256415</v>
      </c>
      <c r="I14" s="68">
        <f t="shared" si="2"/>
        <v>1.6109531241571624E-2</v>
      </c>
      <c r="J14" s="69">
        <f t="shared" si="6"/>
        <v>0.61851046906546192</v>
      </c>
      <c r="K14" s="69">
        <f t="shared" si="7"/>
        <v>-1.0096029909547317E-2</v>
      </c>
      <c r="L14" s="66">
        <f>+'COL. CONS.$'!L14/'COLOMBIA USD'!$AI$5*1000</f>
        <v>17254.705882352941</v>
      </c>
      <c r="M14" s="67">
        <f t="shared" si="3"/>
        <v>1.7956586601826328E-2</v>
      </c>
      <c r="N14" s="66">
        <f>+'COL. CONS.$'!N14/'COLOMBIA USD'!$AI$4*1000</f>
        <v>16074.034242867416</v>
      </c>
      <c r="O14" s="67">
        <f t="shared" si="4"/>
        <v>2.2233438221484915E-2</v>
      </c>
      <c r="P14" s="66">
        <f>+'COL. CONS.$'!P14/'COLOMBIA USD'!$AI$3*1000</f>
        <v>12906.962713078032</v>
      </c>
      <c r="Q14" s="67">
        <f t="shared" si="5"/>
        <v>1.6335368312746196E-2</v>
      </c>
      <c r="R14" s="69">
        <f>IF(L14=0,"",(P14-L14)/ABS(L14)+1)</f>
        <v>0.74802565752676697</v>
      </c>
      <c r="S14" s="69">
        <f>IF(N14=0,"",(P14-N14)/ABS(N14))</f>
        <v>-0.19703028386882521</v>
      </c>
      <c r="W14" s="73" t="s">
        <v>53</v>
      </c>
      <c r="X14" s="75">
        <f>+X8-X13</f>
        <v>86315.588235294126</v>
      </c>
      <c r="Y14" s="75">
        <f>+Y8-Y13</f>
        <v>52503.389505210216</v>
      </c>
      <c r="Z14" s="75">
        <f>+Z8-Z13</f>
        <v>63932.584425669455</v>
      </c>
      <c r="AA14" s="258">
        <f t="shared" ref="AA14:AC14" si="12">+AA8-AA13</f>
        <v>176627.0588235294</v>
      </c>
      <c r="AB14" s="75">
        <f>+AB8-AB13</f>
        <v>265582.29627056024</v>
      </c>
      <c r="AC14" s="269">
        <f t="shared" si="12"/>
        <v>172498.13004157552</v>
      </c>
      <c r="AD14" s="76">
        <f>+AC14-AA14</f>
        <v>-4128.9287819538731</v>
      </c>
      <c r="AE14" s="77">
        <f t="shared" si="11"/>
        <v>0.97662346409742828</v>
      </c>
      <c r="AF14" s="77">
        <f t="shared" si="10"/>
        <v>-0.35049085551303399</v>
      </c>
      <c r="AG14" s="236"/>
    </row>
    <row r="15" spans="1:37" x14ac:dyDescent="0.25">
      <c r="C15" s="255" t="str">
        <f>+'COL. CONS.$'!C15</f>
        <v>Fac.   Olfa Experience</v>
      </c>
      <c r="D15" s="66">
        <f>+'COL. CONS.$'!D15/'COLOMBIA USD'!$AI$5*1000</f>
        <v>31407.058823529413</v>
      </c>
      <c r="E15" s="67"/>
      <c r="F15" s="66">
        <f>+'COL. CONS.$'!F15/'COLOMBIA USD'!$AI$4*1000</f>
        <v>20634.124092014572</v>
      </c>
      <c r="G15" s="67">
        <f t="shared" si="1"/>
        <v>9.8230460238012018E-2</v>
      </c>
      <c r="H15" s="66">
        <f>+'COL. CONS.$'!H15/'COLOMBIA USD'!$AI$3*1000</f>
        <v>27897.125258744363</v>
      </c>
      <c r="I15" s="68">
        <f t="shared" si="2"/>
        <v>0.13939172108197231</v>
      </c>
      <c r="J15" s="69">
        <f t="shared" si="6"/>
        <v>0.88824379944308918</v>
      </c>
      <c r="K15" s="69">
        <f t="shared" si="7"/>
        <v>0.35198979779037876</v>
      </c>
      <c r="L15" s="66">
        <f>+'COL. CONS.$'!L15/'COLOMBIA USD'!$AI$5*1000</f>
        <v>124634.41176470589</v>
      </c>
      <c r="M15" s="67">
        <f t="shared" si="3"/>
        <v>0.12970424553625812</v>
      </c>
      <c r="N15" s="66">
        <f>+'COL. CONS.$'!N15/'COLOMBIA USD'!$AI$4*1000</f>
        <v>78931.331388756473</v>
      </c>
      <c r="O15" s="67">
        <f t="shared" si="4"/>
        <v>0.1091770027148091</v>
      </c>
      <c r="P15" s="66">
        <f>+'COL. CONS.$'!P15/'COLOMBIA USD'!$AI$3*1000</f>
        <v>102888.03006351055</v>
      </c>
      <c r="Q15" s="67">
        <f t="shared" si="5"/>
        <v>0.13021761226267109</v>
      </c>
      <c r="R15" s="69">
        <f>IF(L15=0,"",(P15-L15)/ABS(L15)+1)</f>
        <v>0.82551863972969386</v>
      </c>
      <c r="S15" s="69">
        <f>IF(N15=0,"",(P15-N15)/ABS(N15))</f>
        <v>0.30351317092019353</v>
      </c>
      <c r="W15" s="89"/>
      <c r="X15" s="97"/>
      <c r="Y15" s="101"/>
      <c r="Z15" s="270"/>
      <c r="AA15" s="271"/>
      <c r="AB15" s="101"/>
      <c r="AC15" s="272"/>
      <c r="AD15" s="103"/>
      <c r="AE15" s="102"/>
      <c r="AF15" s="102"/>
      <c r="AG15" s="236"/>
    </row>
    <row r="16" spans="1:37" ht="15.75" thickBot="1" x14ac:dyDescent="0.3">
      <c r="C16" s="255" t="str">
        <f>+'COLOMB$ '!C16</f>
        <v>Facturacion Locutor virtual</v>
      </c>
      <c r="D16" s="66"/>
      <c r="E16" s="67"/>
      <c r="F16" s="66">
        <f>+'COL. CONS.$'!F16/'COLOMBIA USD'!$AI$4*1000</f>
        <v>9159.9651484423193</v>
      </c>
      <c r="G16" s="67"/>
      <c r="H16" s="66"/>
      <c r="I16" s="68"/>
      <c r="J16" s="69"/>
      <c r="K16" s="69"/>
      <c r="L16" s="66"/>
      <c r="M16" s="67"/>
      <c r="N16" s="66"/>
      <c r="O16" s="68"/>
      <c r="P16" s="66"/>
      <c r="Q16" s="68"/>
      <c r="R16" s="69"/>
      <c r="S16" s="67"/>
      <c r="W16" s="89"/>
      <c r="X16" s="97"/>
      <c r="Y16" s="101"/>
      <c r="Z16" s="270"/>
      <c r="AA16" s="271"/>
      <c r="AB16" s="101"/>
      <c r="AC16" s="272"/>
      <c r="AD16" s="103"/>
      <c r="AE16" s="102"/>
      <c r="AF16" s="102" t="str">
        <f t="shared" si="10"/>
        <v/>
      </c>
      <c r="AG16" s="236"/>
    </row>
    <row r="17" spans="1:35" x14ac:dyDescent="0.25">
      <c r="B17" s="11"/>
      <c r="C17" s="104" t="s">
        <v>58</v>
      </c>
      <c r="D17" s="105">
        <f>SUM(D7:D16)</f>
        <v>253425</v>
      </c>
      <c r="E17" s="106">
        <f t="shared" ref="E17:E34" si="13">+D17/$D$17</f>
        <v>1</v>
      </c>
      <c r="F17" s="105">
        <f>+'COL. CONS.$'!F17/'COLOMBIA USD'!$AI$4*1000</f>
        <v>210058.30617120361</v>
      </c>
      <c r="G17" s="106">
        <f t="shared" ref="G17:G34" si="14">+F17/$F$17</f>
        <v>1</v>
      </c>
      <c r="H17" s="105">
        <f>SUM(H7:H16)</f>
        <v>200134.73570886505</v>
      </c>
      <c r="I17" s="107">
        <f t="shared" ref="I17:I34" si="15">+H17/$H$17</f>
        <v>1</v>
      </c>
      <c r="J17" s="108">
        <f t="shared" si="6"/>
        <v>0.78971978182446501</v>
      </c>
      <c r="K17" s="108">
        <f t="shared" si="7"/>
        <v>-4.7241980777711169E-2</v>
      </c>
      <c r="L17" s="105">
        <f>SUM(L7:L16)</f>
        <v>960912.3529411765</v>
      </c>
      <c r="M17" s="106">
        <f t="shared" ref="M17:M34" si="16">+L17/$L$17</f>
        <v>1</v>
      </c>
      <c r="N17" s="105">
        <f>SUM(N7:N14)</f>
        <v>722966.64522784145</v>
      </c>
      <c r="O17" s="273">
        <f t="shared" ref="O17:O34" si="17">+N17/$N$17</f>
        <v>1</v>
      </c>
      <c r="P17" s="105">
        <f>SUM(P7:P16)</f>
        <v>790123.76494792337</v>
      </c>
      <c r="Q17" s="107">
        <f t="shared" ref="Q17:Q34" si="18">+P17/$P$17</f>
        <v>1</v>
      </c>
      <c r="R17" s="108">
        <f t="shared" si="8"/>
        <v>0.82226413525593611</v>
      </c>
      <c r="S17" s="109">
        <f t="shared" si="9"/>
        <v>9.2891034687938454E-2</v>
      </c>
      <c r="T17" s="115"/>
      <c r="U17" s="86">
        <f t="shared" ref="U17:U30" si="19">+H21/D21</f>
        <v>0.82856186903105322</v>
      </c>
      <c r="V17" s="260" t="s">
        <v>122</v>
      </c>
      <c r="W17" s="81" t="s">
        <v>59</v>
      </c>
      <c r="X17" s="82">
        <f>+'COL. CONS.$'!X17/'COLOMBIA USD'!AI5*1000</f>
        <v>92860.882352941175</v>
      </c>
      <c r="Y17" s="90">
        <f>'COLOMB$ '!Y17/'COLOMBIA USD'!$AI$4*1000</f>
        <v>236104.03482462448</v>
      </c>
      <c r="Z17" s="82">
        <f>+Z7+Z14</f>
        <v>83661.991054567639</v>
      </c>
      <c r="AA17" s="261">
        <f>'COLOMB$ '!AA17/'COLOMBIA USD'!$AI$5*1000</f>
        <v>319095.29411764711</v>
      </c>
      <c r="AB17" s="82">
        <f>'COLOMB$ '!AB17/'COLOMBIA USD'!$AI$4*1000</f>
        <v>424629.56133901101</v>
      </c>
      <c r="AC17" s="274">
        <f>+'COL. CONS.$'!AC17/'COLOMBIA USD'!AI3*1000</f>
        <v>294625.97307797999</v>
      </c>
      <c r="AD17" s="85">
        <f>+AC17-AA17</f>
        <v>-24469.32103966712</v>
      </c>
      <c r="AE17" s="86">
        <f t="shared" si="11"/>
        <v>0.92331657191207106</v>
      </c>
      <c r="AF17" s="86">
        <f t="shared" si="10"/>
        <v>-0.30615764915443605</v>
      </c>
      <c r="AG17" s="236"/>
    </row>
    <row r="18" spans="1:35" x14ac:dyDescent="0.25">
      <c r="B18" s="11" t="s">
        <v>101</v>
      </c>
      <c r="C18" s="112" t="s">
        <v>60</v>
      </c>
      <c r="D18" s="114">
        <f>+'COL. CONS.$'!D18/'COLOMBIA USD'!$AI$5*1000</f>
        <v>21251.76470588235</v>
      </c>
      <c r="E18" s="113">
        <f t="shared" si="13"/>
        <v>8.385820146347972E-2</v>
      </c>
      <c r="F18" s="114">
        <f>+'COL. CONS.$'!F18/'COLOMBIA USD'!$AI$4*1000</f>
        <v>10094.825076961612</v>
      </c>
      <c r="G18" s="113">
        <f t="shared" si="14"/>
        <v>4.8057252583642351E-2</v>
      </c>
      <c r="H18" s="114">
        <f>+'COL. CONS.$'!H18/'COLOMBIA USD'!$AI$3*1000</f>
        <v>19389.118751370937</v>
      </c>
      <c r="I18" s="115">
        <f t="shared" si="15"/>
        <v>9.6880327558811111E-2</v>
      </c>
      <c r="J18" s="116">
        <f t="shared" si="6"/>
        <v>0.91235335134329598</v>
      </c>
      <c r="K18" s="116">
        <f t="shared" si="7"/>
        <v>0.92069883366485894</v>
      </c>
      <c r="L18" s="117">
        <f>+'COL. CONS.$'!L18/'COLOMBIA USD'!$AI$5*1000</f>
        <v>77431.470588235301</v>
      </c>
      <c r="M18" s="113">
        <f t="shared" si="16"/>
        <v>8.0581200097211536E-2</v>
      </c>
      <c r="N18" s="117">
        <f>+'COL. CONS.$'!N18/'COLOMBIA USD'!$AI$4*1000</f>
        <v>43259.238641597251</v>
      </c>
      <c r="O18" s="113">
        <f t="shared" si="17"/>
        <v>5.9835732294349749E-2</v>
      </c>
      <c r="P18" s="114">
        <f>+'COL. CONS.$'!P18/'COLOMBIA USD'!$AI$3*1000</f>
        <v>59651.183509947638</v>
      </c>
      <c r="Q18" s="115">
        <f t="shared" si="18"/>
        <v>7.5495999685415385E-2</v>
      </c>
      <c r="R18" s="116">
        <f t="shared" si="8"/>
        <v>0.77037389393209921</v>
      </c>
      <c r="S18" s="118">
        <f t="shared" si="9"/>
        <v>0.37892356368445673</v>
      </c>
      <c r="T18" s="115"/>
      <c r="U18" s="263">
        <f t="shared" si="19"/>
        <v>0.85312257243177581</v>
      </c>
      <c r="V18" s="260"/>
      <c r="W18" s="81" t="s">
        <v>61</v>
      </c>
      <c r="X18" s="82">
        <f>'COLOMB$ '!X18/'COLOMBIA USD'!$AI$5*1000</f>
        <v>0</v>
      </c>
      <c r="Y18" s="90">
        <f>'COLOMB$ '!Y18/'COLOMBIA USD'!$AI$4*1000</f>
        <v>0</v>
      </c>
      <c r="Z18" s="91">
        <f>'COLOMB$ '!Z18/'COLOMBIA USD'!$AI$3*1000</f>
        <v>12925.419600783607</v>
      </c>
      <c r="AA18" s="261">
        <f>'COLOMB$ '!AA18/'COLOMBIA USD'!$AI$5*1000</f>
        <v>129594.41176470589</v>
      </c>
      <c r="AB18" s="82">
        <f>'COLOMB$ '!AB18/'COLOMBIA USD'!$AI$4*1000</f>
        <v>70.549356431243595</v>
      </c>
      <c r="AC18" s="262">
        <f>'COLOMB$ '!AC18/'COLOMBIA USD'!$AI$3*1000</f>
        <v>120787.11711507286</v>
      </c>
      <c r="AD18" s="85">
        <f t="shared" ref="AD18:AD22" si="20">+AC18-AA18</f>
        <v>-8807.294649633026</v>
      </c>
      <c r="AE18" s="86">
        <f t="shared" si="11"/>
        <v>0.93203954916185949</v>
      </c>
      <c r="AF18" s="86">
        <f t="shared" si="10"/>
        <v>1711.0938194920357</v>
      </c>
      <c r="AG18" s="236"/>
      <c r="AH18" s="149"/>
    </row>
    <row r="19" spans="1:35" ht="15.75" thickBot="1" x14ac:dyDescent="0.3">
      <c r="B19" s="11"/>
      <c r="C19" s="119" t="s">
        <v>62</v>
      </c>
      <c r="D19" s="120">
        <f>D17-D18</f>
        <v>232173.23529411765</v>
      </c>
      <c r="E19" s="121">
        <f t="shared" si="13"/>
        <v>0.91614179853652022</v>
      </c>
      <c r="F19" s="120">
        <f>+'COL. CONS.$'!F19/'COLOMBIA USD'!$AI$4*1000</f>
        <v>199963.48109424199</v>
      </c>
      <c r="G19" s="121">
        <f t="shared" si="14"/>
        <v>0.95194274741635754</v>
      </c>
      <c r="H19" s="120">
        <f>H17-H18</f>
        <v>180745.61695749412</v>
      </c>
      <c r="I19" s="122">
        <f t="shared" si="15"/>
        <v>0.90311967244118896</v>
      </c>
      <c r="J19" s="123">
        <f t="shared" si="6"/>
        <v>0.77849463022094301</v>
      </c>
      <c r="K19" s="123">
        <f t="shared" si="7"/>
        <v>-9.6106869272247611E-2</v>
      </c>
      <c r="L19" s="120">
        <f>L17-L18</f>
        <v>883480.8823529412</v>
      </c>
      <c r="M19" s="121">
        <f t="shared" si="16"/>
        <v>0.91941879990278841</v>
      </c>
      <c r="N19" s="120">
        <f>N17-N18</f>
        <v>679707.40658624424</v>
      </c>
      <c r="O19" s="275">
        <f t="shared" si="17"/>
        <v>0.94016426770565031</v>
      </c>
      <c r="P19" s="120">
        <f>P17-P18</f>
        <v>730472.58143797575</v>
      </c>
      <c r="Q19" s="122">
        <f t="shared" si="18"/>
        <v>0.92450400031458468</v>
      </c>
      <c r="R19" s="124">
        <f t="shared" si="8"/>
        <v>0.82681198430976321</v>
      </c>
      <c r="S19" s="125">
        <f t="shared" si="9"/>
        <v>7.4686805469273948E-2</v>
      </c>
      <c r="T19" s="115"/>
      <c r="U19" s="86">
        <f t="shared" si="19"/>
        <v>0.86784505200701856</v>
      </c>
      <c r="V19" s="276"/>
      <c r="W19" s="81" t="s">
        <v>63</v>
      </c>
      <c r="X19" s="82">
        <f>'COLOMB$ '!X19/'COLOMBIA USD'!$AI$5*1000</f>
        <v>14914.411764705883</v>
      </c>
      <c r="Y19" s="90">
        <f>'COLOMB$ '!Y19/'COLOMBIA USD'!$AI$4*1000</f>
        <v>15335.567199674648</v>
      </c>
      <c r="Z19" s="91">
        <f>'COLOMB$ '!Z19/'COLOMBIA USD'!$AI$3*1000</f>
        <v>11423.489686783803</v>
      </c>
      <c r="AA19" s="261">
        <f>'COLOMB$ '!AA19/'COLOMBIA USD'!$AI$5*1000</f>
        <v>179190.29411764705</v>
      </c>
      <c r="AB19" s="82">
        <f>'COLOMB$ '!AB19/'COLOMBIA USD'!$AI$4*1000</f>
        <v>159185.6673130634</v>
      </c>
      <c r="AC19" s="262">
        <f>'COLOMB$ '!AC19/'COLOMBIA USD'!$AI$3*1000</f>
        <v>164134.39143326099</v>
      </c>
      <c r="AD19" s="85">
        <f t="shared" si="20"/>
        <v>-15055.902684386063</v>
      </c>
      <c r="AE19" s="86">
        <f t="shared" si="11"/>
        <v>0.91597813509641801</v>
      </c>
      <c r="AF19" s="86">
        <f t="shared" si="10"/>
        <v>3.1087749316432794E-2</v>
      </c>
      <c r="AG19" s="236"/>
      <c r="AH19" s="149"/>
    </row>
    <row r="20" spans="1:35" x14ac:dyDescent="0.25">
      <c r="B20" s="11" t="s">
        <v>102</v>
      </c>
      <c r="C20" s="81" t="s">
        <v>64</v>
      </c>
      <c r="D20" s="83">
        <f>+'COL. CONS.$'!D20/'COLOMBIA USD'!$AI$5*1000</f>
        <v>56375.882352941175</v>
      </c>
      <c r="E20" s="126">
        <f t="shared" si="13"/>
        <v>0.22245588380365464</v>
      </c>
      <c r="F20" s="83">
        <f>+'COL. CONS.$'!F20/'COLOMBIA USD'!$AI$4*1000</f>
        <v>38774.224997239347</v>
      </c>
      <c r="G20" s="126">
        <f t="shared" si="14"/>
        <v>0.18458791610762218</v>
      </c>
      <c r="H20" s="83">
        <f>+'COL. CONS.$'!H20/'COLOMBIA USD'!$AI$3*1000</f>
        <v>50199.530432875225</v>
      </c>
      <c r="I20" s="127">
        <f t="shared" si="15"/>
        <v>0.25082867426822009</v>
      </c>
      <c r="J20" s="128">
        <f t="shared" si="6"/>
        <v>0.89044336581024308</v>
      </c>
      <c r="K20" s="128">
        <f t="shared" si="7"/>
        <v>0.2946623803944331</v>
      </c>
      <c r="L20" s="83">
        <f>+'COL. CONS.$'!L20/'COLOMBIA USD'!$AI$5*1000</f>
        <v>216684.70588235295</v>
      </c>
      <c r="M20" s="126">
        <f t="shared" si="16"/>
        <v>0.22549892840811214</v>
      </c>
      <c r="N20" s="83">
        <f>+'COL. CONS.$'!N20/'COLOMBIA USD'!$AI$4*1000</f>
        <v>165217.02193708945</v>
      </c>
      <c r="O20" s="126">
        <f t="shared" si="17"/>
        <v>0.22852647909506482</v>
      </c>
      <c r="P20" s="83">
        <f>+'COL. CONS.$'!P20/'COLOMBIA USD'!$AI$3*1000</f>
        <v>194748.31768386925</v>
      </c>
      <c r="Q20" s="127">
        <f t="shared" si="18"/>
        <v>0.24647824343912123</v>
      </c>
      <c r="R20" s="128">
        <f t="shared" si="8"/>
        <v>0.89876356012687908</v>
      </c>
      <c r="S20" s="128">
        <f t="shared" si="9"/>
        <v>0.17874245280867357</v>
      </c>
      <c r="T20" s="277"/>
      <c r="U20" s="86">
        <f t="shared" si="19"/>
        <v>0.83822143505905433</v>
      </c>
      <c r="V20" s="276"/>
      <c r="W20" s="81" t="s">
        <v>65</v>
      </c>
      <c r="X20" s="82">
        <f>'COLOMB$ '!X20/'COLOMBIA USD'!$AI$5*1000</f>
        <v>21516.176470588234</v>
      </c>
      <c r="Y20" s="90">
        <f>'COLOMB$ '!Y20/'COLOMBIA USD'!$AI$4*1000</f>
        <v>14418.484695210471</v>
      </c>
      <c r="Z20" s="266">
        <f>'COLOMB$ '!Z20/'COLOMBIA USD'!$AI$3*1000</f>
        <v>-1616.1088402957942</v>
      </c>
      <c r="AA20" s="267">
        <f>'COLOMB$ '!AA20/'COLOMBIA USD'!$AI$5*1000</f>
        <v>-46119.705882352937</v>
      </c>
      <c r="AB20" s="82">
        <f>'COLOMB$ '!AB20/'COLOMBIA USD'!$AI$4*1000</f>
        <v>59023.159220984191</v>
      </c>
      <c r="AC20" s="268">
        <f>'COLOMB$ '!AC20/'COLOMBIA USD'!$AI$3*1000</f>
        <v>-51214.516071775244</v>
      </c>
      <c r="AD20" s="85">
        <f t="shared" si="20"/>
        <v>-5094.8101894223073</v>
      </c>
      <c r="AE20" s="86">
        <f t="shared" si="11"/>
        <v>0.88953073112784597</v>
      </c>
      <c r="AF20" s="86">
        <f t="shared" si="10"/>
        <v>-1.8677020469207148</v>
      </c>
      <c r="AG20" s="236"/>
      <c r="AH20" s="149"/>
    </row>
    <row r="21" spans="1:35" ht="15.75" thickBot="1" x14ac:dyDescent="0.3">
      <c r="B21" s="11" t="s">
        <v>103</v>
      </c>
      <c r="C21" s="81" t="s">
        <v>66</v>
      </c>
      <c r="D21" s="83">
        <f>+'COL. CONS.$'!D21/'COLOMBIA USD'!$AI$5*1000</f>
        <v>85665</v>
      </c>
      <c r="E21" s="126">
        <f t="shared" si="13"/>
        <v>0.33802900266350994</v>
      </c>
      <c r="F21" s="83">
        <f>+'COL. CONS.$'!F21/'COLOMBIA USD'!$AI$4*1000</f>
        <v>80079.398099593585</v>
      </c>
      <c r="G21" s="126">
        <f t="shared" si="14"/>
        <v>0.3812246207218607</v>
      </c>
      <c r="H21" s="83">
        <f>+'COL. CONS.$'!H21/'COLOMBIA USD'!$AI$3*1000</f>
        <v>70978.752510545179</v>
      </c>
      <c r="I21" s="127">
        <f t="shared" si="15"/>
        <v>0.35465483919691781</v>
      </c>
      <c r="J21" s="128">
        <f t="shared" si="6"/>
        <v>0.82856186903105322</v>
      </c>
      <c r="K21" s="128">
        <f t="shared" si="7"/>
        <v>-0.11364527962273226</v>
      </c>
      <c r="L21" s="83">
        <f>+'COL. CONS.$'!L21/'COLOMBIA USD'!$AI$5*1000</f>
        <v>333660.58823529416</v>
      </c>
      <c r="M21" s="126">
        <f t="shared" si="16"/>
        <v>0.34723311362791859</v>
      </c>
      <c r="N21" s="83">
        <f>+'COL. CONS.$'!N21/'COLOMBIA USD'!$AI$4*1000</f>
        <v>315841.89539684722</v>
      </c>
      <c r="O21" s="126">
        <f t="shared" si="17"/>
        <v>0.43686924906101343</v>
      </c>
      <c r="P21" s="83">
        <f>+'COL. CONS.$'!P21/'COLOMBIA USD'!$AI$3*1000</f>
        <v>275639.12077846442</v>
      </c>
      <c r="Q21" s="127">
        <f t="shared" si="18"/>
        <v>0.34885562617728838</v>
      </c>
      <c r="R21" s="128">
        <f t="shared" si="8"/>
        <v>0.82610632030680964</v>
      </c>
      <c r="S21" s="128">
        <f t="shared" si="9"/>
        <v>-0.1272876562745707</v>
      </c>
      <c r="T21" s="277"/>
      <c r="U21" s="263">
        <f t="shared" si="19"/>
        <v>0.84512982940692571</v>
      </c>
      <c r="V21" s="265">
        <v>2101</v>
      </c>
      <c r="W21" s="81" t="s">
        <v>67</v>
      </c>
      <c r="X21" s="82">
        <f>'COLOMB$ '!X21/'COLOMBIA USD'!$AI$5*1000</f>
        <v>22794.117647058822</v>
      </c>
      <c r="Y21" s="90">
        <f>'COLOMB$ '!Y21/'COLOMBIA USD'!$AI$4*1000</f>
        <v>0</v>
      </c>
      <c r="Z21" s="91">
        <f>'COLOMB$ '!Z21/'COLOMBIA USD'!$AI$3*1000</f>
        <v>15044.420324385379</v>
      </c>
      <c r="AA21" s="261">
        <f>'COLOMB$ '!AA21/'COLOMBIA USD'!$AI$5*1000</f>
        <v>22794.117647058822</v>
      </c>
      <c r="AB21" s="82">
        <f>'COLOMB$ '!AB21/'COLOMBIA USD'!$AI$4*1000</f>
        <v>0</v>
      </c>
      <c r="AC21" s="262">
        <f>'COLOMB$ '!AC21/'COLOMBIA USD'!$AI$3*1000</f>
        <v>15044.420324385379</v>
      </c>
      <c r="AD21" s="85">
        <f t="shared" si="20"/>
        <v>-7749.6973226734426</v>
      </c>
      <c r="AE21" s="86">
        <f t="shared" si="11"/>
        <v>0.66001327874722959</v>
      </c>
      <c r="AF21" s="86" t="str">
        <f t="shared" si="10"/>
        <v/>
      </c>
      <c r="AG21" s="236"/>
    </row>
    <row r="22" spans="1:35" ht="15.75" thickBot="1" x14ac:dyDescent="0.3">
      <c r="B22" s="11"/>
      <c r="C22" s="112" t="s">
        <v>68</v>
      </c>
      <c r="D22" s="117">
        <f>SUM(D20:D21)</f>
        <v>142040.88235294117</v>
      </c>
      <c r="E22" s="113">
        <f t="shared" si="13"/>
        <v>0.56048488646716454</v>
      </c>
      <c r="F22" s="114">
        <f>+'COL. CONS.$'!F22/'COLOMBIA USD'!$AI$4*1000</f>
        <v>118853.62309683293</v>
      </c>
      <c r="G22" s="113">
        <f t="shared" si="14"/>
        <v>0.56581253682948285</v>
      </c>
      <c r="H22" s="117">
        <f>SUM(H20:H21)</f>
        <v>121178.2829434204</v>
      </c>
      <c r="I22" s="115">
        <f t="shared" si="15"/>
        <v>0.60548351346513785</v>
      </c>
      <c r="J22" s="116">
        <f t="shared" si="6"/>
        <v>0.85312257243177581</v>
      </c>
      <c r="K22" s="116">
        <f t="shared" si="7"/>
        <v>1.9559015417590708E-2</v>
      </c>
      <c r="L22" s="117">
        <f>SUM(L20:L21)</f>
        <v>550345.29411764711</v>
      </c>
      <c r="M22" s="113">
        <f t="shared" si="16"/>
        <v>0.57273204203603079</v>
      </c>
      <c r="N22" s="117">
        <f>SUM(N20:N21)</f>
        <v>481058.91733393667</v>
      </c>
      <c r="O22" s="113">
        <f t="shared" si="17"/>
        <v>0.66539572815607828</v>
      </c>
      <c r="P22" s="117">
        <f>SUM(P20:P21)</f>
        <v>470387.43846233364</v>
      </c>
      <c r="Q22" s="115">
        <f t="shared" si="18"/>
        <v>0.59533386961640955</v>
      </c>
      <c r="R22" s="116">
        <f t="shared" si="8"/>
        <v>0.8547132927092479</v>
      </c>
      <c r="S22" s="116">
        <f t="shared" si="9"/>
        <v>-2.2183309542924884E-2</v>
      </c>
      <c r="T22" s="277"/>
      <c r="U22" s="263">
        <f t="shared" si="19"/>
        <v>0.85060241665082836</v>
      </c>
      <c r="V22" s="260" t="s">
        <v>123</v>
      </c>
      <c r="W22" s="73" t="s">
        <v>74</v>
      </c>
      <c r="X22" s="75">
        <f>+X17-X18-X19-X20-X21</f>
        <v>33636.176470588223</v>
      </c>
      <c r="Y22" s="75">
        <f>+Y17-Y18-Y19-Y20-Y21</f>
        <v>206349.98292973937</v>
      </c>
      <c r="Z22" s="75">
        <f>+Z17-Z18-Z19-Z20-Z21</f>
        <v>45884.770282910657</v>
      </c>
      <c r="AA22" s="278">
        <f>'COLOMB$ '!AA22/'COLOMBIA USD'!$AI$5*1000</f>
        <v>33636.176470588231</v>
      </c>
      <c r="AB22" s="279">
        <f>+AB17-AB18-AB19-AB20-AB21</f>
        <v>206350.18544853217</v>
      </c>
      <c r="AC22" s="280">
        <f>+'COL. CONS.$'!AC22/'COLOMBIA USD'!AI3*1000</f>
        <v>45874.560277036027</v>
      </c>
      <c r="AD22" s="76">
        <f t="shared" si="20"/>
        <v>12238.383806447797</v>
      </c>
      <c r="AE22" s="77">
        <f t="shared" ref="AE22" si="21">IF(X22=0,"",(Z22-X22)/ABS(X22)+1)</f>
        <v>1.3641494098781624</v>
      </c>
      <c r="AF22" s="77">
        <f t="shared" si="10"/>
        <v>-0.7776858781235354</v>
      </c>
      <c r="AG22" s="236"/>
    </row>
    <row r="23" spans="1:35" s="139" customFormat="1" ht="15.75" thickBot="1" x14ac:dyDescent="0.3">
      <c r="B23" s="139" t="s">
        <v>104</v>
      </c>
      <c r="C23" s="281" t="s">
        <v>70</v>
      </c>
      <c r="D23" s="282">
        <f>+'COL. CONS.$'!D23/'COLOMBIA USD'!$AI$5*1000</f>
        <v>15254.117647058823</v>
      </c>
      <c r="E23" s="283">
        <f t="shared" si="13"/>
        <v>6.0191842348066779E-2</v>
      </c>
      <c r="F23" s="282">
        <f>+'COL. CONS.$'!F23/'COLOMBIA USD'!$AI$4*1000</f>
        <v>11135.811187511616</v>
      </c>
      <c r="G23" s="283">
        <f t="shared" si="14"/>
        <v>5.3012953357986267E-2</v>
      </c>
      <c r="H23" s="282">
        <f>+'COL. CONS.$'!H23/'COLOMBIA USD'!$AI$3*1000</f>
        <v>13238.210522732945</v>
      </c>
      <c r="I23" s="284">
        <f t="shared" si="15"/>
        <v>6.6146491141800101E-2</v>
      </c>
      <c r="J23" s="285">
        <f t="shared" si="6"/>
        <v>0.86784505200701867</v>
      </c>
      <c r="K23" s="285">
        <f t="shared" si="7"/>
        <v>0.18879624481951429</v>
      </c>
      <c r="L23" s="282">
        <f>+'COL. CONS.$'!L23/'COLOMBIA USD'!$AI$5*1000</f>
        <v>60096.176470588231</v>
      </c>
      <c r="M23" s="283">
        <f t="shared" si="16"/>
        <v>6.2540747120842871E-2</v>
      </c>
      <c r="N23" s="282">
        <f>+'COL. CONS.$'!N23/'COLOMBIA USD'!$AI$4*1000</f>
        <v>45129.248701146549</v>
      </c>
      <c r="O23" s="283">
        <f t="shared" si="17"/>
        <v>6.2422310903325506E-2</v>
      </c>
      <c r="P23" s="282">
        <f>+'COL. CONS.$'!P23/'COLOMBIA USD'!$AI$3*1000</f>
        <v>48981.48973720902</v>
      </c>
      <c r="Q23" s="284">
        <f t="shared" si="18"/>
        <v>6.1992173770950128E-2</v>
      </c>
      <c r="R23" s="285">
        <f t="shared" si="8"/>
        <v>0.81505168238417181</v>
      </c>
      <c r="S23" s="285">
        <f t="shared" si="9"/>
        <v>8.536018539933285E-2</v>
      </c>
      <c r="T23" s="286"/>
      <c r="U23" s="287">
        <f t="shared" si="19"/>
        <v>0.17340569285302268</v>
      </c>
      <c r="V23" s="288" t="s">
        <v>124</v>
      </c>
      <c r="X23" s="289"/>
      <c r="Y23" s="289"/>
      <c r="Z23" s="289"/>
      <c r="AA23" s="289"/>
      <c r="AB23" s="289"/>
      <c r="AC23" s="289"/>
      <c r="AD23" s="289"/>
      <c r="AE23" s="289"/>
      <c r="AF23" s="289"/>
    </row>
    <row r="24" spans="1:35" s="139" customFormat="1" x14ac:dyDescent="0.25">
      <c r="A24" s="139" t="s">
        <v>105</v>
      </c>
      <c r="B24" s="139" t="s">
        <v>106</v>
      </c>
      <c r="C24" s="281" t="s">
        <v>72</v>
      </c>
      <c r="D24" s="282">
        <f>+'COL. CONS.$'!D24/'COLOMBIA USD'!$AI$5*1000</f>
        <v>50156.470588235294</v>
      </c>
      <c r="E24" s="283">
        <f t="shared" si="13"/>
        <v>0.19791445432863883</v>
      </c>
      <c r="F24" s="282">
        <f>+'COL. CONS.$'!F24/'COLOMBIA USD'!$AI$4*1000</f>
        <v>50888.815238264535</v>
      </c>
      <c r="G24" s="283">
        <f t="shared" si="14"/>
        <v>0.24226042838214965</v>
      </c>
      <c r="H24" s="282">
        <f>+'COL. CONS.$'!H24/'COLOMBIA USD'!$AI$3*1000</f>
        <v>42042.228753967836</v>
      </c>
      <c r="I24" s="284">
        <f t="shared" si="15"/>
        <v>0.21006962437108592</v>
      </c>
      <c r="J24" s="285">
        <f t="shared" si="6"/>
        <v>0.83822143505905422</v>
      </c>
      <c r="K24" s="285">
        <f t="shared" si="7"/>
        <v>-0.17384147072154149</v>
      </c>
      <c r="L24" s="282">
        <f>+'COL. CONS.$'!L24/'COLOMBIA USD'!$AI$5*1000</f>
        <v>216769.11764705883</v>
      </c>
      <c r="M24" s="283">
        <f t="shared" si="16"/>
        <v>0.22558677384422035</v>
      </c>
      <c r="N24" s="282">
        <f>+'COL. CONS.$'!N24/'COLOMBIA USD'!$AI$4*1000</f>
        <v>167937.09757089493</v>
      </c>
      <c r="O24" s="283">
        <f t="shared" si="17"/>
        <v>0.23228885963054338</v>
      </c>
      <c r="P24" s="282">
        <f>+'COL. CONS.$'!P24/'COLOMBIA USD'!$AI$3*1000</f>
        <v>177924.70663368853</v>
      </c>
      <c r="Q24" s="284">
        <f t="shared" si="18"/>
        <v>0.22518586900802237</v>
      </c>
      <c r="R24" s="285">
        <f t="shared" si="8"/>
        <v>0.8208028365155946</v>
      </c>
      <c r="S24" s="285">
        <f t="shared" si="9"/>
        <v>5.9472321525488557E-2</v>
      </c>
      <c r="T24" s="286"/>
      <c r="U24" s="283">
        <f t="shared" si="19"/>
        <v>6.4541006868544013</v>
      </c>
      <c r="V24" s="288" t="s">
        <v>125</v>
      </c>
      <c r="X24" s="289"/>
      <c r="Y24" s="289"/>
      <c r="Z24" s="289"/>
      <c r="AA24" s="289"/>
      <c r="AB24" s="289"/>
      <c r="AC24" s="289"/>
      <c r="AD24" s="289"/>
      <c r="AE24" s="289"/>
      <c r="AF24" s="289"/>
    </row>
    <row r="25" spans="1:35" s="139" customFormat="1" ht="15.75" thickBot="1" x14ac:dyDescent="0.3">
      <c r="C25" s="290" t="s">
        <v>73</v>
      </c>
      <c r="D25" s="291">
        <f>SUM(D23:D24)</f>
        <v>65410.588235294119</v>
      </c>
      <c r="E25" s="292">
        <f t="shared" si="13"/>
        <v>0.25810629667670559</v>
      </c>
      <c r="F25" s="291">
        <f>SUM(F23:F24)</f>
        <v>62024.62642577615</v>
      </c>
      <c r="G25" s="292">
        <f t="shared" si="14"/>
        <v>0.2952733817401359</v>
      </c>
      <c r="H25" s="291">
        <f>SUM(H23:H24)</f>
        <v>55280.439276700781</v>
      </c>
      <c r="I25" s="293">
        <f t="shared" si="15"/>
        <v>0.276216115512886</v>
      </c>
      <c r="J25" s="294">
        <f t="shared" si="6"/>
        <v>0.84512982940692571</v>
      </c>
      <c r="K25" s="294">
        <f t="shared" si="7"/>
        <v>-0.10873402288276621</v>
      </c>
      <c r="L25" s="291">
        <f>SUM(L23:L24)</f>
        <v>276865.29411764705</v>
      </c>
      <c r="M25" s="292">
        <f t="shared" si="16"/>
        <v>0.28812752096506322</v>
      </c>
      <c r="N25" s="291">
        <f>SUM(N23:N24)</f>
        <v>213066.34627204147</v>
      </c>
      <c r="O25" s="292">
        <f t="shared" si="17"/>
        <v>0.29471117053386886</v>
      </c>
      <c r="P25" s="291">
        <f>SUM(P23:P24)</f>
        <v>226906.19637089755</v>
      </c>
      <c r="Q25" s="293">
        <f t="shared" si="18"/>
        <v>0.28717804277897252</v>
      </c>
      <c r="R25" s="294">
        <f t="shared" si="8"/>
        <v>0.8195544952430166</v>
      </c>
      <c r="S25" s="294">
        <f t="shared" si="9"/>
        <v>6.4955589378650494E-2</v>
      </c>
      <c r="T25" s="286"/>
      <c r="U25" s="283">
        <f t="shared" si="19"/>
        <v>0.82836841423157537</v>
      </c>
      <c r="V25" s="295"/>
      <c r="X25" s="289"/>
      <c r="Y25" s="289"/>
      <c r="Z25" s="289"/>
      <c r="AA25" s="289"/>
      <c r="AB25" s="289"/>
      <c r="AC25" s="289"/>
      <c r="AD25" s="289"/>
    </row>
    <row r="26" spans="1:35" s="139" customFormat="1" ht="15.75" thickBot="1" x14ac:dyDescent="0.3">
      <c r="C26" s="290" t="s">
        <v>75</v>
      </c>
      <c r="D26" s="291">
        <f>+D22+D25</f>
        <v>207451.4705882353</v>
      </c>
      <c r="E26" s="292">
        <f t="shared" si="13"/>
        <v>0.81859118314387014</v>
      </c>
      <c r="F26" s="291">
        <f>+F22+F25</f>
        <v>180878.24952260908</v>
      </c>
      <c r="G26" s="292">
        <f t="shared" si="14"/>
        <v>0.8610859185696188</v>
      </c>
      <c r="H26" s="291">
        <f>+H22+H25</f>
        <v>176458.72222012118</v>
      </c>
      <c r="I26" s="293">
        <f t="shared" si="15"/>
        <v>0.8816996289780239</v>
      </c>
      <c r="J26" s="294">
        <f t="shared" si="6"/>
        <v>0.85060241665082836</v>
      </c>
      <c r="K26" s="294">
        <f t="shared" si="7"/>
        <v>-2.4433713363283489E-2</v>
      </c>
      <c r="L26" s="291">
        <f>+L22+L25</f>
        <v>827210.58823529421</v>
      </c>
      <c r="M26" s="292">
        <f t="shared" si="16"/>
        <v>0.86085956300109401</v>
      </c>
      <c r="N26" s="291">
        <f>+N22+N25</f>
        <v>694125.26360597811</v>
      </c>
      <c r="O26" s="292">
        <f t="shared" si="17"/>
        <v>0.96010689868994714</v>
      </c>
      <c r="P26" s="291">
        <f>+P22+P25</f>
        <v>697293.63483323122</v>
      </c>
      <c r="Q26" s="293">
        <f t="shared" si="18"/>
        <v>0.88251191239538207</v>
      </c>
      <c r="R26" s="294">
        <f t="shared" si="8"/>
        <v>0.84294573201823064</v>
      </c>
      <c r="S26" s="294">
        <f t="shared" si="9"/>
        <v>4.5645525287373E-3</v>
      </c>
      <c r="T26" s="286"/>
      <c r="U26" s="287">
        <f t="shared" si="19"/>
        <v>8.4480262129758579E-2</v>
      </c>
      <c r="V26" s="296"/>
      <c r="W26" s="139" t="s">
        <v>74</v>
      </c>
      <c r="X26" s="289"/>
      <c r="Y26" s="289"/>
      <c r="Z26" s="289"/>
      <c r="AA26" s="289"/>
      <c r="AB26" s="289"/>
      <c r="AC26" s="289"/>
      <c r="AD26" s="289"/>
    </row>
    <row r="27" spans="1:35" ht="15.75" thickBot="1" x14ac:dyDescent="0.3">
      <c r="B27" s="11"/>
      <c r="C27" s="73" t="s">
        <v>76</v>
      </c>
      <c r="D27" s="141">
        <f>D19-D26</f>
        <v>24721.76470588235</v>
      </c>
      <c r="E27" s="142">
        <f t="shared" si="13"/>
        <v>9.7550615392650086E-2</v>
      </c>
      <c r="F27" s="141">
        <f>F19-F26</f>
        <v>19085.231571632903</v>
      </c>
      <c r="G27" s="142">
        <f t="shared" si="14"/>
        <v>9.0856828846738805E-2</v>
      </c>
      <c r="H27" s="141">
        <f>H19-H26</f>
        <v>4286.8947373729316</v>
      </c>
      <c r="I27" s="143">
        <f t="shared" si="15"/>
        <v>2.142004346316501E-2</v>
      </c>
      <c r="J27" s="144">
        <f t="shared" si="6"/>
        <v>0.17340569285302265</v>
      </c>
      <c r="K27" s="144">
        <f t="shared" si="7"/>
        <v>-0.77538157075627501</v>
      </c>
      <c r="L27" s="141">
        <f>L19-L26</f>
        <v>56270.29411764699</v>
      </c>
      <c r="M27" s="142">
        <f t="shared" si="16"/>
        <v>5.8559236901694456E-2</v>
      </c>
      <c r="N27" s="141">
        <f>N19-N26</f>
        <v>-14417.85701973387</v>
      </c>
      <c r="O27" s="227">
        <f t="shared" si="17"/>
        <v>-1.994263098429681E-2</v>
      </c>
      <c r="P27" s="141">
        <f>P19-P26</f>
        <v>33178.946604744531</v>
      </c>
      <c r="Q27" s="145">
        <f t="shared" si="18"/>
        <v>4.1992087919202552E-2</v>
      </c>
      <c r="R27" s="146">
        <f t="shared" si="8"/>
        <v>0.58963520850585427</v>
      </c>
      <c r="S27" s="147">
        <f t="shared" si="9"/>
        <v>3.301239813887193</v>
      </c>
      <c r="T27" s="199"/>
      <c r="U27" s="199">
        <f t="shared" si="19"/>
        <v>0.48430374374011548</v>
      </c>
      <c r="V27" s="199"/>
      <c r="AG27" s="12"/>
      <c r="AH27" s="12"/>
      <c r="AI27" s="15"/>
    </row>
    <row r="28" spans="1:35" ht="15.75" thickBot="1" x14ac:dyDescent="0.3">
      <c r="B28" s="11" t="s">
        <v>107</v>
      </c>
      <c r="C28" s="81" t="s">
        <v>77</v>
      </c>
      <c r="D28" s="83">
        <f>+'COL. CONS.$'!D28/'COLOMBIA USD'!$AI$5*1000</f>
        <v>188.23529411764704</v>
      </c>
      <c r="E28" s="126">
        <f t="shared" si="13"/>
        <v>7.4276529197059109E-4</v>
      </c>
      <c r="F28" s="83">
        <f>+'COL. CONS.$'!F28/'COLOMBIA USD'!$AI$4*1000</f>
        <v>10551.049605563323</v>
      </c>
      <c r="G28" s="126">
        <f t="shared" si="14"/>
        <v>5.0229147315716767E-2</v>
      </c>
      <c r="H28" s="83">
        <f>+'COL. CONS.$'!H28/'COLOMBIA USD'!$AI$3*1000</f>
        <v>1214.889541054946</v>
      </c>
      <c r="I28" s="127">
        <f t="shared" si="15"/>
        <v>6.0703582351753242E-3</v>
      </c>
      <c r="J28" s="128">
        <f t="shared" si="6"/>
        <v>6.4541006868544013</v>
      </c>
      <c r="K28" s="128">
        <f t="shared" si="7"/>
        <v>-0.88485604878453383</v>
      </c>
      <c r="L28" s="83">
        <f>+'COL. CONS.$'!L28/'COLOMBIA USD'!$AI$5*1000</f>
        <v>752.94117647058818</v>
      </c>
      <c r="M28" s="126">
        <f t="shared" si="16"/>
        <v>7.8356904681886261E-4</v>
      </c>
      <c r="N28" s="83">
        <f>+'COL. CONS.$'!N28/'COLOMBIA USD'!$AI$4*1000</f>
        <v>43103.963518983866</v>
      </c>
      <c r="O28" s="126">
        <f t="shared" si="17"/>
        <v>5.962095734776221E-2</v>
      </c>
      <c r="P28" s="83">
        <f>+'COL. CONS.$'!P28/'COLOMBIA USD'!$AI$3*1000</f>
        <v>2055.3116933542092</v>
      </c>
      <c r="Q28" s="127">
        <f t="shared" si="18"/>
        <v>2.6012528473810348E-3</v>
      </c>
      <c r="R28" s="148">
        <f t="shared" si="8"/>
        <v>2.7297108427360595</v>
      </c>
      <c r="S28" s="148">
        <f t="shared" si="9"/>
        <v>-0.95231733869557011</v>
      </c>
      <c r="T28" s="115"/>
      <c r="U28" s="77">
        <f t="shared" si="19"/>
        <v>-0.49735082759430482</v>
      </c>
      <c r="V28" s="297"/>
      <c r="X28" s="236"/>
      <c r="Y28" s="236"/>
      <c r="Z28" s="236"/>
      <c r="AA28" s="236"/>
      <c r="AB28" s="236"/>
      <c r="AC28" s="236"/>
      <c r="AD28" s="236"/>
      <c r="AE28" s="236"/>
      <c r="AF28" s="236"/>
    </row>
    <row r="29" spans="1:35" ht="15.75" thickBot="1" x14ac:dyDescent="0.3">
      <c r="B29" s="11" t="s">
        <v>108</v>
      </c>
      <c r="C29" s="81" t="s">
        <v>78</v>
      </c>
      <c r="D29" s="83">
        <f>+'COL. CONS.$'!D29/'COLOMBIA USD'!$AI$5*1000</f>
        <v>4567.0588235294117</v>
      </c>
      <c r="E29" s="126">
        <f t="shared" si="13"/>
        <v>1.8021342896436466E-2</v>
      </c>
      <c r="F29" s="83">
        <f>+'COL. CONS.$'!F29/'COLOMBIA USD'!$AI$4*1000</f>
        <v>3237.7418237545417</v>
      </c>
      <c r="G29" s="126">
        <f t="shared" si="14"/>
        <v>1.5413538663477978E-2</v>
      </c>
      <c r="H29" s="83">
        <f>+'COL. CONS.$'!H29/'COLOMBIA USD'!$AI$3*1000</f>
        <v>3783.2072753493831</v>
      </c>
      <c r="I29" s="127">
        <f t="shared" si="15"/>
        <v>1.8903301628023207E-2</v>
      </c>
      <c r="J29" s="128">
        <f t="shared" si="6"/>
        <v>0.82836841423157537</v>
      </c>
      <c r="K29" s="128">
        <f t="shared" si="7"/>
        <v>0.16847095330235756</v>
      </c>
      <c r="L29" s="83">
        <f>+'COL. CONS.$'!L29/'COLOMBIA USD'!$AI$5*1000</f>
        <v>18270.882352941175</v>
      </c>
      <c r="M29" s="126">
        <f t="shared" si="16"/>
        <v>1.9014098733372876E-2</v>
      </c>
      <c r="N29" s="83">
        <f>+'COL. CONS.$'!N29/'COLOMBIA USD'!$AI$4*1000</f>
        <v>33718.603995809193</v>
      </c>
      <c r="O29" s="126">
        <f t="shared" si="17"/>
        <v>4.6639224946792457E-2</v>
      </c>
      <c r="P29" s="83">
        <f>+'COL. CONS.$'!P29/'COLOMBIA USD'!$AI$3*1000</f>
        <v>17644.711915729389</v>
      </c>
      <c r="Q29" s="127">
        <f t="shared" si="18"/>
        <v>2.2331579808756091E-2</v>
      </c>
      <c r="R29" s="148">
        <f t="shared" si="8"/>
        <v>0.96572850587530668</v>
      </c>
      <c r="S29" s="148">
        <f t="shared" si="9"/>
        <v>-0.47670692659985542</v>
      </c>
      <c r="T29" s="115"/>
      <c r="U29" s="77">
        <f t="shared" si="19"/>
        <v>0.56009651476684919</v>
      </c>
      <c r="V29" s="297"/>
      <c r="X29" s="236"/>
      <c r="Y29" s="236"/>
      <c r="Z29" s="236"/>
      <c r="AA29" s="236"/>
      <c r="AB29" s="236"/>
      <c r="AC29" s="236"/>
      <c r="AD29" s="236"/>
    </row>
    <row r="30" spans="1:35" ht="15.75" thickBot="1" x14ac:dyDescent="0.3">
      <c r="B30" s="11"/>
      <c r="C30" s="73" t="s">
        <v>79</v>
      </c>
      <c r="D30" s="141">
        <f>+D27+D28-D29</f>
        <v>20342.941176470584</v>
      </c>
      <c r="E30" s="142">
        <f t="shared" si="13"/>
        <v>8.0272037788184217E-2</v>
      </c>
      <c r="F30" s="141">
        <f>+F27+F28-F29</f>
        <v>26398.539353441683</v>
      </c>
      <c r="G30" s="142">
        <f t="shared" si="14"/>
        <v>0.12567243749897758</v>
      </c>
      <c r="H30" s="141">
        <f>H27+H28-H29</f>
        <v>1718.5770030784943</v>
      </c>
      <c r="I30" s="143">
        <f t="shared" si="15"/>
        <v>8.5871000703171257E-3</v>
      </c>
      <c r="J30" s="144">
        <f t="shared" si="6"/>
        <v>8.4480262129758676E-2</v>
      </c>
      <c r="K30" s="144">
        <f t="shared" si="7"/>
        <v>-0.93489878435814144</v>
      </c>
      <c r="L30" s="141">
        <f>L27+L28-L29</f>
        <v>38752.352941176403</v>
      </c>
      <c r="M30" s="142">
        <f t="shared" si="16"/>
        <v>4.0328707215140439E-2</v>
      </c>
      <c r="N30" s="141">
        <f>N27+N28-N29</f>
        <v>-5032.4974965591973</v>
      </c>
      <c r="O30" s="142">
        <f t="shared" si="17"/>
        <v>-6.9608985833270577E-3</v>
      </c>
      <c r="P30" s="141">
        <f>P27+P28-P29</f>
        <v>17589.546382369354</v>
      </c>
      <c r="Q30" s="143">
        <f t="shared" si="18"/>
        <v>2.22617609578275E-2</v>
      </c>
      <c r="R30" s="144">
        <f t="shared" si="8"/>
        <v>0.45389621654894508</v>
      </c>
      <c r="S30" s="144">
        <f t="shared" si="9"/>
        <v>4.4951922766768631</v>
      </c>
      <c r="T30" s="115"/>
      <c r="U30" s="298">
        <f t="shared" si="19"/>
        <v>0.83178084991592849</v>
      </c>
      <c r="V30" s="297"/>
    </row>
    <row r="31" spans="1:35" ht="15.75" thickBot="1" x14ac:dyDescent="0.3">
      <c r="B31" s="11" t="s">
        <v>109</v>
      </c>
      <c r="C31" s="81" t="s">
        <v>63</v>
      </c>
      <c r="D31" s="83">
        <f>+'COL. CONS.$'!D31/'COLOMBIA USD'!$AI$5*1000</f>
        <v>12057.35294117647</v>
      </c>
      <c r="E31" s="126">
        <f t="shared" si="13"/>
        <v>4.7577598663022476E-2</v>
      </c>
      <c r="F31" s="83">
        <f>+'COL. CONS.$'!F31/'COLOMBIA USD'!$AI$4*1000</f>
        <v>8558.6984801596609</v>
      </c>
      <c r="G31" s="126">
        <f t="shared" si="14"/>
        <v>4.0744394431058935E-2</v>
      </c>
      <c r="H31" s="83">
        <f>+'COL. CONS.$'!H31/'COLOMBIA USD'!$AI$3*1000</f>
        <v>5839.4211690076572</v>
      </c>
      <c r="I31" s="127">
        <f t="shared" si="15"/>
        <v>2.9177449623248974E-2</v>
      </c>
      <c r="J31" s="128">
        <f t="shared" si="6"/>
        <v>0.48430374374011553</v>
      </c>
      <c r="K31" s="128">
        <f t="shared" si="7"/>
        <v>-0.31772089149485683</v>
      </c>
      <c r="L31" s="83">
        <f>+'COL. CONS.$'!L31/'COLOMBIA USD'!$AI$5*1000</f>
        <v>32134.117647058822</v>
      </c>
      <c r="M31" s="126">
        <f t="shared" si="16"/>
        <v>3.3441257726266271E-2</v>
      </c>
      <c r="N31" s="83">
        <f>+'COL. CONS.$'!N31/'COLOMBIA USD'!$AI$4*1000</f>
        <v>36061.729272884462</v>
      </c>
      <c r="O31" s="126">
        <f t="shared" si="17"/>
        <v>4.9880211640358156E-2</v>
      </c>
      <c r="P31" s="83">
        <f>+'COL. CONS.$'!P31/'COLOMBIA USD'!$AI$3*1000</f>
        <v>26652.233458639981</v>
      </c>
      <c r="Q31" s="127">
        <f t="shared" si="18"/>
        <v>3.3731719815308446E-2</v>
      </c>
      <c r="R31" s="148">
        <f t="shared" si="8"/>
        <v>0.82940610821717753</v>
      </c>
      <c r="S31" s="148">
        <f t="shared" si="9"/>
        <v>-0.26092747086645313</v>
      </c>
      <c r="T31" s="115"/>
    </row>
    <row r="32" spans="1:35" ht="15.75" thickBot="1" x14ac:dyDescent="0.3">
      <c r="B32" s="11"/>
      <c r="C32" s="73" t="s">
        <v>80</v>
      </c>
      <c r="D32" s="141">
        <f>D30-D31</f>
        <v>8285.5882352941135</v>
      </c>
      <c r="E32" s="142">
        <f t="shared" si="13"/>
        <v>3.2694439125161741E-2</v>
      </c>
      <c r="F32" s="141">
        <f>F30-F31</f>
        <v>17839.840873282024</v>
      </c>
      <c r="G32" s="142">
        <f t="shared" si="14"/>
        <v>8.4928043067918665E-2</v>
      </c>
      <c r="H32" s="141">
        <f>H30-H31</f>
        <v>-4120.844165929163</v>
      </c>
      <c r="I32" s="143">
        <f t="shared" si="15"/>
        <v>-2.0590349552931847E-2</v>
      </c>
      <c r="J32" s="144">
        <f t="shared" si="6"/>
        <v>-0.4973508275943046</v>
      </c>
      <c r="K32" s="144">
        <f t="shared" si="7"/>
        <v>-1.2309910831155886</v>
      </c>
      <c r="L32" s="141">
        <f>L30-L31</f>
        <v>6618.2352941175814</v>
      </c>
      <c r="M32" s="142">
        <f t="shared" si="16"/>
        <v>6.8874494888741689E-3</v>
      </c>
      <c r="N32" s="141">
        <f>N30-N31</f>
        <v>-41094.22676944366</v>
      </c>
      <c r="O32" s="142">
        <f t="shared" si="17"/>
        <v>-5.6841110223685216E-2</v>
      </c>
      <c r="P32" s="141">
        <f>P30-P31</f>
        <v>-9062.6870762706276</v>
      </c>
      <c r="Q32" s="143">
        <f t="shared" si="18"/>
        <v>-1.1469958857480948E-2</v>
      </c>
      <c r="R32" s="144">
        <f t="shared" si="8"/>
        <v>-1.3693509936592498</v>
      </c>
      <c r="S32" s="144">
        <f t="shared" si="9"/>
        <v>0.77946568681980044</v>
      </c>
      <c r="T32" s="115"/>
    </row>
    <row r="33" spans="2:29" ht="15.75" thickBot="1" x14ac:dyDescent="0.3">
      <c r="B33" s="11"/>
      <c r="C33" s="73" t="s">
        <v>82</v>
      </c>
      <c r="D33" s="141">
        <f>+'COL. CONS.$'!D33/'COLOMBIA USD'!$AI$5*1000</f>
        <v>50313.823529411762</v>
      </c>
      <c r="E33" s="142">
        <f t="shared" si="13"/>
        <v>0.19853535968989547</v>
      </c>
      <c r="F33" s="141">
        <f>+'COL. CONS.$'!F33/'COLOMBIA USD'!$AI$4*1000</f>
        <v>26667.019383822342</v>
      </c>
      <c r="G33" s="142">
        <f t="shared" si="14"/>
        <v>0.12695055896569948</v>
      </c>
      <c r="H33" s="141">
        <f>+'COL. CONS.$'!H33/'COLOMBIA USD'!$AI$3*1000</f>
        <v>28180.597203417819</v>
      </c>
      <c r="I33" s="143">
        <f t="shared" si="15"/>
        <v>0.14080812660332981</v>
      </c>
      <c r="J33" s="144">
        <f t="shared" si="6"/>
        <v>0.56009651476684919</v>
      </c>
      <c r="K33" s="144">
        <f t="shared" si="7"/>
        <v>5.6758417497296133E-2</v>
      </c>
      <c r="L33" s="141">
        <f>+'COL. CONS.$'!L33/'COLOMBIA USD'!$AI$5*1000</f>
        <v>157634.11764705883</v>
      </c>
      <c r="M33" s="142">
        <f t="shared" si="16"/>
        <v>0.16404630158470718</v>
      </c>
      <c r="N33" s="141">
        <f>+'COL. CONS.$'!N33/'COLOMBIA USD'!$AI$4*1000</f>
        <v>140205.46572615925</v>
      </c>
      <c r="O33" s="142">
        <f t="shared" si="17"/>
        <v>0.19393075275550753</v>
      </c>
      <c r="P33" s="141">
        <f>+'COL. CONS.$'!P33/'COLOMBIA USD'!$AI$3*1000</f>
        <v>129427.08376635975</v>
      </c>
      <c r="Q33" s="143">
        <f t="shared" si="18"/>
        <v>0.16380608900542337</v>
      </c>
      <c r="R33" s="144">
        <f t="shared" si="8"/>
        <v>0.82106009598851981</v>
      </c>
      <c r="S33" s="144">
        <f t="shared" si="9"/>
        <v>-7.6875618963751238E-2</v>
      </c>
      <c r="T33" s="115"/>
    </row>
    <row r="34" spans="2:29" ht="15.75" thickBot="1" x14ac:dyDescent="0.3">
      <c r="B34" s="11" t="s">
        <v>110</v>
      </c>
      <c r="C34" s="153" t="s">
        <v>46</v>
      </c>
      <c r="D34" s="158">
        <f>+'COL. CONS.$'!D34/'COLOMBIA USD'!$AI$5*1000</f>
        <v>105353.82352941178</v>
      </c>
      <c r="E34" s="155">
        <f t="shared" si="13"/>
        <v>0.41571993106209637</v>
      </c>
      <c r="F34" s="158">
        <f>+'COL. CONS.$'!F34/'COLOMBIA USD'!$AI$4*1000</f>
        <v>88172.498242608868</v>
      </c>
      <c r="G34" s="155">
        <f t="shared" si="14"/>
        <v>0.41975249562731276</v>
      </c>
      <c r="H34" s="158">
        <f>+'COL. CONS.$'!H34/'COLOMBIA USD'!$AI$3*1000</f>
        <v>87631.292877186876</v>
      </c>
      <c r="I34" s="156">
        <f t="shared" si="15"/>
        <v>0.43786148649709494</v>
      </c>
      <c r="J34" s="157">
        <f t="shared" si="6"/>
        <v>0.83178084991592849</v>
      </c>
      <c r="K34" s="157">
        <f t="shared" si="7"/>
        <v>-6.1380291611206513E-3</v>
      </c>
      <c r="L34" s="158">
        <f>+'COL. CONS.$'!L34/'COLOMBIA USD'!$AI$5*1000</f>
        <v>413562.9411764706</v>
      </c>
      <c r="M34" s="155">
        <f t="shared" si="16"/>
        <v>0.4303857057416634</v>
      </c>
      <c r="N34" s="158">
        <f>+'COL. CONS.$'!N34/'COLOMBIA USD'!$AI$4*1000</f>
        <v>343346.67388476362</v>
      </c>
      <c r="O34" s="155">
        <f t="shared" si="17"/>
        <v>0.47491357471485923</v>
      </c>
      <c r="P34" s="158">
        <f>+'COL. CONS.$'!P34/'COLOMBIA USD'!$AI$3*1000</f>
        <v>343273.90898753743</v>
      </c>
      <c r="Q34" s="159">
        <f t="shared" si="18"/>
        <v>0.43445587161925503</v>
      </c>
      <c r="R34" s="160">
        <f t="shared" si="8"/>
        <v>0.83004030296094578</v>
      </c>
      <c r="S34" s="160">
        <f t="shared" si="9"/>
        <v>-2.1192835917962965E-4</v>
      </c>
      <c r="Z34" s="149"/>
      <c r="AA34" s="149"/>
      <c r="AB34" s="149"/>
      <c r="AC34" s="149"/>
    </row>
    <row r="35" spans="2:29" s="138" customFormat="1" ht="11.25" customHeight="1" x14ac:dyDescent="0.25">
      <c r="C35" s="299" t="s">
        <v>74</v>
      </c>
      <c r="D35" s="300">
        <f>+('COLOMB$ '!D32+'PROY SAT$'!D32)/$AI$5*1000</f>
        <v>21355.588235294119</v>
      </c>
      <c r="E35" s="15"/>
      <c r="F35" s="15">
        <f>+('COLOMB$ '!F32+'PROY SAT$'!F32)/$AI$4*1000</f>
        <v>17839.840873282032</v>
      </c>
      <c r="G35" s="15"/>
      <c r="H35" s="15">
        <f>+('COLOMB$ '!H32+'PROY SAT$'!H32)/$AI$3*1000</f>
        <v>9100.5358712341767</v>
      </c>
      <c r="I35" s="15" t="e">
        <f>+('COLOMB$ '!I32+'PROY SAT$'!I32)/$AI$3*1000</f>
        <v>#DIV/0!</v>
      </c>
      <c r="J35" s="15"/>
      <c r="K35" s="15"/>
      <c r="L35" s="15">
        <f>+('COLOMB$ '!L32+'PROY SAT$'!L32)/$AI$5*1000</f>
        <v>57128.235294117643</v>
      </c>
      <c r="M35" s="15">
        <f>+('COLOMB$ '!M32+'PROY SAT$'!M32)/$AI$3*1000</f>
        <v>-8.0129909745236857E-2</v>
      </c>
      <c r="N35" s="15">
        <f>+('COLOMB$ '!N32+'PROY SAT$'!N32)/$AI$4*1000</f>
        <v>74307.754705902815</v>
      </c>
      <c r="O35" s="15">
        <f>+('COLOMB$ '!O32+'PROY SAT$'!O32)/$AI$3*1000</f>
        <v>-6.8778523375314577</v>
      </c>
      <c r="P35" s="15">
        <f>+('COLOMB$ '!P32+'PROY SAT$'!P32)/$AI$3*1000</f>
        <v>43521.60547063101</v>
      </c>
      <c r="Q35" s="15" t="e">
        <f>+('COLOMB$ '!Q32+'PROY SAT$'!Q32)/$AI$3*1000</f>
        <v>#DIV/0!</v>
      </c>
      <c r="R35" s="15">
        <f>+('COLOMB$ '!R32+'PROY SAT$'!R32)/$AI$3*1000</f>
        <v>-3.1896683185340025</v>
      </c>
      <c r="S35" s="15">
        <f>+('COLOMB$ '!S32+'PROY SAT$'!S32)/$AI$3*1000</f>
        <v>-0.32054629118706146</v>
      </c>
      <c r="T35" s="15"/>
    </row>
    <row r="36" spans="2:29" s="138" customFormat="1" x14ac:dyDescent="0.25">
      <c r="C36" s="20"/>
      <c r="D36" s="224">
        <f>+('COLOMB$ '!D33+'PROY SAT$'!D33)/$AI$5*1000</f>
        <v>50313.823529411762</v>
      </c>
      <c r="E36" s="20"/>
      <c r="F36" s="20">
        <f>+('COLOMB$ '!F33+'PROY SAT$'!F33)/$AI$4*1000</f>
        <v>26667.019383822342</v>
      </c>
      <c r="G36" s="20"/>
      <c r="H36" s="20">
        <f>+('COLOMB$ '!H33+'PROY SAT$'!H33)/$AI$3*1000</f>
        <v>28180.597203417819</v>
      </c>
      <c r="I36" s="20" t="e">
        <f>+('COLOMB$ '!I33+'PROY SAT$'!I33)/$AI$3*1000</f>
        <v>#DIV/0!</v>
      </c>
      <c r="J36" s="20"/>
      <c r="K36" s="20"/>
      <c r="L36" s="15">
        <f>+('COLOMB$ '!L33+'PROY SAT$'!L33)/$AI$5*1000</f>
        <v>157634.11764705883</v>
      </c>
      <c r="M36" s="15">
        <f>+('COLOMB$ '!M33+'PROY SAT$'!M33)/$AI$3*1000</f>
        <v>-0.1087811452969929</v>
      </c>
      <c r="N36" s="15">
        <f>+('COLOMB$ '!N33+'PROY SAT$'!N33)/$AI$4*1000</f>
        <v>140205.46572615925</v>
      </c>
      <c r="O36" s="15">
        <f>+('COLOMB$ '!O33+'PROY SAT$'!O33)/$AI$3*1000</f>
        <v>-0.10907051401120268</v>
      </c>
      <c r="P36" s="15">
        <f>+('COLOMB$ '!P33+'PROY SAT$'!P33)/$AI$3*1000</f>
        <v>129427.08376635975</v>
      </c>
      <c r="Q36" s="15" t="e">
        <f>+('COLOMB$ '!Q33+'PROY SAT$'!Q33)/$AI$3*1000</f>
        <v>#DIV/0!</v>
      </c>
      <c r="R36" s="15">
        <f>+('COLOMB$ '!R33+'PROY SAT$'!R33)/$AI$3*1000</f>
        <v>-5.3220938614168808E-2</v>
      </c>
      <c r="S36" s="15">
        <f>+('COLOMB$ '!S33+'PROY SAT$'!S33)/$AI$3*1000</f>
        <v>-6.935189680492476</v>
      </c>
      <c r="T36" s="15"/>
    </row>
    <row r="37" spans="2:29" s="138" customFormat="1" x14ac:dyDescent="0.25">
      <c r="C37" s="20"/>
      <c r="D37" s="224">
        <f>+('COLOMB$ '!D34+'PROY SAT$'!D34)/$AI$5*1000</f>
        <v>105353.82352941178</v>
      </c>
      <c r="E37" s="20"/>
      <c r="F37" s="20">
        <f>+('COLOMB$ '!F34+'PROY SAT$'!F34)/$AI$4*1000</f>
        <v>88172.498242608868</v>
      </c>
      <c r="G37" s="20"/>
      <c r="H37" s="20">
        <f>+('COLOMB$ '!H34+'PROY SAT$'!H34)/$AI$3*1000</f>
        <v>87631.292877186876</v>
      </c>
      <c r="I37" s="20" t="e">
        <f>+('COLOMB$ '!I34+'PROY SAT$'!I34)/$AI$3*1000</f>
        <v>#DIV/0!</v>
      </c>
      <c r="J37" s="20"/>
      <c r="K37" s="20"/>
      <c r="L37" s="15">
        <f>+('COLOMB$ '!L34+'PROY SAT$'!L34)/$AI$5*1000</f>
        <v>413562.9411764706</v>
      </c>
      <c r="M37" s="15">
        <f>+('COLOMB$ '!M34+'PROY SAT$'!M34)/$AI$3*1000</f>
        <v>0.10323448934734765</v>
      </c>
      <c r="N37" s="15">
        <f>+('COLOMB$ '!N34+'PROY SAT$'!N34)/$AI$4*1000</f>
        <v>343346.67388476362</v>
      </c>
      <c r="O37" s="15">
        <f>+('COLOMB$ '!O34+'PROY SAT$'!O34)/$AI$3*1000</f>
        <v>0.10327323465965015</v>
      </c>
      <c r="P37" s="15">
        <f>+('COLOMB$ '!P34+'PROY SAT$'!P34)/$AI$3*1000</f>
        <v>343273.90898753743</v>
      </c>
      <c r="Q37" s="15" t="e">
        <f>+('COLOMB$ '!Q34+'PROY SAT$'!Q34)/$AI$3*1000</f>
        <v>#DIV/0!</v>
      </c>
      <c r="R37" s="15" t="e">
        <f>+('COLOMB$ '!R34+'PROY SAT$'!R34)/$AI$3*1000</f>
        <v>#VALUE!</v>
      </c>
      <c r="S37" s="15" t="e">
        <f>+('COLOMB$ '!S34+'PROY SAT$'!S34)/$AI$3*1000</f>
        <v>#VALUE!</v>
      </c>
      <c r="T37" s="15"/>
    </row>
    <row r="38" spans="2:29" s="191" customFormat="1" x14ac:dyDescent="0.25">
      <c r="C38" s="20"/>
      <c r="D38" s="20"/>
      <c r="E38" s="20"/>
      <c r="F38" s="20"/>
      <c r="G38" s="20"/>
      <c r="H38" s="20"/>
      <c r="I38" s="20"/>
      <c r="J38" s="20"/>
      <c r="K38" s="20"/>
      <c r="L38" s="12"/>
      <c r="M38" s="12"/>
      <c r="N38" s="12"/>
      <c r="O38" s="12"/>
      <c r="P38" s="12"/>
      <c r="Q38" s="12"/>
      <c r="R38" s="12"/>
      <c r="S38" s="12"/>
      <c r="T38" s="12"/>
    </row>
    <row r="39" spans="2:29" s="12" customFormat="1" x14ac:dyDescent="0.25">
      <c r="C39" s="20"/>
      <c r="D39" s="20"/>
      <c r="E39" s="20"/>
      <c r="F39" s="20"/>
      <c r="G39" s="20"/>
      <c r="H39" s="20"/>
      <c r="I39" s="20"/>
      <c r="J39" s="20"/>
      <c r="K39" s="20"/>
    </row>
    <row r="40" spans="2:29" s="12" customFormat="1" x14ac:dyDescent="0.25">
      <c r="N40" s="301"/>
      <c r="O40" s="302"/>
    </row>
    <row r="41" spans="2:29" s="20" customFormat="1" x14ac:dyDescent="0.25">
      <c r="C41" s="15"/>
      <c r="D41" s="300"/>
      <c r="E41" s="15"/>
      <c r="F41" s="15"/>
      <c r="G41" s="15"/>
      <c r="H41" s="15"/>
      <c r="I41" s="15"/>
      <c r="J41" s="15"/>
      <c r="K41" s="15"/>
      <c r="L41" s="12"/>
      <c r="M41" s="15"/>
      <c r="N41" s="15"/>
      <c r="O41" s="15"/>
      <c r="P41" s="15"/>
      <c r="Q41" s="15"/>
      <c r="R41" s="15"/>
      <c r="S41" s="15"/>
    </row>
    <row r="44" spans="2:29" x14ac:dyDescent="0.25">
      <c r="B44" s="10" t="s">
        <v>83</v>
      </c>
      <c r="D44" s="303"/>
      <c r="E44" s="303"/>
      <c r="F44" s="304"/>
      <c r="G44" s="303"/>
      <c r="H44" s="303"/>
      <c r="I44" s="303"/>
      <c r="J44" s="303"/>
      <c r="K44" s="303"/>
      <c r="L44" s="303"/>
      <c r="M44" s="303"/>
      <c r="O44" s="303"/>
      <c r="P44" s="303"/>
    </row>
    <row r="47" spans="2:29" x14ac:dyDescent="0.25">
      <c r="N47" s="304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90B22-52DE-4807-9C08-9C12B93B8EA8}">
  <sheetPr>
    <tabColor rgb="FFFF0000"/>
  </sheetPr>
  <dimension ref="A1:AQ73"/>
  <sheetViews>
    <sheetView topLeftCell="X4" zoomScale="88" zoomScaleNormal="88" workbookViewId="0">
      <selection activeCell="AE32" sqref="AE32"/>
    </sheetView>
  </sheetViews>
  <sheetFormatPr baseColWidth="10" defaultRowHeight="12.75" x14ac:dyDescent="0.2"/>
  <cols>
    <col min="1" max="1" width="4.28515625" style="35" hidden="1" customWidth="1"/>
    <col min="2" max="2" width="12.42578125" style="35" customWidth="1"/>
    <col min="3" max="3" width="36.140625" style="35" customWidth="1"/>
    <col min="4" max="4" width="10.140625" style="35" customWidth="1"/>
    <col min="5" max="5" width="10.7109375" style="35" customWidth="1"/>
    <col min="6" max="6" width="9.7109375" style="35" customWidth="1"/>
    <col min="7" max="7" width="7.85546875" style="35" customWidth="1"/>
    <col min="8" max="8" width="10.85546875" style="35" customWidth="1"/>
    <col min="9" max="9" width="7.28515625" style="35" customWidth="1"/>
    <col min="10" max="10" width="7.140625" style="35" customWidth="1"/>
    <col min="11" max="11" width="9.85546875" style="35" customWidth="1"/>
    <col min="12" max="12" width="10.85546875" style="35" customWidth="1"/>
    <col min="13" max="13" width="6.140625" style="35" customWidth="1"/>
    <col min="14" max="14" width="10.140625" style="310" customWidth="1"/>
    <col min="15" max="15" width="6.85546875" style="35" customWidth="1"/>
    <col min="16" max="16" width="12.28515625" style="35" customWidth="1"/>
    <col min="17" max="17" width="7.28515625" style="35" customWidth="1"/>
    <col min="18" max="19" width="8.140625" style="35" customWidth="1"/>
    <col min="20" max="22" width="10.7109375" style="311" customWidth="1"/>
    <col min="23" max="23" width="34.42578125" style="35" customWidth="1"/>
    <col min="24" max="24" width="10.140625" style="35" customWidth="1"/>
    <col min="25" max="25" width="9.85546875" style="35" customWidth="1"/>
    <col min="26" max="26" width="10.42578125" style="35" customWidth="1"/>
    <col min="27" max="29" width="11.5703125" style="35" customWidth="1"/>
    <col min="30" max="30" width="9.28515625" style="35" customWidth="1"/>
    <col min="31" max="31" width="10.28515625" style="35" customWidth="1"/>
    <col min="32" max="32" width="7.140625" style="35" customWidth="1"/>
    <col min="33" max="35" width="11.5703125" style="162" customWidth="1"/>
    <col min="36" max="16384" width="11.42578125" style="35"/>
  </cols>
  <sheetData>
    <row r="1" spans="1:40" s="1" customFormat="1" ht="26.25" hidden="1" thickBot="1" x14ac:dyDescent="0.25">
      <c r="D1" s="1" t="s">
        <v>1</v>
      </c>
      <c r="F1" s="1" t="s">
        <v>2</v>
      </c>
      <c r="H1" s="1" t="s">
        <v>3</v>
      </c>
      <c r="L1" s="1" t="s">
        <v>5</v>
      </c>
      <c r="N1" s="305" t="s">
        <v>6</v>
      </c>
      <c r="P1" s="1" t="s">
        <v>7</v>
      </c>
      <c r="T1" s="306" t="s">
        <v>5</v>
      </c>
      <c r="U1" s="306" t="s">
        <v>6</v>
      </c>
      <c r="V1" s="306" t="s">
        <v>7</v>
      </c>
      <c r="AG1" s="307"/>
      <c r="AH1" s="307"/>
      <c r="AI1" s="307"/>
    </row>
    <row r="2" spans="1:40" ht="51.75" hidden="1" thickBot="1" x14ac:dyDescent="0.25">
      <c r="A2" s="1" t="s">
        <v>8</v>
      </c>
      <c r="B2" s="308">
        <v>201301</v>
      </c>
      <c r="D2" s="309">
        <f>B2</f>
        <v>201301</v>
      </c>
      <c r="F2" s="35" t="str">
        <f>CONCATENATE(LEFT(B2,4)-1,RIGHT(B2,2))</f>
        <v>201201</v>
      </c>
      <c r="H2" s="309">
        <f>B2</f>
        <v>201301</v>
      </c>
      <c r="L2" s="309" t="str">
        <f>CONCATENATE(LEFT(D2,4),"01")</f>
        <v>201301</v>
      </c>
      <c r="N2" s="310" t="str">
        <f>+F2</f>
        <v>201201</v>
      </c>
      <c r="P2" s="309">
        <f>D2</f>
        <v>201301</v>
      </c>
      <c r="T2" s="311" t="s">
        <v>10</v>
      </c>
      <c r="U2" s="311" t="s">
        <v>84</v>
      </c>
      <c r="V2" s="311">
        <v>201301</v>
      </c>
      <c r="AA2" s="312"/>
      <c r="AB2" s="312"/>
      <c r="AC2" s="312"/>
    </row>
    <row r="3" spans="1:40" ht="13.5" hidden="1" thickBot="1" x14ac:dyDescent="0.25">
      <c r="A3" s="35" t="s">
        <v>126</v>
      </c>
      <c r="B3" s="35">
        <v>2</v>
      </c>
      <c r="C3" s="313" t="s">
        <v>127</v>
      </c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4"/>
      <c r="W3" s="315" t="str">
        <f>+C3</f>
        <v>MUSICAR S.A. EL SALVADOR</v>
      </c>
      <c r="X3" s="315"/>
      <c r="Y3" s="315"/>
      <c r="Z3" s="315"/>
      <c r="AA3" s="315"/>
      <c r="AB3" s="315"/>
      <c r="AC3" s="315"/>
      <c r="AD3" s="315"/>
      <c r="AE3" s="315"/>
      <c r="AF3" s="315"/>
    </row>
    <row r="4" spans="1:40" ht="13.5" thickBot="1" x14ac:dyDescent="0.25">
      <c r="A4" s="9"/>
      <c r="B4" s="151" t="s">
        <v>128</v>
      </c>
      <c r="C4" s="21"/>
      <c r="D4" s="316" t="str">
        <f>+'COLOMB$ '!D4:K4</f>
        <v>31/04/2022</v>
      </c>
      <c r="E4" s="317"/>
      <c r="F4" s="317"/>
      <c r="G4" s="317"/>
      <c r="H4" s="318"/>
      <c r="I4" s="318"/>
      <c r="J4" s="318"/>
      <c r="K4" s="319"/>
      <c r="L4" s="316" t="s">
        <v>13</v>
      </c>
      <c r="M4" s="317"/>
      <c r="N4" s="317"/>
      <c r="O4" s="317"/>
      <c r="P4" s="318"/>
      <c r="Q4" s="318"/>
      <c r="R4" s="318"/>
      <c r="S4" s="319"/>
      <c r="T4" s="320" t="s">
        <v>13</v>
      </c>
      <c r="W4" s="312"/>
      <c r="X4" s="321" t="str">
        <f>+'COLOMB$ '!X4:Z4</f>
        <v>ABRIL</v>
      </c>
      <c r="Y4" s="322"/>
      <c r="Z4" s="322"/>
      <c r="AA4" s="323" t="str">
        <f>+'COLOMB$ '!AA4:AC4</f>
        <v>ACUM  ABRIL</v>
      </c>
      <c r="AB4" s="324"/>
      <c r="AC4" s="325"/>
      <c r="AG4" s="728" t="s">
        <v>129</v>
      </c>
      <c r="AH4" s="729"/>
      <c r="AI4" s="729"/>
      <c r="AJ4" s="162"/>
      <c r="AK4" s="326"/>
      <c r="AL4" s="326"/>
    </row>
    <row r="5" spans="1:40" ht="15.75" thickBot="1" x14ac:dyDescent="0.3">
      <c r="A5" s="9"/>
      <c r="B5" s="9"/>
      <c r="C5" s="36" t="s">
        <v>113</v>
      </c>
      <c r="D5" s="327" t="str">
        <f>+'COLOMB$ '!D5:E5</f>
        <v>Ppto 2022</v>
      </c>
      <c r="E5" s="328"/>
      <c r="F5" s="327" t="str">
        <f>+'COLOMB$ '!F5:G5</f>
        <v>Real 2021</v>
      </c>
      <c r="G5" s="328"/>
      <c r="H5" s="329" t="str">
        <f>+'COLOMB$ '!H5:I5</f>
        <v>real 2022</v>
      </c>
      <c r="I5" s="330"/>
      <c r="J5" s="331" t="s">
        <v>20</v>
      </c>
      <c r="K5" s="332" t="s">
        <v>21</v>
      </c>
      <c r="L5" s="327" t="str">
        <f>+D5</f>
        <v>Ppto 2022</v>
      </c>
      <c r="M5" s="328"/>
      <c r="N5" s="327" t="str">
        <f>+F5</f>
        <v>Real 2021</v>
      </c>
      <c r="O5" s="328"/>
      <c r="P5" s="329" t="str">
        <f>+H5</f>
        <v>real 2022</v>
      </c>
      <c r="Q5" s="330"/>
      <c r="R5" s="331" t="s">
        <v>20</v>
      </c>
      <c r="S5" s="333" t="s">
        <v>21</v>
      </c>
      <c r="T5" s="334" t="s">
        <v>130</v>
      </c>
      <c r="U5" s="335" t="s">
        <v>131</v>
      </c>
      <c r="V5" s="335" t="s">
        <v>132</v>
      </c>
      <c r="W5" s="336" t="s">
        <v>113</v>
      </c>
      <c r="X5" s="209" t="str">
        <f>+D5</f>
        <v>Ppto 2022</v>
      </c>
      <c r="Y5" s="209" t="str">
        <f>+F5</f>
        <v>Real 2021</v>
      </c>
      <c r="Z5" s="210" t="str">
        <f>+P5</f>
        <v>real 2022</v>
      </c>
      <c r="AA5" s="337" t="str">
        <f>+X5</f>
        <v>Ppto 2022</v>
      </c>
      <c r="AB5" s="337" t="str">
        <f>+Y5</f>
        <v>Real 2021</v>
      </c>
      <c r="AC5" s="338" t="str">
        <f>+Z5</f>
        <v>real 2022</v>
      </c>
      <c r="AD5" s="47" t="s">
        <v>24</v>
      </c>
      <c r="AE5" s="47" t="s">
        <v>20</v>
      </c>
      <c r="AF5" s="47" t="s">
        <v>21</v>
      </c>
      <c r="AG5" s="162" t="s">
        <v>17</v>
      </c>
      <c r="AH5" s="162" t="s">
        <v>18</v>
      </c>
      <c r="AI5" s="162" t="s">
        <v>19</v>
      </c>
      <c r="AJ5" s="162"/>
      <c r="AK5" s="326"/>
      <c r="AL5" s="326"/>
    </row>
    <row r="6" spans="1:40" ht="13.5" thickBot="1" x14ac:dyDescent="0.25">
      <c r="A6" s="9"/>
      <c r="B6" s="9"/>
      <c r="C6" s="339" t="s">
        <v>26</v>
      </c>
      <c r="D6" s="59" t="s">
        <v>27</v>
      </c>
      <c r="E6" s="340" t="s">
        <v>28</v>
      </c>
      <c r="F6" s="59" t="s">
        <v>27</v>
      </c>
      <c r="G6" s="340" t="s">
        <v>28</v>
      </c>
      <c r="H6" s="341" t="s">
        <v>27</v>
      </c>
      <c r="I6" s="341" t="s">
        <v>28</v>
      </c>
      <c r="J6" s="58" t="s">
        <v>29</v>
      </c>
      <c r="K6" s="340" t="s">
        <v>29</v>
      </c>
      <c r="L6" s="59" t="s">
        <v>27</v>
      </c>
      <c r="M6" s="340" t="s">
        <v>28</v>
      </c>
      <c r="N6" s="59" t="s">
        <v>27</v>
      </c>
      <c r="O6" s="340" t="s">
        <v>28</v>
      </c>
      <c r="P6" s="341" t="s">
        <v>27</v>
      </c>
      <c r="Q6" s="341" t="s">
        <v>28</v>
      </c>
      <c r="R6" s="59" t="s">
        <v>29</v>
      </c>
      <c r="S6" s="342" t="s">
        <v>29</v>
      </c>
      <c r="T6" s="334" t="s">
        <v>27</v>
      </c>
      <c r="U6" s="343" t="s">
        <v>27</v>
      </c>
      <c r="V6" s="343" t="s">
        <v>27</v>
      </c>
      <c r="W6" s="344" t="str">
        <f>+'COLOMB$ '!W6</f>
        <v xml:space="preserve">Flujo de Caja </v>
      </c>
      <c r="X6" s="63"/>
      <c r="Y6" s="63"/>
      <c r="Z6" s="59"/>
      <c r="AA6" s="345" t="s">
        <v>13</v>
      </c>
      <c r="AB6" s="253"/>
      <c r="AC6" s="346"/>
      <c r="AD6" s="62" t="s">
        <v>31</v>
      </c>
      <c r="AE6" s="63" t="s">
        <v>29</v>
      </c>
      <c r="AF6" s="347" t="s">
        <v>29</v>
      </c>
      <c r="AJ6" s="162"/>
      <c r="AK6" s="326"/>
      <c r="AL6" s="326"/>
    </row>
    <row r="7" spans="1:40" ht="13.5" thickBot="1" x14ac:dyDescent="0.25">
      <c r="A7" s="9"/>
      <c r="B7" s="151" t="s">
        <v>133</v>
      </c>
      <c r="C7" s="65" t="str">
        <f>+'COLOMB$ '!C7</f>
        <v>Fact. Musical Experience  (Ambiental)</v>
      </c>
      <c r="D7" s="66">
        <v>6676</v>
      </c>
      <c r="E7" s="102">
        <f>+D7/$D$17</f>
        <v>0.7547792700257886</v>
      </c>
      <c r="F7" s="66">
        <v>7101.51</v>
      </c>
      <c r="G7" s="102">
        <f>+F7/$F$17</f>
        <v>0.87497104584859065</v>
      </c>
      <c r="H7" s="66">
        <v>6570.15</v>
      </c>
      <c r="I7" s="348">
        <f>+H7/$H$17</f>
        <v>0.84885549243476432</v>
      </c>
      <c r="J7" s="349">
        <f>IF(D7=0,"",(H7-D7)/ABS(D7)+1)</f>
        <v>0.98414469742360688</v>
      </c>
      <c r="K7" s="349">
        <f>IF(F7=0,"",(H7-F7)/ABS(F7))</f>
        <v>-7.4823523447830192E-2</v>
      </c>
      <c r="L7" s="66">
        <v>27243</v>
      </c>
      <c r="M7" s="102">
        <f>+L7/$L$17</f>
        <v>0.74519370167305465</v>
      </c>
      <c r="N7" s="66">
        <v>29022.31</v>
      </c>
      <c r="O7" s="102">
        <f>+N7/$N$17</f>
        <v>0.77769938282058915</v>
      </c>
      <c r="P7" s="66">
        <v>27304.97</v>
      </c>
      <c r="Q7" s="348">
        <f>+P7/$P$17</f>
        <v>0.78059719968129981</v>
      </c>
      <c r="R7" s="348">
        <f>IF(L7=0,"",(P7-L7)/ABS(L7)+1)</f>
        <v>1.0022747127702529</v>
      </c>
      <c r="S7" s="349">
        <f>IF(N7=0,"",(P7-N7)/ABS(N7))</f>
        <v>-5.9173098213064365E-2</v>
      </c>
      <c r="T7" s="350">
        <v>88030.69</v>
      </c>
      <c r="U7" s="351">
        <v>95743.62</v>
      </c>
      <c r="V7" s="352">
        <v>85598.94</v>
      </c>
      <c r="W7" s="353" t="s">
        <v>35</v>
      </c>
      <c r="X7" s="95">
        <v>13673.784377077782</v>
      </c>
      <c r="Y7" s="95">
        <v>24043.899999999998</v>
      </c>
      <c r="Z7" s="95">
        <v>14619.810000000001</v>
      </c>
      <c r="AA7" s="95">
        <v>24475</v>
      </c>
      <c r="AB7" s="95">
        <v>14944</v>
      </c>
      <c r="AC7" s="95">
        <v>24475</v>
      </c>
      <c r="AD7" s="76">
        <f>+AC7-AA7</f>
        <v>0</v>
      </c>
      <c r="AE7" s="77">
        <f>IF(AA7=0,"",(AC7-AA7)/ABS(AA7)+1)</f>
        <v>1</v>
      </c>
      <c r="AF7" s="77">
        <f>IF(Y7=0,"",(AC7-AB7)/ABS(AB7))</f>
        <v>0.63778104925053536</v>
      </c>
      <c r="AG7" s="730">
        <v>24475</v>
      </c>
      <c r="AH7" s="730">
        <v>14944</v>
      </c>
      <c r="AI7" s="730">
        <v>24475</v>
      </c>
      <c r="AJ7" s="162"/>
      <c r="AL7" s="326"/>
    </row>
    <row r="8" spans="1:40" x14ac:dyDescent="0.2">
      <c r="A8" s="9"/>
      <c r="B8" s="151" t="s">
        <v>134</v>
      </c>
      <c r="C8" s="65" t="str">
        <f>+'COLOMB$ '!C8</f>
        <v>Instalaciones</v>
      </c>
      <c r="D8" s="66">
        <v>589.67999999999995</v>
      </c>
      <c r="E8" s="102">
        <f>+D8/$D$17</f>
        <v>6.6668400231996244E-2</v>
      </c>
      <c r="F8" s="66">
        <v>0</v>
      </c>
      <c r="G8" s="102">
        <f>+F8/$F$17</f>
        <v>0</v>
      </c>
      <c r="H8" s="66">
        <v>175</v>
      </c>
      <c r="I8" s="348">
        <f>+H8/$H$17</f>
        <v>2.2609789909832159E-2</v>
      </c>
      <c r="J8" s="349">
        <f t="shared" ref="J8:J34" si="0">IF(D8=0,"",(H8-D8)/ABS(D8)+1)</f>
        <v>0.29677113010446343</v>
      </c>
      <c r="K8" s="349" t="str">
        <f t="shared" ref="K8:K34" si="1">IF(F8=0,"",(H8-F8)/ABS(F8))</f>
        <v/>
      </c>
      <c r="L8" s="66">
        <v>1326.78</v>
      </c>
      <c r="M8" s="102">
        <f>+L8/$L$17</f>
        <v>3.6292188801004863E-2</v>
      </c>
      <c r="N8" s="66">
        <v>1660</v>
      </c>
      <c r="O8" s="102">
        <f>+N8/$N$17</f>
        <v>4.4482364618191245E-2</v>
      </c>
      <c r="P8" s="66">
        <v>958.23</v>
      </c>
      <c r="Q8" s="348">
        <f>+P8/$P$17</f>
        <v>2.7393974600617099E-2</v>
      </c>
      <c r="R8" s="348">
        <f t="shared" ref="R8:R34" si="2">IF(L8=0,"",(P8-L8)/ABS(L8)+1)</f>
        <v>0.72222222222222232</v>
      </c>
      <c r="S8" s="349">
        <f t="shared" ref="S8:S34" si="3">IF(N8=0,"",(P8-N8)/ABS(N8))</f>
        <v>-0.42275301204819277</v>
      </c>
      <c r="T8" s="350">
        <v>14218.42</v>
      </c>
      <c r="U8" s="351">
        <v>7405</v>
      </c>
      <c r="V8" s="352">
        <v>3745.8</v>
      </c>
      <c r="W8" s="354" t="s">
        <v>38</v>
      </c>
      <c r="X8" s="90">
        <v>10552.856806666667</v>
      </c>
      <c r="Y8" s="90">
        <v>11058</v>
      </c>
      <c r="Z8" s="91">
        <v>9613.1</v>
      </c>
      <c r="AA8" s="355">
        <f t="shared" ref="AA8:AA12" si="4">+AG8+X8</f>
        <v>41750.623244444447</v>
      </c>
      <c r="AB8" s="90">
        <v>49303.1</v>
      </c>
      <c r="AC8" s="356">
        <f>+Z8+AI8</f>
        <v>40812.400000000001</v>
      </c>
      <c r="AD8" s="85">
        <f>+AC8-AA8</f>
        <v>-938.2232444444453</v>
      </c>
      <c r="AE8" s="86">
        <f>IF(AA8=0,"",(AC8-AA8)/ABS(AA8)+1)</f>
        <v>0.97752792242282782</v>
      </c>
      <c r="AF8" s="86">
        <f>IF(AB8=0,"",(AC8-AB8)/ABS(AB8))</f>
        <v>-0.17221432323728117</v>
      </c>
      <c r="AG8" s="730">
        <v>31197.766437777776</v>
      </c>
      <c r="AH8" s="730">
        <v>38245.1</v>
      </c>
      <c r="AI8" s="730">
        <v>31199.300000000003</v>
      </c>
      <c r="AJ8" s="162"/>
      <c r="AL8" s="326"/>
    </row>
    <row r="9" spans="1:40" x14ac:dyDescent="0.2">
      <c r="A9" s="9"/>
      <c r="B9" s="151">
        <v>4155950000</v>
      </c>
      <c r="C9" s="65" t="str">
        <f>+'COLOMB$ '!C9</f>
        <v>Fact.Voice Experience (Publihold)</v>
      </c>
      <c r="D9" s="66">
        <v>1099.5899999999999</v>
      </c>
      <c r="E9" s="102">
        <f>+D9/$D$17</f>
        <v>0.12431811526777363</v>
      </c>
      <c r="F9" s="66">
        <v>1014.77</v>
      </c>
      <c r="G9" s="102">
        <f>+F9/$F$17</f>
        <v>0.12502895415140924</v>
      </c>
      <c r="H9" s="66">
        <v>994.86</v>
      </c>
      <c r="I9" s="348">
        <f>+H9/$H$17</f>
        <v>0.12853471765540356</v>
      </c>
      <c r="J9" s="349">
        <f t="shared" si="0"/>
        <v>0.90475540883420191</v>
      </c>
      <c r="K9" s="349">
        <f t="shared" si="1"/>
        <v>-1.9620209505602223E-2</v>
      </c>
      <c r="L9" s="66">
        <v>4971.68</v>
      </c>
      <c r="M9" s="102">
        <f>+L9/$L$17</f>
        <v>0.13599326882993401</v>
      </c>
      <c r="N9" s="66">
        <v>3901.85</v>
      </c>
      <c r="O9" s="102">
        <f>+N9/$N$17</f>
        <v>0.10455633396716235</v>
      </c>
      <c r="P9" s="66">
        <v>4710.3900000000003</v>
      </c>
      <c r="Q9" s="348">
        <f>+P9/$P$17</f>
        <v>0.13466109808605531</v>
      </c>
      <c r="R9" s="348">
        <f t="shared" si="2"/>
        <v>0.94744432465484507</v>
      </c>
      <c r="S9" s="349">
        <f t="shared" si="3"/>
        <v>0.20721965221625652</v>
      </c>
      <c r="T9" s="350">
        <v>9822.7199999999993</v>
      </c>
      <c r="U9" s="351">
        <v>11846.35</v>
      </c>
      <c r="V9" s="352">
        <v>9286.82</v>
      </c>
      <c r="W9" s="354" t="s">
        <v>41</v>
      </c>
      <c r="X9" s="90">
        <v>550</v>
      </c>
      <c r="Y9" s="90">
        <v>0</v>
      </c>
      <c r="Z9" s="91"/>
      <c r="AA9" s="355">
        <f t="shared" si="4"/>
        <v>14274</v>
      </c>
      <c r="AB9" s="90">
        <v>73</v>
      </c>
      <c r="AC9" s="356">
        <f t="shared" ref="AC9:AC12" si="5">+Z9+AI9</f>
        <v>11995.8</v>
      </c>
      <c r="AD9" s="85">
        <f>+AA9-AC9</f>
        <v>2278.2000000000007</v>
      </c>
      <c r="AE9" s="86">
        <f>IF(AA9=0,"",(AC9-AA9)/ABS(AA9)+1)</f>
        <v>0.84039512400168137</v>
      </c>
      <c r="AF9" s="357">
        <f t="shared" ref="AF9:AF22" si="6">IF(AB9=0,"",(AC9-AB9)/ABS(AB9))</f>
        <v>163.32602739726028</v>
      </c>
      <c r="AG9" s="730">
        <v>13724</v>
      </c>
      <c r="AH9" s="730">
        <v>73</v>
      </c>
      <c r="AI9" s="730">
        <v>11995.8</v>
      </c>
      <c r="AJ9" s="162"/>
      <c r="AK9" s="326"/>
      <c r="AL9" s="326"/>
      <c r="AM9" s="326"/>
      <c r="AN9" s="326"/>
    </row>
    <row r="10" spans="1:40" x14ac:dyDescent="0.2">
      <c r="A10" s="9"/>
      <c r="B10" s="151">
        <v>4135950900</v>
      </c>
      <c r="C10" s="65" t="str">
        <f>+'COLOMB$ '!C10</f>
        <v>Fact. Service &amp; Equipment Experience</v>
      </c>
      <c r="D10" s="66">
        <v>429.7</v>
      </c>
      <c r="E10" s="102">
        <f t="shared" ref="E10:E12" si="7">+D10/$D$17</f>
        <v>4.8581284051839625E-2</v>
      </c>
      <c r="F10" s="66">
        <v>0</v>
      </c>
      <c r="G10" s="102"/>
      <c r="H10" s="66">
        <v>0</v>
      </c>
      <c r="I10" s="348"/>
      <c r="J10" s="349">
        <f>IF(D10=0,"",(H10-D10)/ABS(D10)+1)</f>
        <v>0</v>
      </c>
      <c r="K10" s="349" t="str">
        <f>IF(F10=0,"",(H10-F10)/ABS(F10))</f>
        <v/>
      </c>
      <c r="L10" s="66">
        <v>1286.82</v>
      </c>
      <c r="M10" s="102">
        <f>+L10/$L$17</f>
        <v>3.5199139565646964E-2</v>
      </c>
      <c r="N10" s="66">
        <v>430</v>
      </c>
      <c r="O10" s="102"/>
      <c r="P10" s="66">
        <v>350</v>
      </c>
      <c r="Q10" s="348">
        <f>+P10/$P$17</f>
        <v>1.0005834831111513E-2</v>
      </c>
      <c r="R10" s="348">
        <f>IF(L10=0,"",(P10-L10)/ABS(L10)+1)</f>
        <v>0.27198831227366693</v>
      </c>
      <c r="S10" s="349">
        <f>IF(N10=0,"",(P10-N10)/ABS(N10))</f>
        <v>-0.18604651162790697</v>
      </c>
      <c r="T10" s="350">
        <v>14484.96</v>
      </c>
      <c r="U10" s="351">
        <v>12306.03</v>
      </c>
      <c r="V10" s="352">
        <v>5336.48</v>
      </c>
      <c r="W10" s="354" t="s">
        <v>44</v>
      </c>
      <c r="X10" s="90"/>
      <c r="Y10" s="90"/>
      <c r="Z10" s="91"/>
      <c r="AA10" s="355">
        <f t="shared" si="4"/>
        <v>0</v>
      </c>
      <c r="AB10" s="90">
        <v>0</v>
      </c>
      <c r="AC10" s="356">
        <f t="shared" si="5"/>
        <v>0</v>
      </c>
      <c r="AD10" s="85">
        <f>+AA10-AC10</f>
        <v>0</v>
      </c>
      <c r="AE10" s="86" t="str">
        <f t="shared" ref="AE10:AE21" si="8">IF(AA10=0,"",(AC10-AA10)/ABS(AA10)+1)</f>
        <v/>
      </c>
      <c r="AF10" s="86" t="str">
        <f t="shared" si="6"/>
        <v/>
      </c>
      <c r="AG10" s="730">
        <v>0</v>
      </c>
      <c r="AH10" s="730">
        <v>0</v>
      </c>
      <c r="AI10" s="730">
        <v>0</v>
      </c>
      <c r="AJ10" s="162"/>
      <c r="AK10" s="326"/>
      <c r="AL10" s="326"/>
      <c r="AM10" s="326"/>
      <c r="AN10" s="326"/>
    </row>
    <row r="11" spans="1:40" x14ac:dyDescent="0.2">
      <c r="A11" s="9"/>
      <c r="B11" s="151"/>
      <c r="C11" s="65" t="str">
        <f>+'COLOMB$ '!C11</f>
        <v>POP Satelital</v>
      </c>
      <c r="D11" s="66"/>
      <c r="E11" s="102"/>
      <c r="F11" s="66"/>
      <c r="G11" s="102"/>
      <c r="H11" s="66"/>
      <c r="I11" s="348"/>
      <c r="J11" s="349"/>
      <c r="K11" s="349"/>
      <c r="L11" s="66">
        <f t="shared" ref="L11:L14" si="9">+T11+D11</f>
        <v>0</v>
      </c>
      <c r="M11" s="102"/>
      <c r="N11" s="66">
        <f t="shared" ref="N11:N16" si="10">+U11+F11</f>
        <v>0</v>
      </c>
      <c r="O11" s="102"/>
      <c r="P11" s="66">
        <f t="shared" ref="P11:P16" si="11">+V11+H11</f>
        <v>0</v>
      </c>
      <c r="Q11" s="348"/>
      <c r="R11" s="348"/>
      <c r="S11" s="349" t="str">
        <f t="shared" ref="S11:S14" si="12">IF(N11=0,"",(P11-N11)/ABS(N11))</f>
        <v/>
      </c>
      <c r="T11" s="350">
        <v>0</v>
      </c>
      <c r="U11" s="351">
        <v>0</v>
      </c>
      <c r="V11" s="352">
        <v>0</v>
      </c>
      <c r="W11" s="354" t="s">
        <v>46</v>
      </c>
      <c r="X11" s="90">
        <v>6081.5290193499995</v>
      </c>
      <c r="Y11" s="90">
        <v>5450</v>
      </c>
      <c r="Z11" s="91">
        <v>5172.6000000000004</v>
      </c>
      <c r="AA11" s="355">
        <f t="shared" si="4"/>
        <v>24366.587058050001</v>
      </c>
      <c r="AB11" s="90">
        <v>20725.400000000001</v>
      </c>
      <c r="AC11" s="356">
        <f t="shared" si="5"/>
        <v>20601.79</v>
      </c>
      <c r="AD11" s="85">
        <f>+AA11-AC11</f>
        <v>3764.7970580500005</v>
      </c>
      <c r="AE11" s="86">
        <f t="shared" si="8"/>
        <v>0.84549345999581738</v>
      </c>
      <c r="AF11" s="86">
        <f t="shared" si="6"/>
        <v>-5.9641792197014567E-3</v>
      </c>
      <c r="AG11" s="730">
        <v>18285.058038700001</v>
      </c>
      <c r="AH11" s="730">
        <v>15275.400000000001</v>
      </c>
      <c r="AI11" s="730">
        <v>15429.189999999999</v>
      </c>
      <c r="AJ11" s="162"/>
      <c r="AK11" s="326"/>
      <c r="AL11" s="326"/>
      <c r="AM11" s="326"/>
      <c r="AN11" s="326"/>
    </row>
    <row r="12" spans="1:40" x14ac:dyDescent="0.2">
      <c r="A12" s="9"/>
      <c r="B12" s="151">
        <v>4155950100</v>
      </c>
      <c r="C12" s="65" t="str">
        <f>+'COLOMB$ '!C12</f>
        <v xml:space="preserve"> Fact.Voice Experience (Audicóm)</v>
      </c>
      <c r="D12" s="66">
        <v>50</v>
      </c>
      <c r="E12" s="102">
        <f t="shared" si="7"/>
        <v>5.6529304226017717E-3</v>
      </c>
      <c r="F12" s="66">
        <v>0</v>
      </c>
      <c r="G12" s="102"/>
      <c r="H12" s="66">
        <v>0</v>
      </c>
      <c r="I12" s="348"/>
      <c r="J12" s="349">
        <f t="shared" si="0"/>
        <v>0</v>
      </c>
      <c r="K12" s="349" t="str">
        <f t="shared" si="1"/>
        <v/>
      </c>
      <c r="L12" s="66">
        <v>1730</v>
      </c>
      <c r="M12" s="102"/>
      <c r="N12" s="66">
        <v>2304</v>
      </c>
      <c r="O12" s="102"/>
      <c r="P12" s="66">
        <v>1656</v>
      </c>
      <c r="Q12" s="348"/>
      <c r="R12" s="348">
        <f t="shared" si="2"/>
        <v>0.95722543352601153</v>
      </c>
      <c r="S12" s="349">
        <f t="shared" si="12"/>
        <v>-0.28125</v>
      </c>
      <c r="T12" s="350">
        <v>2885.1</v>
      </c>
      <c r="U12" s="351">
        <v>0</v>
      </c>
      <c r="V12" s="352">
        <v>2304</v>
      </c>
      <c r="W12" s="354" t="s">
        <v>49</v>
      </c>
      <c r="X12" s="90">
        <v>1243.855</v>
      </c>
      <c r="Y12" s="90">
        <v>1490</v>
      </c>
      <c r="Z12" s="91">
        <v>1168.7000000000003</v>
      </c>
      <c r="AA12" s="355">
        <f t="shared" si="4"/>
        <v>6284.119999999999</v>
      </c>
      <c r="AB12" s="90">
        <v>8233.6</v>
      </c>
      <c r="AC12" s="356">
        <f t="shared" si="5"/>
        <v>8413.1</v>
      </c>
      <c r="AD12" s="85">
        <f>+AA12-AC12</f>
        <v>-2128.9800000000014</v>
      </c>
      <c r="AE12" s="86">
        <f t="shared" si="8"/>
        <v>1.3387872924132578</v>
      </c>
      <c r="AF12" s="86">
        <f t="shared" si="6"/>
        <v>2.1800913330742324E-2</v>
      </c>
      <c r="AG12" s="730">
        <v>5040.2649999999994</v>
      </c>
      <c r="AH12" s="730">
        <v>6743.6</v>
      </c>
      <c r="AI12" s="730">
        <v>7244.4</v>
      </c>
      <c r="AJ12" s="162"/>
      <c r="AK12" s="326"/>
      <c r="AL12" s="326"/>
      <c r="AM12" s="326"/>
      <c r="AN12" s="326"/>
    </row>
    <row r="13" spans="1:40" ht="13.5" thickBot="1" x14ac:dyDescent="0.25">
      <c r="A13" s="9"/>
      <c r="B13" s="9"/>
      <c r="C13" s="65" t="str">
        <f>+'COLOMB$ '!C13</f>
        <v>Fact. Servicio Satelital</v>
      </c>
      <c r="D13" s="66"/>
      <c r="E13" s="102"/>
      <c r="F13" s="66"/>
      <c r="G13" s="102"/>
      <c r="H13" s="66"/>
      <c r="I13" s="348"/>
      <c r="J13" s="349"/>
      <c r="K13" s="349"/>
      <c r="L13" s="66">
        <f t="shared" si="9"/>
        <v>0</v>
      </c>
      <c r="M13" s="102"/>
      <c r="N13" s="66">
        <f t="shared" si="10"/>
        <v>0</v>
      </c>
      <c r="O13" s="102"/>
      <c r="P13" s="66">
        <f t="shared" si="11"/>
        <v>0</v>
      </c>
      <c r="Q13" s="348"/>
      <c r="R13" s="348"/>
      <c r="S13" s="349" t="str">
        <f t="shared" si="12"/>
        <v/>
      </c>
      <c r="T13" s="358">
        <v>0</v>
      </c>
      <c r="U13" s="311">
        <v>0</v>
      </c>
      <c r="V13" s="311">
        <v>0</v>
      </c>
      <c r="W13" s="354" t="s">
        <v>51</v>
      </c>
      <c r="X13" s="90">
        <f>SUM(X9:X12)</f>
        <v>7875.38401935</v>
      </c>
      <c r="Y13" s="90">
        <v>6940</v>
      </c>
      <c r="Z13" s="90">
        <f>SUM(Z9:Z12)</f>
        <v>6341.3000000000011</v>
      </c>
      <c r="AA13" s="90">
        <f>SUM(AA9:AA12)</f>
        <v>44924.70705805</v>
      </c>
      <c r="AB13" s="90">
        <v>29032</v>
      </c>
      <c r="AC13" s="90">
        <f>SUM(AC9:AC12)</f>
        <v>41010.69</v>
      </c>
      <c r="AD13" s="85">
        <f>+AC13-AA13</f>
        <v>-3914.017058049998</v>
      </c>
      <c r="AE13" s="86">
        <f t="shared" si="8"/>
        <v>0.91287606944231259</v>
      </c>
      <c r="AF13" s="86">
        <f t="shared" si="6"/>
        <v>0.41260298980435389</v>
      </c>
      <c r="AG13" s="730">
        <v>37049.3230387</v>
      </c>
      <c r="AH13" s="730">
        <v>22092</v>
      </c>
      <c r="AI13" s="730">
        <v>34669.39</v>
      </c>
      <c r="AJ13" s="162"/>
      <c r="AK13" s="326"/>
      <c r="AL13" s="326"/>
      <c r="AM13" s="326"/>
      <c r="AN13" s="326"/>
    </row>
    <row r="14" spans="1:40" ht="13.5" thickBot="1" x14ac:dyDescent="0.25">
      <c r="A14" s="9"/>
      <c r="B14" s="151">
        <v>4155951500</v>
      </c>
      <c r="C14" s="65" t="str">
        <f>+'COLOMB$ '!C14</f>
        <v>Fact. Visual Experience</v>
      </c>
      <c r="D14" s="66"/>
      <c r="E14" s="102"/>
      <c r="F14" s="66"/>
      <c r="G14" s="102"/>
      <c r="H14" s="66"/>
      <c r="I14" s="348"/>
      <c r="J14" s="349" t="str">
        <f t="shared" si="0"/>
        <v/>
      </c>
      <c r="K14" s="349" t="str">
        <f t="shared" si="1"/>
        <v/>
      </c>
      <c r="L14" s="66">
        <f t="shared" si="9"/>
        <v>0</v>
      </c>
      <c r="M14" s="102"/>
      <c r="N14" s="66">
        <f t="shared" si="10"/>
        <v>0</v>
      </c>
      <c r="O14" s="102"/>
      <c r="P14" s="66">
        <f t="shared" si="11"/>
        <v>0</v>
      </c>
      <c r="Q14" s="348"/>
      <c r="R14" s="348" t="str">
        <f t="shared" si="2"/>
        <v/>
      </c>
      <c r="S14" s="349" t="str">
        <f t="shared" si="12"/>
        <v/>
      </c>
      <c r="T14" s="350">
        <v>0</v>
      </c>
      <c r="U14" s="351">
        <v>0</v>
      </c>
      <c r="V14" s="352">
        <v>0</v>
      </c>
      <c r="W14" s="353" t="s">
        <v>53</v>
      </c>
      <c r="X14" s="75">
        <f>X8-X13</f>
        <v>2677.4727873166667</v>
      </c>
      <c r="Y14" s="75">
        <v>4118</v>
      </c>
      <c r="Z14" s="75">
        <f>Z8-Z13</f>
        <v>3271.7999999999993</v>
      </c>
      <c r="AA14" s="75">
        <f>AA8-AA13</f>
        <v>-3174.0838136055536</v>
      </c>
      <c r="AB14" s="75">
        <v>20271.099999999999</v>
      </c>
      <c r="AC14" s="75">
        <f>AC8-AC13</f>
        <v>-198.29000000000087</v>
      </c>
      <c r="AD14" s="76">
        <f>+AC14-AA14</f>
        <v>2975.7938136055527</v>
      </c>
      <c r="AE14" s="77">
        <f t="shared" si="8"/>
        <v>1.9375284297314266</v>
      </c>
      <c r="AF14" s="77">
        <f t="shared" si="6"/>
        <v>-1.009781906260637</v>
      </c>
      <c r="AG14" s="730">
        <v>-5851.5566009222239</v>
      </c>
      <c r="AH14" s="730">
        <v>16153.099999999999</v>
      </c>
      <c r="AI14" s="730">
        <v>-3470.0899999999965</v>
      </c>
      <c r="AJ14" s="162"/>
      <c r="AK14" s="326"/>
      <c r="AL14" s="326"/>
      <c r="AM14" s="326"/>
      <c r="AN14" s="326"/>
    </row>
    <row r="15" spans="1:40" x14ac:dyDescent="0.2">
      <c r="A15" s="9"/>
      <c r="B15" s="151" t="s">
        <v>135</v>
      </c>
      <c r="C15" s="65" t="str">
        <f>+'COL. CONS.$'!C15</f>
        <v>Fac.   Olfa Experience</v>
      </c>
      <c r="D15" s="66">
        <v>0</v>
      </c>
      <c r="E15" s="102"/>
      <c r="F15" s="66"/>
      <c r="G15" s="102"/>
      <c r="H15" s="66"/>
      <c r="I15" s="348"/>
      <c r="J15" s="349"/>
      <c r="K15" s="349"/>
      <c r="L15" s="66">
        <v>0</v>
      </c>
      <c r="M15" s="102"/>
      <c r="N15" s="66">
        <f t="shared" si="10"/>
        <v>0</v>
      </c>
      <c r="O15" s="102"/>
      <c r="P15" s="66">
        <f t="shared" si="11"/>
        <v>0</v>
      </c>
      <c r="Q15" s="348"/>
      <c r="R15" s="348"/>
      <c r="S15" s="349"/>
      <c r="T15" s="350">
        <v>52</v>
      </c>
      <c r="U15" s="351">
        <v>0</v>
      </c>
      <c r="V15" s="352">
        <v>0</v>
      </c>
      <c r="W15" s="65"/>
      <c r="X15" s="101"/>
      <c r="Y15" s="101"/>
      <c r="Z15" s="270"/>
      <c r="AA15" s="359"/>
      <c r="AB15" s="359"/>
      <c r="AC15" s="360"/>
      <c r="AD15" s="103"/>
      <c r="AE15" s="102"/>
      <c r="AF15" s="102"/>
      <c r="AG15" s="730"/>
      <c r="AH15" s="730"/>
      <c r="AI15" s="730"/>
      <c r="AJ15" s="162"/>
      <c r="AK15" s="326"/>
      <c r="AL15" s="326"/>
      <c r="AM15" s="326"/>
      <c r="AN15" s="326"/>
    </row>
    <row r="16" spans="1:40" ht="13.5" thickBot="1" x14ac:dyDescent="0.25">
      <c r="A16" s="9"/>
      <c r="B16" s="9"/>
      <c r="C16" s="65" t="str">
        <f>+'COLOMB$ '!C16</f>
        <v>Facturacion Locutor virtual</v>
      </c>
      <c r="D16" s="66"/>
      <c r="E16" s="102"/>
      <c r="F16" s="66"/>
      <c r="G16" s="102"/>
      <c r="H16" s="66"/>
      <c r="I16" s="348"/>
      <c r="J16" s="349"/>
      <c r="K16" s="349"/>
      <c r="L16" s="66"/>
      <c r="M16" s="102"/>
      <c r="N16" s="66">
        <f t="shared" si="10"/>
        <v>0</v>
      </c>
      <c r="O16" s="102"/>
      <c r="P16" s="66">
        <f t="shared" si="11"/>
        <v>0</v>
      </c>
      <c r="Q16" s="348"/>
      <c r="R16" s="348"/>
      <c r="S16" s="349"/>
      <c r="T16" s="350"/>
      <c r="U16" s="351">
        <v>0</v>
      </c>
      <c r="V16" s="352">
        <v>0</v>
      </c>
      <c r="W16" s="65"/>
      <c r="X16" s="101"/>
      <c r="Y16" s="101"/>
      <c r="Z16" s="270"/>
      <c r="AA16" s="359">
        <f>+AG16+X16</f>
        <v>0</v>
      </c>
      <c r="AB16" s="359">
        <v>0</v>
      </c>
      <c r="AC16" s="360">
        <v>0</v>
      </c>
      <c r="AD16" s="103"/>
      <c r="AE16" s="102"/>
      <c r="AF16" s="102" t="str">
        <f t="shared" si="6"/>
        <v/>
      </c>
      <c r="AG16" s="730">
        <v>0</v>
      </c>
      <c r="AH16" s="730">
        <v>0</v>
      </c>
      <c r="AI16" s="730">
        <v>0</v>
      </c>
      <c r="AJ16" s="162"/>
      <c r="AK16" s="326"/>
      <c r="AL16" s="326"/>
      <c r="AM16" s="326"/>
      <c r="AN16" s="326"/>
    </row>
    <row r="17" spans="1:43" x14ac:dyDescent="0.2">
      <c r="A17" s="9"/>
      <c r="B17" s="9"/>
      <c r="C17" s="361" t="s">
        <v>58</v>
      </c>
      <c r="D17" s="105">
        <f>SUM(D7:D16)</f>
        <v>8844.9700000000012</v>
      </c>
      <c r="E17" s="106">
        <f t="shared" ref="E17:E34" si="13">+D17/$D$17</f>
        <v>1</v>
      </c>
      <c r="F17" s="105">
        <f>SUM(F7:F16)</f>
        <v>8116.2800000000007</v>
      </c>
      <c r="G17" s="106">
        <f t="shared" ref="G17:G34" si="14">+F17/$F$17</f>
        <v>1</v>
      </c>
      <c r="H17" s="105">
        <f>SUM(H7:H16)</f>
        <v>7740.0099999999993</v>
      </c>
      <c r="I17" s="107">
        <f t="shared" ref="I17:I34" si="15">+H17/$H$17</f>
        <v>1</v>
      </c>
      <c r="J17" s="108">
        <f t="shared" si="0"/>
        <v>0.87507476000483875</v>
      </c>
      <c r="K17" s="108">
        <f t="shared" si="1"/>
        <v>-4.635990872665819E-2</v>
      </c>
      <c r="L17" s="105">
        <f>SUM(L7:L16)</f>
        <v>36558.28</v>
      </c>
      <c r="M17" s="106">
        <f t="shared" ref="M17:M34" si="16">+L17/$L$17</f>
        <v>1</v>
      </c>
      <c r="N17" s="105">
        <f>SUM(N7:N16)</f>
        <v>37318.160000000003</v>
      </c>
      <c r="O17" s="106">
        <f t="shared" ref="O17:O34" si="17">+N17/$N$17</f>
        <v>1</v>
      </c>
      <c r="P17" s="105">
        <f>SUM(P7:P16)</f>
        <v>34979.590000000004</v>
      </c>
      <c r="Q17" s="362">
        <f t="shared" ref="Q17:Q34" si="18">+P17/$P$17</f>
        <v>1</v>
      </c>
      <c r="R17" s="107">
        <f t="shared" si="2"/>
        <v>0.95681716973555664</v>
      </c>
      <c r="S17" s="108">
        <f t="shared" si="3"/>
        <v>-6.2665737003110539E-2</v>
      </c>
      <c r="T17" s="350">
        <v>129493.89000000001</v>
      </c>
      <c r="U17" s="351">
        <v>127301</v>
      </c>
      <c r="V17" s="352">
        <v>106272.04</v>
      </c>
      <c r="W17" s="354" t="s">
        <v>59</v>
      </c>
      <c r="X17" s="83">
        <f t="shared" ref="X17:AC17" si="19">+X7+X14</f>
        <v>16351.257164394448</v>
      </c>
      <c r="Y17" s="83">
        <v>28161.899999999998</v>
      </c>
      <c r="Z17" s="83">
        <f t="shared" si="19"/>
        <v>17891.61</v>
      </c>
      <c r="AA17" s="355">
        <f t="shared" si="19"/>
        <v>21300.916186394446</v>
      </c>
      <c r="AB17" s="355">
        <v>35215.1</v>
      </c>
      <c r="AC17" s="83">
        <f t="shared" si="19"/>
        <v>24276.71</v>
      </c>
      <c r="AD17" s="85">
        <f>+AC17-AA17</f>
        <v>2975.7938136055527</v>
      </c>
      <c r="AE17" s="86">
        <f t="shared" si="8"/>
        <v>1.1397026206556451</v>
      </c>
      <c r="AF17" s="86">
        <f t="shared" si="6"/>
        <v>-0.31061646850356806</v>
      </c>
      <c r="AG17" s="730">
        <v>18623.443399077776</v>
      </c>
      <c r="AH17" s="730">
        <v>31097.1</v>
      </c>
      <c r="AI17" s="731">
        <v>21004.910000000003</v>
      </c>
      <c r="AJ17" s="162"/>
      <c r="AK17" s="326"/>
      <c r="AL17" s="326"/>
      <c r="AM17" s="326"/>
      <c r="AN17" s="326"/>
    </row>
    <row r="18" spans="1:43" x14ac:dyDescent="0.2">
      <c r="A18" s="9"/>
      <c r="B18" s="151" t="s">
        <v>136</v>
      </c>
      <c r="C18" s="112" t="s">
        <v>60</v>
      </c>
      <c r="D18" s="114">
        <v>85.94</v>
      </c>
      <c r="E18" s="113">
        <f t="shared" si="13"/>
        <v>9.716256810367925E-3</v>
      </c>
      <c r="F18" s="83">
        <v>0</v>
      </c>
      <c r="G18" s="113">
        <f t="shared" si="14"/>
        <v>0</v>
      </c>
      <c r="H18" s="83">
        <v>0</v>
      </c>
      <c r="I18" s="115">
        <f t="shared" si="15"/>
        <v>0</v>
      </c>
      <c r="J18" s="116">
        <f t="shared" si="0"/>
        <v>0</v>
      </c>
      <c r="K18" s="116" t="str">
        <f t="shared" si="1"/>
        <v/>
      </c>
      <c r="L18" s="117">
        <v>257.36</v>
      </c>
      <c r="M18" s="113">
        <f t="shared" si="16"/>
        <v>7.0397184987915189E-3</v>
      </c>
      <c r="N18" s="114">
        <v>40.56</v>
      </c>
      <c r="O18" s="113">
        <f t="shared" si="17"/>
        <v>1.0868703065746005E-3</v>
      </c>
      <c r="P18" s="83">
        <v>0</v>
      </c>
      <c r="Q18" s="363">
        <f t="shared" si="18"/>
        <v>0</v>
      </c>
      <c r="R18" s="115">
        <f t="shared" si="2"/>
        <v>0</v>
      </c>
      <c r="S18" s="116">
        <f t="shared" si="3"/>
        <v>-1</v>
      </c>
      <c r="T18" s="350">
        <v>6453.92</v>
      </c>
      <c r="U18" s="351">
        <v>5560.1</v>
      </c>
      <c r="V18" s="352">
        <v>2009.82</v>
      </c>
      <c r="W18" s="354" t="s">
        <v>61</v>
      </c>
      <c r="X18" s="90"/>
      <c r="Y18" s="90"/>
      <c r="Z18" s="91"/>
      <c r="AA18" s="355">
        <f t="shared" ref="AA18:AA21" si="20">+AG18+X18</f>
        <v>0</v>
      </c>
      <c r="AB18" s="90">
        <v>0</v>
      </c>
      <c r="AC18" s="356">
        <f t="shared" ref="AC18:AC21" si="21">+Z18+AI18</f>
        <v>2797</v>
      </c>
      <c r="AD18" s="85">
        <f t="shared" ref="AD18:AD22" si="22">+AC18-AA18</f>
        <v>2797</v>
      </c>
      <c r="AE18" s="86" t="str">
        <f t="shared" si="8"/>
        <v/>
      </c>
      <c r="AF18" s="86" t="str">
        <f t="shared" si="6"/>
        <v/>
      </c>
      <c r="AG18" s="730">
        <v>0</v>
      </c>
      <c r="AH18" s="730">
        <v>0</v>
      </c>
      <c r="AI18" s="730">
        <v>2797</v>
      </c>
      <c r="AJ18" s="162"/>
      <c r="AK18" s="326"/>
      <c r="AL18" s="326"/>
      <c r="AM18" s="326"/>
      <c r="AN18" s="326"/>
    </row>
    <row r="19" spans="1:43" ht="13.5" thickBot="1" x14ac:dyDescent="0.25">
      <c r="A19" s="9"/>
      <c r="B19" s="9"/>
      <c r="C19" s="119" t="s">
        <v>62</v>
      </c>
      <c r="D19" s="364">
        <f>+D17-D18</f>
        <v>8759.0300000000007</v>
      </c>
      <c r="E19" s="264">
        <f t="shared" si="13"/>
        <v>0.99028374318963197</v>
      </c>
      <c r="F19" s="364">
        <f>+F17-F18</f>
        <v>8116.2800000000007</v>
      </c>
      <c r="G19" s="264">
        <f t="shared" si="14"/>
        <v>1</v>
      </c>
      <c r="H19" s="364">
        <f>+H17-H18</f>
        <v>7740.0099999999993</v>
      </c>
      <c r="I19" s="365">
        <f t="shared" si="15"/>
        <v>1</v>
      </c>
      <c r="J19" s="124">
        <f t="shared" si="0"/>
        <v>0.88366063365463965</v>
      </c>
      <c r="K19" s="124">
        <f t="shared" si="1"/>
        <v>-4.635990872665819E-2</v>
      </c>
      <c r="L19" s="364">
        <f>+L17-L18</f>
        <v>36300.92</v>
      </c>
      <c r="M19" s="264">
        <f t="shared" si="16"/>
        <v>0.99296028150120852</v>
      </c>
      <c r="N19" s="364">
        <f>+N17-N18</f>
        <v>37277.600000000006</v>
      </c>
      <c r="O19" s="264">
        <f t="shared" si="17"/>
        <v>0.99891312969342549</v>
      </c>
      <c r="P19" s="364">
        <f>+P17-P18</f>
        <v>34979.590000000004</v>
      </c>
      <c r="Q19" s="348">
        <f t="shared" si="18"/>
        <v>1</v>
      </c>
      <c r="R19" s="348">
        <f t="shared" si="2"/>
        <v>0.96360064703594306</v>
      </c>
      <c r="S19" s="349">
        <f t="shared" si="3"/>
        <v>-6.1645867759727066E-2</v>
      </c>
      <c r="T19" s="350">
        <v>123039.97000000002</v>
      </c>
      <c r="U19" s="351">
        <v>121740.9</v>
      </c>
      <c r="V19" s="352">
        <v>104262.21999999999</v>
      </c>
      <c r="W19" s="354" t="s">
        <v>63</v>
      </c>
      <c r="X19" s="90">
        <v>1323.9249848000002</v>
      </c>
      <c r="Y19" s="90">
        <v>1256</v>
      </c>
      <c r="Z19" s="91">
        <v>1363.5</v>
      </c>
      <c r="AA19" s="355">
        <f t="shared" si="20"/>
        <v>6273.5840067999998</v>
      </c>
      <c r="AB19" s="90">
        <v>8309.27</v>
      </c>
      <c r="AC19" s="356">
        <f t="shared" si="21"/>
        <v>4951.6000000000004</v>
      </c>
      <c r="AD19" s="85">
        <f t="shared" si="22"/>
        <v>-1321.9840067999994</v>
      </c>
      <c r="AE19" s="86">
        <f t="shared" si="8"/>
        <v>0.78927770707029854</v>
      </c>
      <c r="AF19" s="86">
        <f t="shared" si="6"/>
        <v>-0.40408724232092591</v>
      </c>
      <c r="AG19" s="730">
        <v>4949.6590219999998</v>
      </c>
      <c r="AH19" s="730">
        <v>7053.27</v>
      </c>
      <c r="AI19" s="730">
        <v>3588.1</v>
      </c>
      <c r="AJ19" s="366"/>
      <c r="AK19" s="326"/>
      <c r="AL19" s="326"/>
      <c r="AM19" s="326"/>
      <c r="AN19" s="326"/>
    </row>
    <row r="20" spans="1:43" x14ac:dyDescent="0.2">
      <c r="A20" s="9"/>
      <c r="B20" s="9"/>
      <c r="C20" s="81" t="s">
        <v>64</v>
      </c>
      <c r="D20" s="83">
        <v>870.87</v>
      </c>
      <c r="E20" s="126">
        <f t="shared" si="13"/>
        <v>9.8459350342624097E-2</v>
      </c>
      <c r="F20" s="83">
        <v>563.63</v>
      </c>
      <c r="G20" s="126">
        <f t="shared" si="14"/>
        <v>6.9444375994913918E-2</v>
      </c>
      <c r="H20" s="83">
        <v>665.03</v>
      </c>
      <c r="I20" s="127">
        <f t="shared" si="15"/>
        <v>8.592107762134675E-2</v>
      </c>
      <c r="J20" s="148">
        <f t="shared" si="0"/>
        <v>0.76363866019038429</v>
      </c>
      <c r="K20" s="148">
        <f t="shared" si="1"/>
        <v>0.179905256994837</v>
      </c>
      <c r="L20" s="83">
        <v>4238.4799999999996</v>
      </c>
      <c r="M20" s="126">
        <f t="shared" si="16"/>
        <v>0.11593762069769147</v>
      </c>
      <c r="N20" s="83">
        <v>3631.95</v>
      </c>
      <c r="O20" s="126">
        <f t="shared" si="17"/>
        <v>9.732393022592753E-2</v>
      </c>
      <c r="P20" s="83">
        <v>3307.85</v>
      </c>
      <c r="Q20" s="367">
        <f t="shared" si="18"/>
        <v>9.4565144988834907E-2</v>
      </c>
      <c r="R20" s="368">
        <f t="shared" si="2"/>
        <v>0.78043307978331855</v>
      </c>
      <c r="S20" s="128">
        <f t="shared" si="3"/>
        <v>-8.9235809964344201E-2</v>
      </c>
      <c r="T20" s="350">
        <v>16962.52</v>
      </c>
      <c r="U20" s="351">
        <v>19404.259999999998</v>
      </c>
      <c r="V20" s="352">
        <v>12020.93</v>
      </c>
      <c r="W20" s="354" t="s">
        <v>65</v>
      </c>
      <c r="X20" s="90"/>
      <c r="Y20" s="90"/>
      <c r="Z20" s="91"/>
      <c r="AA20" s="355">
        <f t="shared" si="20"/>
        <v>0</v>
      </c>
      <c r="AB20" s="90">
        <v>0</v>
      </c>
      <c r="AC20" s="356">
        <f t="shared" si="21"/>
        <v>0</v>
      </c>
      <c r="AD20" s="85">
        <f t="shared" si="22"/>
        <v>0</v>
      </c>
      <c r="AE20" s="86" t="str">
        <f t="shared" si="8"/>
        <v/>
      </c>
      <c r="AF20" s="86" t="str">
        <f t="shared" si="6"/>
        <v/>
      </c>
      <c r="AG20" s="730">
        <v>0</v>
      </c>
      <c r="AH20" s="730">
        <v>0</v>
      </c>
      <c r="AI20" s="730">
        <v>0</v>
      </c>
      <c r="AJ20" s="162"/>
      <c r="AK20" s="326"/>
      <c r="AL20" s="326"/>
      <c r="AM20" s="326"/>
      <c r="AN20" s="326"/>
    </row>
    <row r="21" spans="1:43" ht="13.5" thickBot="1" x14ac:dyDescent="0.25">
      <c r="A21" s="9"/>
      <c r="B21" s="9"/>
      <c r="C21" s="81" t="s">
        <v>66</v>
      </c>
      <c r="D21" s="83">
        <v>1179.24</v>
      </c>
      <c r="E21" s="126">
        <f t="shared" si="13"/>
        <v>0.13332323343097827</v>
      </c>
      <c r="F21" s="83">
        <v>1123.19</v>
      </c>
      <c r="G21" s="126">
        <f t="shared" si="14"/>
        <v>0.13838729072925035</v>
      </c>
      <c r="H21" s="83">
        <v>998.3</v>
      </c>
      <c r="I21" s="127">
        <f t="shared" si="15"/>
        <v>0.1289791615256311</v>
      </c>
      <c r="J21" s="148">
        <f t="shared" si="0"/>
        <v>0.84656219259862286</v>
      </c>
      <c r="K21" s="148">
        <f t="shared" si="1"/>
        <v>-0.11119222927554563</v>
      </c>
      <c r="L21" s="83">
        <v>5176.96</v>
      </c>
      <c r="M21" s="126">
        <f t="shared" si="16"/>
        <v>0.14160841264961044</v>
      </c>
      <c r="N21" s="83">
        <v>4756.13</v>
      </c>
      <c r="O21" s="126">
        <f t="shared" si="17"/>
        <v>0.127448137850312</v>
      </c>
      <c r="P21" s="83">
        <v>5484.61</v>
      </c>
      <c r="Q21" s="369">
        <f t="shared" si="18"/>
        <v>0.15679457649446432</v>
      </c>
      <c r="R21" s="127">
        <f t="shared" si="2"/>
        <v>1.0594267678328593</v>
      </c>
      <c r="S21" s="128">
        <f t="shared" si="3"/>
        <v>0.15316654506920532</v>
      </c>
      <c r="T21" s="350">
        <v>23628.9</v>
      </c>
      <c r="U21" s="351">
        <v>20022.25</v>
      </c>
      <c r="V21" s="352">
        <v>19512.080000000002</v>
      </c>
      <c r="W21" s="354" t="s">
        <v>67</v>
      </c>
      <c r="X21" s="90"/>
      <c r="Y21" s="90"/>
      <c r="Z21" s="91"/>
      <c r="AA21" s="355">
        <f t="shared" si="20"/>
        <v>0</v>
      </c>
      <c r="AB21" s="90">
        <v>0</v>
      </c>
      <c r="AC21" s="356">
        <f t="shared" si="21"/>
        <v>0</v>
      </c>
      <c r="AD21" s="85">
        <f t="shared" si="22"/>
        <v>0</v>
      </c>
      <c r="AE21" s="86" t="str">
        <f t="shared" si="8"/>
        <v/>
      </c>
      <c r="AF21" s="86" t="str">
        <f t="shared" si="6"/>
        <v/>
      </c>
      <c r="AG21" s="730">
        <v>0</v>
      </c>
      <c r="AH21" s="730">
        <v>0</v>
      </c>
      <c r="AI21" s="730">
        <v>0</v>
      </c>
      <c r="AJ21" s="162"/>
      <c r="AK21" s="326"/>
      <c r="AL21" s="326"/>
      <c r="AM21" s="326"/>
      <c r="AN21" s="326"/>
    </row>
    <row r="22" spans="1:43" ht="13.5" thickBot="1" x14ac:dyDescent="0.25">
      <c r="A22" s="9"/>
      <c r="B22" s="9"/>
      <c r="C22" s="112" t="s">
        <v>68</v>
      </c>
      <c r="D22" s="117">
        <f>SUM(D20:D21)</f>
        <v>2050.11</v>
      </c>
      <c r="E22" s="113">
        <f t="shared" si="13"/>
        <v>0.23178258377360239</v>
      </c>
      <c r="F22" s="117">
        <f>SUM(F20:F21)</f>
        <v>1686.8200000000002</v>
      </c>
      <c r="G22" s="113">
        <f t="shared" si="14"/>
        <v>0.20783166672416428</v>
      </c>
      <c r="H22" s="117">
        <f>SUM(H20:H21)</f>
        <v>1663.33</v>
      </c>
      <c r="I22" s="115">
        <f t="shared" si="15"/>
        <v>0.21490023914697787</v>
      </c>
      <c r="J22" s="370">
        <f t="shared" si="0"/>
        <v>0.811336952651321</v>
      </c>
      <c r="K22" s="370">
        <f t="shared" si="1"/>
        <v>-1.3925611505673537E-2</v>
      </c>
      <c r="L22" s="117">
        <f>SUM(L20:L21)</f>
        <v>9415.4399999999987</v>
      </c>
      <c r="M22" s="263">
        <f t="shared" si="16"/>
        <v>0.25754603334730186</v>
      </c>
      <c r="N22" s="117">
        <f>SUM(N20:N21)</f>
        <v>8388.08</v>
      </c>
      <c r="O22" s="113">
        <f t="shared" si="17"/>
        <v>0.22477206807623953</v>
      </c>
      <c r="P22" s="371">
        <f>SUM(P20:P21)</f>
        <v>8792.4599999999991</v>
      </c>
      <c r="Q22" s="363">
        <f t="shared" si="18"/>
        <v>0.25135972148329921</v>
      </c>
      <c r="R22" s="363">
        <f t="shared" si="2"/>
        <v>0.93383421273992506</v>
      </c>
      <c r="S22" s="128">
        <f t="shared" si="3"/>
        <v>4.8208886896643717E-2</v>
      </c>
      <c r="T22" s="350">
        <v>40591.42</v>
      </c>
      <c r="U22" s="351">
        <v>39426.509999999995</v>
      </c>
      <c r="V22" s="352">
        <v>31533.010000000002</v>
      </c>
      <c r="W22" s="372" t="s">
        <v>69</v>
      </c>
      <c r="X22" s="75">
        <f t="shared" ref="X22:AC22" si="23">X17-X18-X19-X20-X21</f>
        <v>15027.332179594448</v>
      </c>
      <c r="Y22" s="75">
        <v>26905.899999999998</v>
      </c>
      <c r="Z22" s="74">
        <f t="shared" si="23"/>
        <v>16528.11</v>
      </c>
      <c r="AA22" s="75">
        <f t="shared" si="23"/>
        <v>15027.332179594447</v>
      </c>
      <c r="AB22" s="75">
        <v>26905.829999999998</v>
      </c>
      <c r="AC22" s="74">
        <f t="shared" si="23"/>
        <v>16528.11</v>
      </c>
      <c r="AD22" s="76">
        <f t="shared" si="22"/>
        <v>1500.7778204055539</v>
      </c>
      <c r="AE22" s="77">
        <f t="shared" ref="AE22" si="24">IF(X22=0,"",(Z22-X22)/ABS(X22)+1)</f>
        <v>1.0998698772656035</v>
      </c>
      <c r="AF22" s="77">
        <f t="shared" si="6"/>
        <v>-0.38570525421442114</v>
      </c>
      <c r="AG22" s="730">
        <v>13673.784377077776</v>
      </c>
      <c r="AH22" s="730">
        <v>24043.829999999998</v>
      </c>
      <c r="AI22" s="730">
        <v>14619.810000000003</v>
      </c>
      <c r="AJ22" s="162"/>
      <c r="AK22" s="326"/>
      <c r="AL22" s="326"/>
      <c r="AM22" s="326"/>
      <c r="AN22" s="326"/>
    </row>
    <row r="23" spans="1:43" x14ac:dyDescent="0.2">
      <c r="A23" s="9"/>
      <c r="B23" s="9"/>
      <c r="C23" s="81" t="s">
        <v>70</v>
      </c>
      <c r="D23" s="83">
        <v>5618.22</v>
      </c>
      <c r="E23" s="126">
        <f t="shared" si="13"/>
        <v>0.63518813517739459</v>
      </c>
      <c r="F23" s="83">
        <v>6241.45</v>
      </c>
      <c r="G23" s="126">
        <f t="shared" si="14"/>
        <v>0.76900378005687331</v>
      </c>
      <c r="H23" s="83">
        <v>5995.92</v>
      </c>
      <c r="I23" s="127">
        <f t="shared" si="15"/>
        <v>0.77466566580663343</v>
      </c>
      <c r="J23" s="128">
        <f t="shared" si="0"/>
        <v>1.0672276984525348</v>
      </c>
      <c r="K23" s="128">
        <f t="shared" si="1"/>
        <v>-3.933861522562862E-2</v>
      </c>
      <c r="L23" s="83">
        <v>25749.88</v>
      </c>
      <c r="M23" s="126">
        <f t="shared" si="16"/>
        <v>0.70435151763157355</v>
      </c>
      <c r="N23" s="83">
        <v>24480.54</v>
      </c>
      <c r="O23" s="126">
        <f t="shared" si="17"/>
        <v>0.65599536525916602</v>
      </c>
      <c r="P23" s="83">
        <v>24454.85</v>
      </c>
      <c r="Q23" s="369">
        <f t="shared" si="18"/>
        <v>0.69911768548459252</v>
      </c>
      <c r="R23" s="127">
        <f t="shared" si="2"/>
        <v>0.94970733844196542</v>
      </c>
      <c r="S23" s="128">
        <f t="shared" si="3"/>
        <v>-1.0494049559365245E-3</v>
      </c>
      <c r="T23" s="350">
        <v>55531.88</v>
      </c>
      <c r="U23" s="351">
        <v>52897.59</v>
      </c>
      <c r="V23" s="352">
        <v>45889.11</v>
      </c>
      <c r="W23" s="373"/>
      <c r="X23" s="326" t="s">
        <v>71</v>
      </c>
      <c r="Y23" s="326" t="s">
        <v>71</v>
      </c>
      <c r="Z23" s="374" t="s">
        <v>71</v>
      </c>
      <c r="AA23" s="373" t="s">
        <v>71</v>
      </c>
      <c r="AB23" s="373" t="s">
        <v>71</v>
      </c>
      <c r="AC23" s="373" t="s">
        <v>71</v>
      </c>
      <c r="AD23" s="326"/>
      <c r="AE23" s="326"/>
      <c r="AF23" s="326"/>
      <c r="AG23" s="722" t="s">
        <v>71</v>
      </c>
      <c r="AH23" s="722" t="s">
        <v>71</v>
      </c>
      <c r="AI23" s="722" t="s">
        <v>71</v>
      </c>
      <c r="AJ23" s="326"/>
      <c r="AK23" s="326"/>
      <c r="AL23" s="326"/>
      <c r="AM23" s="326"/>
      <c r="AN23" s="326"/>
    </row>
    <row r="24" spans="1:43" x14ac:dyDescent="0.2">
      <c r="A24" s="9"/>
      <c r="B24" s="9"/>
      <c r="C24" s="81" t="s">
        <v>72</v>
      </c>
      <c r="D24" s="83">
        <v>0</v>
      </c>
      <c r="E24" s="126">
        <f t="shared" si="13"/>
        <v>0</v>
      </c>
      <c r="F24" s="83">
        <v>0</v>
      </c>
      <c r="G24" s="126">
        <f t="shared" si="14"/>
        <v>0</v>
      </c>
      <c r="H24" s="83">
        <v>0</v>
      </c>
      <c r="I24" s="127">
        <f t="shared" si="15"/>
        <v>0</v>
      </c>
      <c r="J24" s="128" t="str">
        <f t="shared" si="0"/>
        <v/>
      </c>
      <c r="K24" s="128" t="str">
        <f t="shared" si="1"/>
        <v/>
      </c>
      <c r="L24" s="83">
        <v>0</v>
      </c>
      <c r="M24" s="126">
        <f t="shared" si="16"/>
        <v>0</v>
      </c>
      <c r="N24" s="83">
        <v>0</v>
      </c>
      <c r="O24" s="126">
        <f t="shared" si="17"/>
        <v>0</v>
      </c>
      <c r="P24" s="83">
        <v>0</v>
      </c>
      <c r="Q24" s="369">
        <f t="shared" si="18"/>
        <v>0</v>
      </c>
      <c r="R24" s="127" t="str">
        <f t="shared" si="2"/>
        <v/>
      </c>
      <c r="S24" s="128" t="str">
        <f t="shared" si="3"/>
        <v/>
      </c>
      <c r="T24" s="350">
        <v>1507.68</v>
      </c>
      <c r="U24" s="351">
        <v>1338</v>
      </c>
      <c r="V24" s="352">
        <v>455</v>
      </c>
      <c r="W24" s="326"/>
      <c r="X24" s="373"/>
      <c r="Y24" s="326"/>
      <c r="Z24" s="373"/>
      <c r="AA24" s="326"/>
      <c r="AB24" s="326"/>
      <c r="AC24" s="373"/>
      <c r="AD24" s="326"/>
      <c r="AE24" s="326"/>
      <c r="AF24" s="326"/>
      <c r="AJ24" s="326"/>
      <c r="AK24" s="326"/>
      <c r="AL24" s="326"/>
      <c r="AM24" s="326"/>
      <c r="AN24" s="326"/>
    </row>
    <row r="25" spans="1:43" x14ac:dyDescent="0.2">
      <c r="A25" s="9"/>
      <c r="B25" s="9"/>
      <c r="C25" s="112" t="s">
        <v>73</v>
      </c>
      <c r="D25" s="117">
        <f>SUM(D23:D24)</f>
        <v>5618.22</v>
      </c>
      <c r="E25" s="263">
        <f t="shared" si="13"/>
        <v>0.63518813517739459</v>
      </c>
      <c r="F25" s="117">
        <f>SUM(F23:F24)</f>
        <v>6241.45</v>
      </c>
      <c r="G25" s="263">
        <f t="shared" si="14"/>
        <v>0.76900378005687331</v>
      </c>
      <c r="H25" s="117">
        <f>SUM(H23:H24)</f>
        <v>5995.92</v>
      </c>
      <c r="I25" s="363">
        <f t="shared" si="15"/>
        <v>0.77466566580663343</v>
      </c>
      <c r="J25" s="370">
        <f t="shared" si="0"/>
        <v>1.0672276984525348</v>
      </c>
      <c r="K25" s="370">
        <f t="shared" si="1"/>
        <v>-3.933861522562862E-2</v>
      </c>
      <c r="L25" s="117">
        <f>SUM(L23:L24)</f>
        <v>25749.88</v>
      </c>
      <c r="M25" s="263">
        <f t="shared" si="16"/>
        <v>0.70435151763157355</v>
      </c>
      <c r="N25" s="375">
        <f>SUM(N23:N24)</f>
        <v>24480.54</v>
      </c>
      <c r="O25" s="263">
        <f t="shared" si="17"/>
        <v>0.65599536525916602</v>
      </c>
      <c r="P25" s="371">
        <f>SUM(P23:P24)</f>
        <v>24454.85</v>
      </c>
      <c r="Q25" s="363">
        <f t="shared" si="18"/>
        <v>0.69911768548459252</v>
      </c>
      <c r="R25" s="363">
        <f t="shared" si="2"/>
        <v>0.94970733844196542</v>
      </c>
      <c r="S25" s="128">
        <f t="shared" si="3"/>
        <v>-1.0494049559365245E-3</v>
      </c>
      <c r="T25" s="350">
        <v>57039.56</v>
      </c>
      <c r="U25" s="351">
        <v>54235.59</v>
      </c>
      <c r="V25" s="352">
        <v>46344.11</v>
      </c>
      <c r="W25" s="175" t="s">
        <v>137</v>
      </c>
      <c r="X25" s="721" t="s">
        <v>138</v>
      </c>
      <c r="Y25" s="721"/>
      <c r="Z25" s="721" t="s">
        <v>139</v>
      </c>
      <c r="AA25" s="722"/>
      <c r="AB25" s="722"/>
      <c r="AC25" s="722"/>
      <c r="AD25" s="162"/>
      <c r="AE25" s="162"/>
      <c r="AF25" s="162"/>
      <c r="AJ25" s="162"/>
      <c r="AK25" s="162"/>
      <c r="AL25" s="162"/>
      <c r="AM25" s="162"/>
      <c r="AN25" s="162"/>
      <c r="AO25" s="162"/>
      <c r="AP25" s="162"/>
      <c r="AQ25" s="162"/>
    </row>
    <row r="26" spans="1:43" ht="13.5" thickBot="1" x14ac:dyDescent="0.25">
      <c r="A26" s="9"/>
      <c r="B26" s="9"/>
      <c r="C26" s="112" t="s">
        <v>75</v>
      </c>
      <c r="D26" s="117">
        <f>D22+D25</f>
        <v>7668.33</v>
      </c>
      <c r="E26" s="263">
        <f t="shared" si="13"/>
        <v>0.86697071895099687</v>
      </c>
      <c r="F26" s="117">
        <f>F22+F25</f>
        <v>7928.27</v>
      </c>
      <c r="G26" s="263">
        <f t="shared" si="14"/>
        <v>0.97683544678103762</v>
      </c>
      <c r="H26" s="117">
        <f>H22+H25</f>
        <v>7659.25</v>
      </c>
      <c r="I26" s="363">
        <f t="shared" si="15"/>
        <v>0.9895659049536113</v>
      </c>
      <c r="J26" s="370">
        <f t="shared" si="0"/>
        <v>0.9988159090701626</v>
      </c>
      <c r="K26" s="370">
        <f t="shared" si="1"/>
        <v>-3.3931740467970997E-2</v>
      </c>
      <c r="L26" s="117">
        <f>L22+L25</f>
        <v>35165.32</v>
      </c>
      <c r="M26" s="263">
        <f t="shared" si="16"/>
        <v>0.96189755097887542</v>
      </c>
      <c r="N26" s="117">
        <f>N22+N25</f>
        <v>32868.620000000003</v>
      </c>
      <c r="O26" s="263">
        <f t="shared" si="17"/>
        <v>0.88076743333540564</v>
      </c>
      <c r="P26" s="376">
        <f>P22+P25</f>
        <v>33247.31</v>
      </c>
      <c r="Q26" s="377">
        <f t="shared" si="18"/>
        <v>0.95047740696789162</v>
      </c>
      <c r="R26" s="377">
        <f t="shared" si="2"/>
        <v>0.94545734263188841</v>
      </c>
      <c r="S26" s="128">
        <f t="shared" si="3"/>
        <v>1.152132337773825E-2</v>
      </c>
      <c r="T26" s="350">
        <v>97630.98</v>
      </c>
      <c r="U26" s="351">
        <v>93662.099999999991</v>
      </c>
      <c r="V26" s="352">
        <v>77877.119999999995</v>
      </c>
      <c r="W26" s="162" t="s">
        <v>140</v>
      </c>
      <c r="X26" s="366">
        <f>+X22</f>
        <v>15027.332179594448</v>
      </c>
      <c r="Y26" s="162"/>
      <c r="Z26" s="366">
        <f>+Z22</f>
        <v>16528.11</v>
      </c>
      <c r="AA26" s="723">
        <f>+Z26/X26</f>
        <v>1.0998698772656035</v>
      </c>
      <c r="AB26" s="162"/>
      <c r="AC26" s="162"/>
      <c r="AD26" s="162"/>
      <c r="AE26" s="162"/>
      <c r="AF26" s="162"/>
      <c r="AJ26" s="162"/>
      <c r="AK26" s="162"/>
      <c r="AL26" s="162"/>
      <c r="AM26" s="162"/>
      <c r="AN26" s="162"/>
      <c r="AO26" s="162"/>
      <c r="AP26" s="162"/>
      <c r="AQ26" s="162"/>
    </row>
    <row r="27" spans="1:43" ht="13.5" thickBot="1" x14ac:dyDescent="0.25">
      <c r="A27" s="9"/>
      <c r="B27" s="9"/>
      <c r="C27" s="73" t="s">
        <v>76</v>
      </c>
      <c r="D27" s="74">
        <f>D19-D26</f>
        <v>1090.7000000000007</v>
      </c>
      <c r="E27" s="77">
        <f t="shared" si="13"/>
        <v>0.12331302423863513</v>
      </c>
      <c r="F27" s="74">
        <f>F19-F26</f>
        <v>188.01000000000022</v>
      </c>
      <c r="G27" s="77">
        <f t="shared" si="14"/>
        <v>2.3164553218962408E-2</v>
      </c>
      <c r="H27" s="74">
        <f>H19-H26</f>
        <v>80.759999999999309</v>
      </c>
      <c r="I27" s="145">
        <f t="shared" si="15"/>
        <v>1.0434095046388741E-2</v>
      </c>
      <c r="J27" s="146">
        <f t="shared" si="0"/>
        <v>7.4044191803428361E-2</v>
      </c>
      <c r="K27" s="146">
        <f t="shared" si="1"/>
        <v>-0.57044838040530177</v>
      </c>
      <c r="L27" s="74">
        <f>L19-L26</f>
        <v>1135.5999999999985</v>
      </c>
      <c r="M27" s="77">
        <f t="shared" si="16"/>
        <v>3.1062730522333069E-2</v>
      </c>
      <c r="N27" s="74">
        <f>N19-N26</f>
        <v>4408.9800000000032</v>
      </c>
      <c r="O27" s="77">
        <f t="shared" si="17"/>
        <v>0.11814569635801987</v>
      </c>
      <c r="P27" s="364">
        <f>P19-P26</f>
        <v>1732.2800000000061</v>
      </c>
      <c r="Q27" s="365">
        <f t="shared" si="18"/>
        <v>4.952259303210832E-2</v>
      </c>
      <c r="R27" s="365">
        <f t="shared" si="2"/>
        <v>1.5254314899612613</v>
      </c>
      <c r="S27" s="124">
        <f t="shared" si="3"/>
        <v>-0.60710186936660981</v>
      </c>
      <c r="T27" s="350">
        <v>25408.99000000002</v>
      </c>
      <c r="U27" s="351">
        <v>28078.800000000003</v>
      </c>
      <c r="V27" s="352">
        <v>26385.099999999991</v>
      </c>
      <c r="W27" s="163" t="s">
        <v>141</v>
      </c>
      <c r="X27" s="724">
        <f>+'VENEZUELA USD'!X22</f>
        <v>258.78313358411339</v>
      </c>
      <c r="Y27" s="163"/>
      <c r="Z27" s="724">
        <f>+'VENEZUELA USD'!Z22</f>
        <v>8.2969228413962011</v>
      </c>
      <c r="AA27" s="163"/>
      <c r="AB27" s="163"/>
      <c r="AC27" s="163"/>
      <c r="AD27" s="163"/>
      <c r="AE27" s="163"/>
      <c r="AF27" s="163"/>
      <c r="AG27" s="163"/>
      <c r="AJ27" s="162"/>
      <c r="AK27" s="162"/>
      <c r="AL27" s="162"/>
      <c r="AM27" s="162"/>
      <c r="AN27" s="162"/>
      <c r="AO27" s="162"/>
      <c r="AP27" s="162"/>
      <c r="AQ27" s="162"/>
    </row>
    <row r="28" spans="1:43" x14ac:dyDescent="0.2">
      <c r="A28" s="9"/>
      <c r="B28" s="9"/>
      <c r="C28" s="81" t="s">
        <v>77</v>
      </c>
      <c r="D28" s="83">
        <v>0.76</v>
      </c>
      <c r="E28" s="126">
        <f t="shared" si="13"/>
        <v>8.5924542423546928E-5</v>
      </c>
      <c r="F28" s="83">
        <v>0</v>
      </c>
      <c r="G28" s="126">
        <f t="shared" si="14"/>
        <v>0</v>
      </c>
      <c r="H28" s="83">
        <v>0</v>
      </c>
      <c r="I28" s="127">
        <f t="shared" si="15"/>
        <v>0</v>
      </c>
      <c r="J28" s="128">
        <f t="shared" si="0"/>
        <v>0</v>
      </c>
      <c r="K28" s="128" t="str">
        <f t="shared" si="1"/>
        <v/>
      </c>
      <c r="L28" s="83">
        <v>3.04</v>
      </c>
      <c r="M28" s="126">
        <f t="shared" si="16"/>
        <v>8.3154896783984377E-5</v>
      </c>
      <c r="N28" s="83">
        <v>815.72</v>
      </c>
      <c r="O28" s="126">
        <f t="shared" si="17"/>
        <v>2.1858526786958411E-2</v>
      </c>
      <c r="P28" s="83">
        <v>0</v>
      </c>
      <c r="Q28" s="127">
        <f t="shared" si="18"/>
        <v>0</v>
      </c>
      <c r="R28" s="127">
        <f t="shared" si="2"/>
        <v>0</v>
      </c>
      <c r="S28" s="128">
        <f t="shared" si="3"/>
        <v>-1</v>
      </c>
      <c r="T28" s="350">
        <v>164</v>
      </c>
      <c r="U28" s="351">
        <v>96</v>
      </c>
      <c r="V28" s="352">
        <v>640.95000000000005</v>
      </c>
      <c r="W28" s="163" t="s">
        <v>142</v>
      </c>
      <c r="X28" s="724">
        <f>+'PANAMA USD'!X22</f>
        <v>3084</v>
      </c>
      <c r="Y28" s="163"/>
      <c r="Z28" s="724">
        <f>+'PANAMA USD'!Z22</f>
        <v>3084</v>
      </c>
      <c r="AA28" s="163"/>
      <c r="AB28" s="163"/>
      <c r="AC28" s="163"/>
      <c r="AD28" s="163"/>
      <c r="AE28" s="163"/>
      <c r="AF28" s="163"/>
      <c r="AG28" s="163"/>
      <c r="AJ28" s="162"/>
      <c r="AK28" s="162"/>
      <c r="AL28" s="162"/>
      <c r="AM28" s="162"/>
      <c r="AN28" s="162"/>
      <c r="AO28" s="162"/>
      <c r="AP28" s="162"/>
      <c r="AQ28" s="162"/>
    </row>
    <row r="29" spans="1:43" ht="13.5" thickBot="1" x14ac:dyDescent="0.25">
      <c r="A29" s="9"/>
      <c r="B29" s="9"/>
      <c r="C29" s="81" t="s">
        <v>78</v>
      </c>
      <c r="D29" s="83">
        <v>63.02</v>
      </c>
      <c r="E29" s="126">
        <f t="shared" si="13"/>
        <v>7.1249535046472735E-3</v>
      </c>
      <c r="F29" s="83">
        <v>2.81</v>
      </c>
      <c r="G29" s="126">
        <f t="shared" si="14"/>
        <v>3.4621772536186525E-4</v>
      </c>
      <c r="H29" s="83">
        <v>6.52</v>
      </c>
      <c r="I29" s="127">
        <f t="shared" si="15"/>
        <v>8.4237617264060389E-4</v>
      </c>
      <c r="J29" s="128">
        <f t="shared" si="0"/>
        <v>0.10345921929546176</v>
      </c>
      <c r="K29" s="128">
        <f t="shared" si="1"/>
        <v>1.3202846975088967</v>
      </c>
      <c r="L29" s="83">
        <v>252.08</v>
      </c>
      <c r="M29" s="126">
        <f t="shared" si="16"/>
        <v>6.8952915727982832E-3</v>
      </c>
      <c r="N29" s="83">
        <v>44.01</v>
      </c>
      <c r="O29" s="126">
        <f t="shared" si="17"/>
        <v>1.1793185944859016E-3</v>
      </c>
      <c r="P29" s="83">
        <v>79.06</v>
      </c>
      <c r="Q29" s="127">
        <f t="shared" si="18"/>
        <v>2.2601751478505037E-3</v>
      </c>
      <c r="R29" s="127">
        <f t="shared" si="2"/>
        <v>0.31363059346239286</v>
      </c>
      <c r="S29" s="128">
        <f t="shared" si="3"/>
        <v>0.79640990683935486</v>
      </c>
      <c r="T29" s="350">
        <v>805.6</v>
      </c>
      <c r="U29" s="351">
        <v>5503.56</v>
      </c>
      <c r="V29" s="352">
        <v>284.18</v>
      </c>
      <c r="W29" s="176" t="s">
        <v>143</v>
      </c>
      <c r="X29" s="725">
        <f>SUM(X26:X28)</f>
        <v>18370.115313178561</v>
      </c>
      <c r="Y29" s="176"/>
      <c r="Z29" s="725">
        <f>SUM(Z26:Z28)</f>
        <v>19620.406922841397</v>
      </c>
      <c r="AA29" s="163" t="s">
        <v>144</v>
      </c>
      <c r="AB29" s="163"/>
      <c r="AC29" s="163"/>
      <c r="AD29" s="163"/>
      <c r="AE29" s="163"/>
      <c r="AF29" s="163"/>
      <c r="AG29" s="163"/>
      <c r="AJ29" s="162"/>
      <c r="AK29" s="162"/>
      <c r="AL29" s="162"/>
      <c r="AM29" s="162"/>
      <c r="AN29" s="162"/>
      <c r="AO29" s="162"/>
      <c r="AP29" s="162"/>
      <c r="AQ29" s="162"/>
    </row>
    <row r="30" spans="1:43" ht="13.5" thickBot="1" x14ac:dyDescent="0.25">
      <c r="A30" s="9"/>
      <c r="B30" s="9"/>
      <c r="C30" s="73" t="s">
        <v>79</v>
      </c>
      <c r="D30" s="74">
        <f>D27+D28-D29</f>
        <v>1028.4400000000007</v>
      </c>
      <c r="E30" s="77">
        <f t="shared" si="13"/>
        <v>0.11627399527641141</v>
      </c>
      <c r="F30" s="74">
        <f>F27+F28-F29</f>
        <v>185.20000000000022</v>
      </c>
      <c r="G30" s="77">
        <f t="shared" si="14"/>
        <v>2.2818335493600541E-2</v>
      </c>
      <c r="H30" s="74">
        <f>H27+H28-H29</f>
        <v>74.239999999999313</v>
      </c>
      <c r="I30" s="145">
        <f t="shared" si="15"/>
        <v>9.5917188737481372E-3</v>
      </c>
      <c r="J30" s="146">
        <f t="shared" si="0"/>
        <v>7.2187001672435192E-2</v>
      </c>
      <c r="K30" s="146">
        <f t="shared" si="1"/>
        <v>-0.59913606911447503</v>
      </c>
      <c r="L30" s="74">
        <f>L27+L28-L29</f>
        <v>886.55999999999847</v>
      </c>
      <c r="M30" s="77">
        <f t="shared" si="16"/>
        <v>2.4250593846318769E-2</v>
      </c>
      <c r="N30" s="74">
        <f>N27+N28-N29</f>
        <v>5180.6900000000032</v>
      </c>
      <c r="O30" s="77">
        <f t="shared" si="17"/>
        <v>0.13882490455049237</v>
      </c>
      <c r="P30" s="74">
        <f>P27+P28-P29</f>
        <v>1653.2200000000062</v>
      </c>
      <c r="Q30" s="145">
        <f t="shared" si="18"/>
        <v>4.7262417884257821E-2</v>
      </c>
      <c r="R30" s="145">
        <f t="shared" si="2"/>
        <v>1.8647581663959676</v>
      </c>
      <c r="S30" s="146">
        <f t="shared" si="3"/>
        <v>-0.68088806703354088</v>
      </c>
      <c r="T30" s="350">
        <v>24767.390000000021</v>
      </c>
      <c r="U30" s="311">
        <v>22671.24</v>
      </c>
      <c r="V30" s="311">
        <v>26741.869999999992</v>
      </c>
      <c r="W30" s="163" t="s">
        <v>145</v>
      </c>
      <c r="X30" s="724">
        <f>+X29-X27</f>
        <v>18111.332179594447</v>
      </c>
      <c r="Y30" s="163"/>
      <c r="Z30" s="724">
        <f>+Z29-Z27</f>
        <v>19612.11</v>
      </c>
      <c r="AA30" s="726">
        <f>+Z30/X30</f>
        <v>1.0828640215707843</v>
      </c>
      <c r="AB30" s="163"/>
      <c r="AC30" s="163"/>
      <c r="AD30" s="163"/>
      <c r="AE30" s="163"/>
      <c r="AF30" s="163"/>
      <c r="AG30" s="163"/>
      <c r="AJ30" s="162"/>
      <c r="AK30" s="162"/>
      <c r="AL30" s="162"/>
      <c r="AM30" s="162"/>
      <c r="AN30" s="162"/>
      <c r="AO30" s="162"/>
      <c r="AP30" s="162"/>
      <c r="AQ30" s="162"/>
    </row>
    <row r="31" spans="1:43" ht="13.5" thickBot="1" x14ac:dyDescent="0.25">
      <c r="A31" s="9"/>
      <c r="B31" s="151" t="s">
        <v>146</v>
      </c>
      <c r="C31" s="81" t="s">
        <v>63</v>
      </c>
      <c r="D31" s="83">
        <v>68.400000000000006</v>
      </c>
      <c r="E31" s="126">
        <f t="shared" si="13"/>
        <v>7.7332088181192244E-3</v>
      </c>
      <c r="F31" s="83">
        <v>47</v>
      </c>
      <c r="G31" s="126">
        <f t="shared" si="14"/>
        <v>5.7908302818532624E-3</v>
      </c>
      <c r="H31" s="83">
        <v>20.190000000000001</v>
      </c>
      <c r="I31" s="127">
        <f t="shared" si="15"/>
        <v>2.6085237615972078E-3</v>
      </c>
      <c r="J31" s="128">
        <f t="shared" si="0"/>
        <v>0.2951754385964912</v>
      </c>
      <c r="K31" s="128">
        <f t="shared" si="1"/>
        <v>-0.57042553191489354</v>
      </c>
      <c r="L31" s="83">
        <v>25.71</v>
      </c>
      <c r="M31" s="126">
        <f t="shared" si="16"/>
        <v>7.0326065668297312E-4</v>
      </c>
      <c r="N31" s="83">
        <v>1295.8699999999999</v>
      </c>
      <c r="O31" s="126">
        <f t="shared" si="17"/>
        <v>3.472491676974427E-2</v>
      </c>
      <c r="P31" s="83">
        <v>427.82</v>
      </c>
      <c r="Q31" s="369">
        <f t="shared" si="18"/>
        <v>1.2230560735560364E-2</v>
      </c>
      <c r="R31" s="127">
        <f t="shared" si="2"/>
        <v>16.640217814080124</v>
      </c>
      <c r="S31" s="128">
        <f t="shared" si="3"/>
        <v>-0.66985885929915812</v>
      </c>
      <c r="T31" s="350">
        <v>7430.21</v>
      </c>
      <c r="U31" s="311">
        <v>5823.17</v>
      </c>
      <c r="V31" s="311">
        <v>7527.85</v>
      </c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J31" s="162"/>
      <c r="AK31" s="162"/>
      <c r="AL31" s="162"/>
      <c r="AM31" s="162"/>
      <c r="AN31" s="162"/>
      <c r="AO31" s="162"/>
      <c r="AP31" s="162"/>
      <c r="AQ31" s="162"/>
    </row>
    <row r="32" spans="1:43" ht="13.5" thickBot="1" x14ac:dyDescent="0.25">
      <c r="A32" s="9"/>
      <c r="B32" s="9"/>
      <c r="C32" s="73" t="s">
        <v>80</v>
      </c>
      <c r="D32" s="141">
        <f>D30-D31</f>
        <v>960.04000000000076</v>
      </c>
      <c r="E32" s="142">
        <f t="shared" si="13"/>
        <v>0.10854078645829218</v>
      </c>
      <c r="F32" s="141">
        <f>F30-F31</f>
        <v>138.20000000000022</v>
      </c>
      <c r="G32" s="142">
        <f t="shared" si="14"/>
        <v>1.7027505211747278E-2</v>
      </c>
      <c r="H32" s="141">
        <f>H30-H31</f>
        <v>54.049999999999315</v>
      </c>
      <c r="I32" s="143">
        <f t="shared" si="15"/>
        <v>6.9831951121509302E-3</v>
      </c>
      <c r="J32" s="144">
        <f t="shared" si="0"/>
        <v>5.6299737510936199E-2</v>
      </c>
      <c r="K32" s="144">
        <f t="shared" si="1"/>
        <v>-0.60890014471780585</v>
      </c>
      <c r="L32" s="141">
        <f>L30-L31</f>
        <v>860.84999999999843</v>
      </c>
      <c r="M32" s="142">
        <f t="shared" si="16"/>
        <v>2.3547333189635793E-2</v>
      </c>
      <c r="N32" s="141">
        <f>N30-N31</f>
        <v>3884.8200000000033</v>
      </c>
      <c r="O32" s="142">
        <f t="shared" si="17"/>
        <v>0.10409998778074811</v>
      </c>
      <c r="P32" s="141">
        <f>P30-P31</f>
        <v>1225.4000000000062</v>
      </c>
      <c r="Q32" s="143">
        <f t="shared" si="18"/>
        <v>3.5031857148697457E-2</v>
      </c>
      <c r="R32" s="143">
        <f t="shared" si="2"/>
        <v>1.4234767961898223</v>
      </c>
      <c r="S32" s="144">
        <f t="shared" si="3"/>
        <v>-0.684567109930446</v>
      </c>
      <c r="T32" s="350">
        <v>17337.180000000022</v>
      </c>
      <c r="U32" s="311">
        <v>16848.07</v>
      </c>
      <c r="V32" s="311">
        <v>19214.01999999999</v>
      </c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J32" s="162"/>
      <c r="AK32" s="162"/>
      <c r="AL32" s="162"/>
      <c r="AM32" s="162"/>
      <c r="AN32" s="162"/>
      <c r="AO32" s="162"/>
      <c r="AP32" s="162"/>
      <c r="AQ32" s="162"/>
    </row>
    <row r="33" spans="1:43" ht="13.5" thickBot="1" x14ac:dyDescent="0.25">
      <c r="A33" s="9"/>
      <c r="B33" s="151" t="s">
        <v>147</v>
      </c>
      <c r="C33" s="73" t="s">
        <v>82</v>
      </c>
      <c r="D33" s="141">
        <v>1549.4800000000007</v>
      </c>
      <c r="E33" s="142">
        <f t="shared" si="13"/>
        <v>0.17518205262425995</v>
      </c>
      <c r="F33" s="141">
        <v>595.50000000000023</v>
      </c>
      <c r="G33" s="142">
        <f t="shared" si="14"/>
        <v>7.3371051762630188E-2</v>
      </c>
      <c r="H33" s="141">
        <v>433.99999999999932</v>
      </c>
      <c r="I33" s="143">
        <f t="shared" si="15"/>
        <v>5.6072278976383672E-2</v>
      </c>
      <c r="J33" s="144">
        <f t="shared" si="0"/>
        <v>0.28009396700828604</v>
      </c>
      <c r="K33" s="144">
        <f t="shared" si="1"/>
        <v>-0.27120067170445145</v>
      </c>
      <c r="L33" s="66">
        <v>2970.7199999999984</v>
      </c>
      <c r="M33" s="142">
        <f t="shared" si="16"/>
        <v>8.1259840452012469E-2</v>
      </c>
      <c r="N33" s="141">
        <v>6231.3100000000031</v>
      </c>
      <c r="O33" s="142">
        <f t="shared" si="17"/>
        <v>0.16697795389697676</v>
      </c>
      <c r="P33" s="141">
        <v>3120.0300000000061</v>
      </c>
      <c r="Q33" s="143">
        <f t="shared" si="18"/>
        <v>8.9195728137465471E-2</v>
      </c>
      <c r="R33" s="143">
        <f t="shared" si="2"/>
        <v>1.0502605428986937</v>
      </c>
      <c r="S33" s="144">
        <f t="shared" si="3"/>
        <v>-0.49929790044147948</v>
      </c>
      <c r="T33" s="350">
        <v>32358.630000000019</v>
      </c>
      <c r="U33" s="311">
        <v>37688.950000000004</v>
      </c>
      <c r="V33" s="311">
        <v>31910.549999999992</v>
      </c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J33" s="162"/>
      <c r="AK33" s="162"/>
      <c r="AL33" s="162"/>
      <c r="AM33" s="162"/>
      <c r="AN33" s="162"/>
      <c r="AO33" s="162"/>
      <c r="AP33" s="162"/>
      <c r="AQ33" s="162"/>
    </row>
    <row r="34" spans="1:43" ht="13.5" thickBot="1" x14ac:dyDescent="0.25">
      <c r="A34" s="9"/>
      <c r="B34" s="9"/>
      <c r="C34" s="379" t="s">
        <v>46</v>
      </c>
      <c r="D34" s="380">
        <v>5446.89</v>
      </c>
      <c r="E34" s="381">
        <f t="shared" si="13"/>
        <v>0.61581780379130735</v>
      </c>
      <c r="F34" s="380">
        <v>6048.93</v>
      </c>
      <c r="G34" s="381">
        <f t="shared" si="14"/>
        <v>0.74528355354916287</v>
      </c>
      <c r="H34" s="380">
        <v>5859.95</v>
      </c>
      <c r="I34" s="382">
        <f t="shared" si="15"/>
        <v>0.75709850504069121</v>
      </c>
      <c r="J34" s="383">
        <f t="shared" si="0"/>
        <v>1.075834099825772</v>
      </c>
      <c r="K34" s="383">
        <f t="shared" si="1"/>
        <v>-3.1241889061371261E-2</v>
      </c>
      <c r="L34" s="117">
        <v>24187.56</v>
      </c>
      <c r="M34" s="381">
        <f t="shared" si="16"/>
        <v>0.66161646554487796</v>
      </c>
      <c r="N34" s="380">
        <v>22999.86</v>
      </c>
      <c r="O34" s="381">
        <f t="shared" si="17"/>
        <v>0.61631816788394711</v>
      </c>
      <c r="P34" s="380">
        <v>23000.82</v>
      </c>
      <c r="Q34" s="384">
        <f t="shared" si="18"/>
        <v>0.65754973114321802</v>
      </c>
      <c r="R34" s="382">
        <f t="shared" si="2"/>
        <v>0.95093593566279522</v>
      </c>
      <c r="S34" s="383">
        <f t="shared" si="3"/>
        <v>4.1739384500563348E-5</v>
      </c>
      <c r="T34" s="358">
        <v>49825.919999999998</v>
      </c>
      <c r="U34" s="311">
        <v>50822.77</v>
      </c>
      <c r="V34" s="311">
        <v>43201.47</v>
      </c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J34" s="162"/>
      <c r="AK34" s="162"/>
      <c r="AL34" s="162"/>
      <c r="AM34" s="162"/>
      <c r="AN34" s="162"/>
      <c r="AO34" s="162"/>
      <c r="AP34" s="162"/>
      <c r="AQ34" s="162"/>
    </row>
    <row r="35" spans="1:43" s="162" customFormat="1" x14ac:dyDescent="0.2">
      <c r="A35" s="163"/>
      <c r="B35" s="9"/>
      <c r="C35" s="385"/>
      <c r="D35" s="378"/>
      <c r="E35" s="378"/>
      <c r="F35" s="378" t="s">
        <v>71</v>
      </c>
      <c r="G35" s="378"/>
      <c r="H35" s="378" t="s">
        <v>71</v>
      </c>
      <c r="I35" s="378"/>
      <c r="J35" s="378"/>
      <c r="K35" s="378"/>
      <c r="L35" s="378"/>
      <c r="M35" s="378"/>
      <c r="N35" s="378" t="s">
        <v>71</v>
      </c>
      <c r="O35" s="378"/>
      <c r="P35" s="378" t="s">
        <v>71</v>
      </c>
      <c r="Q35" s="378"/>
      <c r="R35" s="378"/>
      <c r="S35" s="378"/>
      <c r="T35" s="326"/>
    </row>
    <row r="36" spans="1:43" s="162" customFormat="1" x14ac:dyDescent="0.2">
      <c r="A36" s="163"/>
      <c r="B36" s="163"/>
      <c r="F36" s="36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  <c r="AH36" s="326"/>
      <c r="AJ36" s="326"/>
      <c r="AK36" s="35"/>
      <c r="AL36" s="35"/>
      <c r="AM36" s="35"/>
      <c r="AN36" s="35"/>
    </row>
    <row r="37" spans="1:43" s="162" customFormat="1" x14ac:dyDescent="0.2">
      <c r="C37" s="175" t="s">
        <v>148</v>
      </c>
      <c r="D37" s="366" t="s">
        <v>149</v>
      </c>
      <c r="H37" s="366" t="s">
        <v>150</v>
      </c>
      <c r="L37" s="366" t="s">
        <v>151</v>
      </c>
      <c r="P37" s="366" t="s">
        <v>152</v>
      </c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J37" s="326"/>
      <c r="AK37" s="35"/>
      <c r="AL37" s="35"/>
      <c r="AM37" s="35"/>
      <c r="AN37" s="35"/>
    </row>
    <row r="38" spans="1:43" s="162" customFormat="1" x14ac:dyDescent="0.2">
      <c r="C38" s="162" t="s">
        <v>153</v>
      </c>
      <c r="D38" s="366">
        <f>+D27</f>
        <v>1090.7000000000007</v>
      </c>
      <c r="H38" s="366">
        <f>+H27</f>
        <v>80.759999999999309</v>
      </c>
      <c r="L38" s="366">
        <f>+L27</f>
        <v>1135.5999999999985</v>
      </c>
      <c r="P38" s="366">
        <f>+P27</f>
        <v>1732.2800000000061</v>
      </c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J38" s="326"/>
      <c r="AK38" s="35"/>
      <c r="AL38" s="35"/>
      <c r="AM38" s="35"/>
      <c r="AN38" s="35"/>
    </row>
    <row r="39" spans="1:43" s="162" customFormat="1" x14ac:dyDescent="0.2">
      <c r="C39" s="162" t="s">
        <v>141</v>
      </c>
      <c r="D39" s="366">
        <f>+'VENEZUELA USD'!D27</f>
        <v>0</v>
      </c>
      <c r="H39" s="366">
        <f>+'VENEZUELA USD'!H27</f>
        <v>-50.329597148106032</v>
      </c>
      <c r="L39" s="366">
        <f>+'VENEZUELA USD'!L27</f>
        <v>0</v>
      </c>
      <c r="P39" s="366">
        <f>+'VENEZUELA USD'!P27</f>
        <v>-0.28705931239611004</v>
      </c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  <c r="AH39" s="326"/>
      <c r="AJ39" s="326"/>
      <c r="AK39" s="35"/>
      <c r="AL39" s="35"/>
      <c r="AM39" s="35"/>
      <c r="AN39" s="35"/>
    </row>
    <row r="40" spans="1:43" s="162" customFormat="1" x14ac:dyDescent="0.2">
      <c r="C40" s="162" t="s">
        <v>142</v>
      </c>
      <c r="D40" s="366">
        <f>+'PANAMA USD'!D27</f>
        <v>-1875</v>
      </c>
      <c r="H40" s="366">
        <f>+'PANAMA USD'!H27</f>
        <v>-1875</v>
      </c>
      <c r="L40" s="366">
        <f>+'PANAMA USD'!L27</f>
        <v>-3795</v>
      </c>
      <c r="P40" s="366">
        <f>+'PANAMA USD'!P27</f>
        <v>-3795</v>
      </c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J40" s="35"/>
      <c r="AK40" s="35"/>
      <c r="AL40" s="35"/>
      <c r="AM40" s="35"/>
      <c r="AN40" s="35"/>
    </row>
    <row r="41" spans="1:43" s="162" customFormat="1" x14ac:dyDescent="0.2">
      <c r="C41" s="175" t="s">
        <v>154</v>
      </c>
      <c r="D41" s="727">
        <f>SUM(D38:D40)</f>
        <v>-784.29999999999927</v>
      </c>
      <c r="E41" s="175"/>
      <c r="F41" s="175"/>
      <c r="G41" s="175"/>
      <c r="H41" s="727">
        <f>SUM(H38:H40)</f>
        <v>-1844.5695971481068</v>
      </c>
      <c r="L41" s="366">
        <f>SUM(L38:L40)</f>
        <v>-2659.4000000000015</v>
      </c>
      <c r="P41" s="366">
        <f>SUM(P38:P40)</f>
        <v>-2063.0070593123901</v>
      </c>
      <c r="U41" s="326"/>
      <c r="V41" s="326"/>
      <c r="W41" s="326"/>
      <c r="X41" s="326"/>
      <c r="Y41" s="326"/>
      <c r="Z41" s="326"/>
      <c r="AA41" s="378"/>
      <c r="AB41" s="326"/>
      <c r="AC41" s="378"/>
      <c r="AD41" s="326"/>
      <c r="AE41" s="326"/>
      <c r="AF41" s="326"/>
      <c r="AG41" s="326"/>
      <c r="AH41" s="326"/>
      <c r="AJ41" s="35"/>
      <c r="AK41" s="35"/>
      <c r="AL41" s="35"/>
      <c r="AM41" s="35"/>
      <c r="AN41" s="35"/>
    </row>
    <row r="42" spans="1:43" s="162" customFormat="1" x14ac:dyDescent="0.2">
      <c r="C42" s="162" t="s">
        <v>155</v>
      </c>
      <c r="D42" s="366">
        <f>+D41-D39</f>
        <v>-784.29999999999927</v>
      </c>
      <c r="H42" s="366">
        <f>+H41-H39</f>
        <v>-1794.2400000000007</v>
      </c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  <c r="AH42" s="326"/>
      <c r="AJ42" s="35"/>
      <c r="AK42" s="35"/>
      <c r="AL42" s="35"/>
      <c r="AM42" s="35"/>
      <c r="AN42" s="35"/>
    </row>
    <row r="43" spans="1:43" s="162" customFormat="1" x14ac:dyDescent="0.2">
      <c r="C43" s="175" t="s">
        <v>156</v>
      </c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J43" s="35"/>
      <c r="AK43" s="35"/>
      <c r="AL43" s="35"/>
      <c r="AM43" s="35"/>
      <c r="AN43" s="35"/>
    </row>
    <row r="44" spans="1:43" s="162" customFormat="1" x14ac:dyDescent="0.2">
      <c r="C44" s="162" t="s">
        <v>157</v>
      </c>
      <c r="D44" s="366">
        <f>+D32</f>
        <v>960.04000000000076</v>
      </c>
      <c r="H44" s="366">
        <f>+H32</f>
        <v>54.049999999999315</v>
      </c>
      <c r="I44" s="162">
        <f>+H44/D44</f>
        <v>5.6299737510936289E-2</v>
      </c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  <c r="AH44" s="326"/>
      <c r="AJ44" s="35"/>
      <c r="AK44" s="35"/>
      <c r="AL44" s="35"/>
      <c r="AM44" s="35"/>
      <c r="AN44" s="35"/>
    </row>
    <row r="45" spans="1:43" s="162" customFormat="1" x14ac:dyDescent="0.2">
      <c r="C45" s="162" t="s">
        <v>158</v>
      </c>
      <c r="D45" s="366">
        <f>+'VENEZUELA USD'!D32</f>
        <v>0</v>
      </c>
      <c r="H45" s="366">
        <f>+'VENEZUELA USD'!H32</f>
        <v>-51.895656547983556</v>
      </c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  <c r="AH45" s="326"/>
      <c r="AJ45" s="35"/>
      <c r="AK45" s="35"/>
      <c r="AL45" s="35"/>
      <c r="AM45" s="35"/>
      <c r="AN45" s="35"/>
    </row>
    <row r="46" spans="1:43" x14ac:dyDescent="0.2">
      <c r="B46" s="162"/>
      <c r="C46" s="162" t="s">
        <v>159</v>
      </c>
      <c r="D46" s="366">
        <f>+'PANAMA USD'!D32</f>
        <v>-1875</v>
      </c>
      <c r="E46" s="162"/>
      <c r="F46" s="162"/>
      <c r="G46" s="162"/>
      <c r="H46" s="366">
        <f>+'PANAMA USD'!H32</f>
        <v>-1875</v>
      </c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  <c r="AH46" s="326"/>
    </row>
    <row r="47" spans="1:43" x14ac:dyDescent="0.2">
      <c r="B47" s="162"/>
      <c r="C47" s="175" t="s">
        <v>160</v>
      </c>
      <c r="D47" s="727">
        <f>SUM(D44:D46)</f>
        <v>-914.95999999999924</v>
      </c>
      <c r="E47" s="175"/>
      <c r="F47" s="175"/>
      <c r="G47" s="175"/>
      <c r="H47" s="727">
        <f>SUM(H44:H46)</f>
        <v>-1872.8456565479842</v>
      </c>
      <c r="I47" s="162" t="s">
        <v>161</v>
      </c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U47" s="386"/>
      <c r="V47" s="38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</row>
    <row r="48" spans="1:43" x14ac:dyDescent="0.2"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U48" s="386"/>
      <c r="V48" s="38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</row>
    <row r="49" spans="2:35" x14ac:dyDescent="0.2">
      <c r="B49" s="162"/>
      <c r="C49" s="175" t="s">
        <v>162</v>
      </c>
      <c r="D49" s="727">
        <f>+D47-D45</f>
        <v>-914.95999999999924</v>
      </c>
      <c r="E49" s="175"/>
      <c r="F49" s="175"/>
      <c r="G49" s="175"/>
      <c r="H49" s="727">
        <f>+H47-H45</f>
        <v>-1820.9500000000005</v>
      </c>
      <c r="I49" s="162" t="s">
        <v>163</v>
      </c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U49" s="386"/>
      <c r="V49" s="386"/>
      <c r="W49" s="326"/>
      <c r="X49" s="326"/>
      <c r="Y49" s="326"/>
      <c r="Z49" s="326"/>
      <c r="AA49" s="326"/>
      <c r="AB49" s="326"/>
      <c r="AC49" s="326"/>
      <c r="AD49" s="326"/>
      <c r="AE49" s="326"/>
      <c r="AF49" s="326"/>
      <c r="AG49" s="326"/>
      <c r="AH49" s="326"/>
    </row>
    <row r="50" spans="2:35" x14ac:dyDescent="0.2">
      <c r="B50" s="162"/>
      <c r="C50" s="162"/>
      <c r="D50" s="162"/>
      <c r="E50" s="162"/>
      <c r="F50" s="162"/>
      <c r="G50" s="162"/>
      <c r="H50" s="723">
        <f>+H49/D49</f>
        <v>1.9901962927341108</v>
      </c>
      <c r="I50" s="162"/>
      <c r="J50" s="162">
        <f>+H49/D49</f>
        <v>1.9901962927341108</v>
      </c>
      <c r="K50" s="162"/>
      <c r="L50" s="162"/>
      <c r="M50" s="162"/>
      <c r="N50" s="162"/>
      <c r="O50" s="162"/>
      <c r="P50" s="162"/>
      <c r="Q50" s="162"/>
      <c r="R50" s="162"/>
      <c r="S50" s="162"/>
      <c r="U50" s="386"/>
      <c r="V50" s="386"/>
      <c r="W50" s="326"/>
      <c r="X50" s="326"/>
      <c r="Y50" s="326"/>
      <c r="Z50" s="326"/>
      <c r="AA50" s="326"/>
      <c r="AB50" s="326"/>
      <c r="AC50" s="326"/>
      <c r="AD50" s="326"/>
      <c r="AE50" s="326"/>
      <c r="AF50" s="326"/>
      <c r="AG50" s="326"/>
      <c r="AH50" s="326"/>
    </row>
    <row r="51" spans="2:35" x14ac:dyDescent="0.2">
      <c r="B51" s="162"/>
      <c r="C51" s="162"/>
      <c r="D51" s="366"/>
      <c r="E51" s="162"/>
      <c r="F51" s="162"/>
      <c r="G51" s="162"/>
      <c r="H51" s="366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U51" s="386"/>
      <c r="V51" s="386"/>
      <c r="W51" s="326"/>
      <c r="X51" s="326"/>
      <c r="Y51" s="326"/>
      <c r="Z51" s="326"/>
      <c r="AA51" s="326"/>
      <c r="AB51" s="326"/>
      <c r="AC51" s="326"/>
      <c r="AD51" s="326"/>
      <c r="AE51" s="326"/>
      <c r="AF51" s="326"/>
      <c r="AG51" s="326"/>
      <c r="AH51" s="326"/>
    </row>
    <row r="52" spans="2:35" x14ac:dyDescent="0.2"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U52" s="386"/>
      <c r="V52" s="386"/>
      <c r="W52" s="326"/>
      <c r="X52" s="326"/>
      <c r="Y52" s="326"/>
      <c r="Z52" s="326"/>
      <c r="AA52" s="326"/>
      <c r="AB52" s="326"/>
      <c r="AC52" s="326"/>
      <c r="AD52" s="326"/>
      <c r="AE52" s="326"/>
      <c r="AF52" s="326"/>
      <c r="AG52" s="326"/>
      <c r="AH52" s="326"/>
    </row>
    <row r="53" spans="2:35" x14ac:dyDescent="0.2">
      <c r="B53" s="162"/>
      <c r="C53" s="162"/>
      <c r="D53" s="162"/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U53" s="386"/>
      <c r="V53" s="386"/>
      <c r="W53" s="326"/>
      <c r="X53" s="326"/>
      <c r="Y53" s="326"/>
      <c r="Z53" s="326"/>
      <c r="AA53" s="326"/>
      <c r="AB53" s="326"/>
      <c r="AC53" s="326"/>
      <c r="AD53" s="326"/>
      <c r="AE53" s="326"/>
      <c r="AF53" s="326"/>
      <c r="AG53" s="326"/>
      <c r="AH53" s="326"/>
      <c r="AI53" s="35"/>
    </row>
    <row r="54" spans="2:35" x14ac:dyDescent="0.2">
      <c r="B54" s="162"/>
      <c r="C54" s="162"/>
      <c r="D54" s="162"/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U54" s="386"/>
      <c r="V54" s="386"/>
      <c r="W54" s="326"/>
      <c r="X54" s="326"/>
      <c r="Y54" s="326"/>
      <c r="Z54" s="326"/>
      <c r="AA54" s="326"/>
      <c r="AB54" s="326"/>
      <c r="AC54" s="326"/>
      <c r="AD54" s="326"/>
      <c r="AE54" s="326"/>
      <c r="AF54" s="326"/>
      <c r="AG54" s="326"/>
      <c r="AH54" s="326"/>
      <c r="AI54" s="35"/>
    </row>
    <row r="55" spans="2:35" x14ac:dyDescent="0.2">
      <c r="B55" s="162"/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U55" s="386"/>
      <c r="V55" s="386"/>
      <c r="W55" s="326"/>
      <c r="X55" s="326"/>
      <c r="Y55" s="326"/>
      <c r="Z55" s="326"/>
      <c r="AA55" s="326"/>
      <c r="AB55" s="326"/>
      <c r="AC55" s="326"/>
      <c r="AD55" s="326"/>
      <c r="AE55" s="326"/>
      <c r="AF55" s="326"/>
      <c r="AG55" s="326"/>
      <c r="AH55" s="326"/>
      <c r="AI55" s="35"/>
    </row>
    <row r="56" spans="2:35" x14ac:dyDescent="0.2">
      <c r="B56" s="162"/>
      <c r="C56" s="162"/>
      <c r="D56" s="162"/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U56" s="386"/>
      <c r="V56" s="386"/>
      <c r="W56" s="326"/>
      <c r="X56" s="326"/>
      <c r="Y56" s="326"/>
      <c r="Z56" s="326"/>
      <c r="AA56" s="326"/>
      <c r="AB56" s="326"/>
      <c r="AC56" s="326"/>
      <c r="AD56" s="326"/>
      <c r="AE56" s="326"/>
      <c r="AF56" s="326"/>
      <c r="AG56" s="326"/>
      <c r="AH56" s="326"/>
    </row>
    <row r="57" spans="2:35" x14ac:dyDescent="0.2">
      <c r="B57" s="162"/>
      <c r="C57" s="162"/>
      <c r="D57" s="162"/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U57" s="386"/>
      <c r="V57" s="386"/>
      <c r="W57" s="326"/>
      <c r="X57" s="326"/>
      <c r="Y57" s="326"/>
      <c r="Z57" s="326"/>
      <c r="AA57" s="326"/>
      <c r="AB57" s="326"/>
      <c r="AC57" s="326"/>
      <c r="AD57" s="326"/>
      <c r="AE57" s="326"/>
      <c r="AF57" s="326"/>
      <c r="AG57" s="326"/>
      <c r="AH57" s="326"/>
    </row>
    <row r="58" spans="2:35" x14ac:dyDescent="0.2">
      <c r="C58" s="162"/>
      <c r="D58" s="162"/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U58" s="386"/>
      <c r="V58" s="386"/>
      <c r="W58" s="326"/>
      <c r="X58" s="326"/>
      <c r="Y58" s="326"/>
      <c r="Z58" s="326"/>
      <c r="AA58" s="326"/>
      <c r="AB58" s="326"/>
      <c r="AC58" s="326"/>
      <c r="AD58" s="326"/>
      <c r="AE58" s="326"/>
      <c r="AF58" s="326"/>
      <c r="AG58" s="326"/>
      <c r="AH58" s="326"/>
    </row>
    <row r="59" spans="2:35" x14ac:dyDescent="0.2">
      <c r="C59" s="326"/>
      <c r="D59" s="326"/>
      <c r="E59" s="326"/>
      <c r="F59" s="326"/>
      <c r="G59" s="326"/>
      <c r="H59" s="326"/>
      <c r="I59" s="326"/>
      <c r="J59" s="326"/>
      <c r="K59" s="326"/>
      <c r="L59" s="326"/>
      <c r="M59" s="326"/>
      <c r="N59" s="326"/>
      <c r="O59" s="326"/>
      <c r="P59" s="326"/>
      <c r="Q59" s="326"/>
      <c r="R59" s="326"/>
      <c r="S59" s="326"/>
      <c r="T59" s="386"/>
      <c r="U59" s="386"/>
      <c r="V59" s="386"/>
      <c r="W59" s="326"/>
      <c r="X59" s="326"/>
      <c r="Y59" s="326"/>
      <c r="Z59" s="326"/>
      <c r="AA59" s="326"/>
      <c r="AB59" s="326"/>
      <c r="AC59" s="326"/>
      <c r="AD59" s="326"/>
      <c r="AE59" s="326"/>
      <c r="AF59" s="326"/>
      <c r="AG59" s="326"/>
      <c r="AH59" s="326"/>
    </row>
    <row r="60" spans="2:35" x14ac:dyDescent="0.2">
      <c r="C60" s="326"/>
      <c r="D60" s="326"/>
      <c r="E60" s="326"/>
      <c r="F60" s="326"/>
      <c r="G60" s="326"/>
      <c r="H60" s="326"/>
      <c r="I60" s="326"/>
      <c r="J60" s="326"/>
      <c r="K60" s="326"/>
      <c r="L60" s="326"/>
      <c r="M60" s="326"/>
      <c r="N60" s="326"/>
      <c r="O60" s="326"/>
      <c r="P60" s="326"/>
      <c r="Q60" s="326"/>
      <c r="R60" s="326"/>
      <c r="S60" s="326"/>
      <c r="T60" s="386"/>
      <c r="U60" s="386"/>
      <c r="V60" s="386"/>
      <c r="W60" s="326"/>
      <c r="X60" s="326"/>
      <c r="Y60" s="326"/>
      <c r="Z60" s="326"/>
      <c r="AA60" s="326"/>
      <c r="AB60" s="326"/>
      <c r="AC60" s="326"/>
      <c r="AD60" s="326"/>
      <c r="AE60" s="326"/>
      <c r="AF60" s="326"/>
      <c r="AG60" s="326"/>
      <c r="AH60" s="326"/>
    </row>
    <row r="61" spans="2:35" x14ac:dyDescent="0.2">
      <c r="C61" s="326"/>
      <c r="D61" s="326"/>
      <c r="E61" s="326"/>
      <c r="F61" s="326"/>
      <c r="G61" s="326"/>
      <c r="H61" s="326"/>
      <c r="I61" s="326"/>
      <c r="J61" s="326"/>
      <c r="K61" s="326"/>
      <c r="L61" s="326"/>
      <c r="M61" s="326"/>
      <c r="N61" s="326"/>
      <c r="O61" s="326"/>
      <c r="P61" s="326"/>
      <c r="Q61" s="326"/>
      <c r="R61" s="326"/>
      <c r="S61" s="326"/>
      <c r="T61" s="386"/>
      <c r="U61" s="386"/>
      <c r="V61" s="386"/>
      <c r="W61" s="326"/>
      <c r="X61" s="326"/>
      <c r="Y61" s="326"/>
      <c r="Z61" s="326"/>
      <c r="AA61" s="326"/>
      <c r="AB61" s="326"/>
      <c r="AC61" s="326"/>
      <c r="AD61" s="326"/>
      <c r="AE61" s="326"/>
      <c r="AF61" s="326"/>
      <c r="AG61" s="326"/>
      <c r="AH61" s="326"/>
    </row>
    <row r="62" spans="2:35" x14ac:dyDescent="0.2">
      <c r="C62" s="326"/>
      <c r="D62" s="326"/>
      <c r="E62" s="326"/>
      <c r="F62" s="326"/>
      <c r="G62" s="326"/>
      <c r="H62" s="326"/>
      <c r="I62" s="326"/>
      <c r="J62" s="326"/>
      <c r="K62" s="326"/>
      <c r="L62" s="326"/>
      <c r="M62" s="326"/>
      <c r="N62" s="326"/>
      <c r="O62" s="326"/>
      <c r="P62" s="326"/>
      <c r="Q62" s="326"/>
      <c r="R62" s="326"/>
      <c r="S62" s="326"/>
      <c r="T62" s="386"/>
      <c r="U62" s="386"/>
      <c r="V62" s="386"/>
      <c r="W62" s="326"/>
      <c r="X62" s="326"/>
      <c r="Y62" s="326"/>
      <c r="Z62" s="326"/>
      <c r="AA62" s="326"/>
      <c r="AB62" s="326"/>
      <c r="AC62" s="326"/>
      <c r="AD62" s="326"/>
      <c r="AE62" s="326"/>
      <c r="AF62" s="326"/>
      <c r="AG62" s="326"/>
      <c r="AH62" s="326"/>
    </row>
    <row r="63" spans="2:35" x14ac:dyDescent="0.2">
      <c r="C63" s="326"/>
      <c r="D63" s="326"/>
      <c r="E63" s="326"/>
      <c r="F63" s="326"/>
      <c r="G63" s="326"/>
      <c r="H63" s="326"/>
      <c r="I63" s="326"/>
      <c r="J63" s="326"/>
      <c r="K63" s="326"/>
      <c r="L63" s="326"/>
      <c r="M63" s="326"/>
      <c r="N63" s="326"/>
      <c r="O63" s="326"/>
      <c r="P63" s="326"/>
      <c r="Q63" s="326"/>
      <c r="R63" s="326"/>
      <c r="S63" s="326"/>
      <c r="T63" s="386"/>
      <c r="U63" s="386"/>
      <c r="V63" s="386"/>
      <c r="W63" s="326"/>
      <c r="X63" s="326"/>
      <c r="Y63" s="326"/>
      <c r="Z63" s="326"/>
      <c r="AA63" s="326"/>
      <c r="AB63" s="326"/>
      <c r="AC63" s="326"/>
      <c r="AD63" s="326"/>
      <c r="AE63" s="326"/>
      <c r="AF63" s="326"/>
      <c r="AG63" s="326"/>
      <c r="AH63" s="326"/>
    </row>
    <row r="64" spans="2:35" x14ac:dyDescent="0.2">
      <c r="N64" s="35"/>
      <c r="T64" s="387"/>
      <c r="U64" s="387"/>
      <c r="V64" s="387"/>
    </row>
    <row r="65" spans="14:22" x14ac:dyDescent="0.2">
      <c r="N65" s="35"/>
      <c r="T65" s="387"/>
      <c r="U65" s="387"/>
      <c r="V65" s="387"/>
    </row>
    <row r="66" spans="14:22" x14ac:dyDescent="0.2">
      <c r="N66" s="35"/>
      <c r="T66" s="387"/>
      <c r="U66" s="387"/>
      <c r="V66" s="387"/>
    </row>
    <row r="67" spans="14:22" x14ac:dyDescent="0.2">
      <c r="N67" s="35"/>
      <c r="T67" s="387"/>
      <c r="U67" s="387"/>
      <c r="V67" s="387"/>
    </row>
    <row r="68" spans="14:22" x14ac:dyDescent="0.2">
      <c r="N68" s="35"/>
      <c r="T68" s="387"/>
      <c r="U68" s="387"/>
      <c r="V68" s="387"/>
    </row>
    <row r="69" spans="14:22" x14ac:dyDescent="0.2">
      <c r="N69" s="35"/>
      <c r="T69" s="387"/>
      <c r="U69" s="387"/>
      <c r="V69" s="387"/>
    </row>
    <row r="70" spans="14:22" x14ac:dyDescent="0.2">
      <c r="N70" s="35"/>
      <c r="T70" s="387"/>
      <c r="U70" s="387"/>
      <c r="V70" s="387"/>
    </row>
    <row r="71" spans="14:22" x14ac:dyDescent="0.2">
      <c r="N71" s="35"/>
      <c r="T71" s="387"/>
      <c r="U71" s="387"/>
      <c r="V71" s="387"/>
    </row>
    <row r="72" spans="14:22" x14ac:dyDescent="0.2">
      <c r="N72" s="35"/>
      <c r="T72" s="387"/>
      <c r="U72" s="387"/>
      <c r="V72" s="387"/>
    </row>
    <row r="73" spans="14:22" x14ac:dyDescent="0.2">
      <c r="N73" s="35"/>
      <c r="T73" s="387"/>
      <c r="U73" s="387"/>
      <c r="V73" s="387"/>
    </row>
  </sheetData>
  <mergeCells count="14">
    <mergeCell ref="AA6:AC6"/>
    <mergeCell ref="AG4:AI4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A8CC-0678-45E7-BC1B-2AE3ED04A423}">
  <dimension ref="A1:AM53"/>
  <sheetViews>
    <sheetView topLeftCell="C4" zoomScale="82" zoomScaleNormal="82" workbookViewId="0">
      <pane xSplit="1" ySplit="3" topLeftCell="D13" activePane="bottomRight" state="frozen"/>
      <selection activeCell="C4" sqref="C4"/>
      <selection pane="topRight" activeCell="D4" sqref="D4"/>
      <selection pane="bottomLeft" activeCell="C7" sqref="C7"/>
      <selection pane="bottomRight" activeCell="H37" sqref="H37"/>
    </sheetView>
  </sheetViews>
  <sheetFormatPr baseColWidth="10" defaultRowHeight="15" x14ac:dyDescent="0.25"/>
  <cols>
    <col min="1" max="2" width="11.42578125" style="10" hidden="1" customWidth="1"/>
    <col min="3" max="3" width="35.7109375" style="10" customWidth="1"/>
    <col min="4" max="4" width="15.28515625" style="10" bestFit="1" customWidth="1"/>
    <col min="5" max="5" width="6.140625" style="10" customWidth="1"/>
    <col min="6" max="6" width="14.7109375" style="20" customWidth="1"/>
    <col min="7" max="7" width="7.7109375" style="10" customWidth="1"/>
    <col min="8" max="8" width="15.42578125" style="10" customWidth="1"/>
    <col min="9" max="9" width="7" style="10" customWidth="1"/>
    <col min="10" max="10" width="11.140625" style="10" customWidth="1"/>
    <col min="11" max="11" width="8.140625" style="10" customWidth="1"/>
    <col min="12" max="12" width="18.42578125" style="12" customWidth="1"/>
    <col min="13" max="13" width="6.5703125" style="10" customWidth="1"/>
    <col min="14" max="14" width="13.7109375" style="392" customWidth="1"/>
    <col min="15" max="15" width="9.28515625" style="10" customWidth="1"/>
    <col min="16" max="16" width="15.85546875" style="10" customWidth="1"/>
    <col min="17" max="17" width="5.7109375" style="10" customWidth="1"/>
    <col min="18" max="18" width="10.140625" style="10" customWidth="1"/>
    <col min="19" max="19" width="8.85546875" style="10" customWidth="1"/>
    <col min="20" max="20" width="14.140625" style="390" customWidth="1"/>
    <col min="21" max="21" width="13.140625" style="138" customWidth="1"/>
    <col min="22" max="22" width="14.85546875" style="138" customWidth="1"/>
    <col min="23" max="23" width="34.140625" style="10" customWidth="1"/>
    <col min="24" max="24" width="11.42578125" style="10"/>
    <col min="25" max="25" width="14.28515625" style="10" customWidth="1"/>
    <col min="26" max="26" width="14.42578125" style="10" customWidth="1"/>
    <col min="27" max="27" width="11.42578125" style="10"/>
    <col min="28" max="28" width="13.85546875" style="10" customWidth="1"/>
    <col min="29" max="29" width="14.5703125" style="10" customWidth="1"/>
    <col min="30" max="30" width="16.5703125" style="10" customWidth="1"/>
    <col min="31" max="31" width="10" style="10" customWidth="1"/>
    <col min="32" max="32" width="9.42578125" style="10" customWidth="1"/>
    <col min="33" max="34" width="13.140625" style="15" customWidth="1"/>
    <col min="35" max="35" width="18.5703125" style="15" customWidth="1"/>
    <col min="36" max="16384" width="11.42578125" style="10"/>
  </cols>
  <sheetData>
    <row r="1" spans="1:38" s="4" customFormat="1" ht="30.75" hidden="1" thickBot="1" x14ac:dyDescent="0.3">
      <c r="C1" s="3" t="s">
        <v>0</v>
      </c>
      <c r="D1" s="4" t="s">
        <v>1</v>
      </c>
      <c r="F1" s="388" t="s">
        <v>2</v>
      </c>
      <c r="H1" s="4" t="s">
        <v>3</v>
      </c>
      <c r="K1" s="4" t="s">
        <v>4</v>
      </c>
      <c r="L1" s="5" t="s">
        <v>5</v>
      </c>
      <c r="N1" s="389" t="s">
        <v>6</v>
      </c>
      <c r="P1" s="4" t="s">
        <v>7</v>
      </c>
      <c r="T1" s="390" t="s">
        <v>5</v>
      </c>
      <c r="U1" s="391" t="s">
        <v>6</v>
      </c>
      <c r="V1" s="391" t="s">
        <v>7</v>
      </c>
      <c r="AG1" s="8"/>
      <c r="AH1" s="8"/>
      <c r="AI1" s="8"/>
    </row>
    <row r="2" spans="1:38" ht="31.5" hidden="1" thickBot="1" x14ac:dyDescent="0.35">
      <c r="A2" s="4" t="s">
        <v>8</v>
      </c>
      <c r="B2" s="195">
        <v>201301</v>
      </c>
      <c r="D2" s="10">
        <f>B2</f>
        <v>201301</v>
      </c>
      <c r="F2" s="20" t="str">
        <f>CONCATENATE(LEFT(B2,4)-1,RIGHT(B2,2))</f>
        <v>201201</v>
      </c>
      <c r="H2" s="10">
        <f>B2</f>
        <v>201301</v>
      </c>
      <c r="L2" s="12" t="s">
        <v>10</v>
      </c>
      <c r="N2" s="392" t="str">
        <f>+F2</f>
        <v>201201</v>
      </c>
      <c r="P2" s="11">
        <f>D2</f>
        <v>201301</v>
      </c>
      <c r="T2" s="390" t="s">
        <v>10</v>
      </c>
      <c r="U2" s="138" t="s">
        <v>84</v>
      </c>
      <c r="V2" s="138">
        <v>201301</v>
      </c>
      <c r="Z2" s="14"/>
      <c r="AA2" s="14"/>
      <c r="AB2" s="14"/>
      <c r="AC2" s="14"/>
    </row>
    <row r="3" spans="1:38" ht="19.5" hidden="1" thickBot="1" x14ac:dyDescent="0.35">
      <c r="B3" s="10">
        <v>1000</v>
      </c>
      <c r="C3" s="17" t="s">
        <v>164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W3" s="19" t="str">
        <f>+C3</f>
        <v>MUSICAR S.A. VENEZUELA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8" ht="19.5" thickBot="1" x14ac:dyDescent="0.35">
      <c r="A4" s="10" t="s">
        <v>94</v>
      </c>
      <c r="B4" s="10">
        <v>1</v>
      </c>
      <c r="C4" s="21"/>
      <c r="D4" s="182" t="str">
        <f>+'COLOMB$ '!D4:K4</f>
        <v>31/04/2022</v>
      </c>
      <c r="E4" s="26"/>
      <c r="F4" s="26"/>
      <c r="G4" s="26"/>
      <c r="H4" s="27"/>
      <c r="I4" s="27"/>
      <c r="J4" s="393"/>
      <c r="K4" s="394"/>
      <c r="L4" s="25" t="s">
        <v>13</v>
      </c>
      <c r="M4" s="26"/>
      <c r="N4" s="26"/>
      <c r="O4" s="26"/>
      <c r="P4" s="27"/>
      <c r="Q4" s="27"/>
      <c r="R4" s="27"/>
      <c r="S4" s="27"/>
      <c r="T4" s="395" t="s">
        <v>129</v>
      </c>
      <c r="U4" s="181"/>
      <c r="V4" s="181"/>
      <c r="W4" s="14"/>
      <c r="X4" s="201" t="str">
        <f>+'COLOMB$ '!X4:Z4</f>
        <v>ABRIL</v>
      </c>
      <c r="Y4" s="202"/>
      <c r="Z4" s="202"/>
      <c r="AA4" s="396" t="str">
        <f>+'EL SALVADOR USD'!AA4:AC4</f>
        <v>ACUM  ABRIL</v>
      </c>
      <c r="AB4" s="397"/>
      <c r="AC4" s="398"/>
      <c r="AD4" s="10" t="s">
        <v>24</v>
      </c>
      <c r="AE4" s="10" t="s">
        <v>20</v>
      </c>
      <c r="AF4" s="10" t="s">
        <v>21</v>
      </c>
      <c r="AG4" s="20"/>
      <c r="AH4" s="20"/>
      <c r="AI4" s="20"/>
      <c r="AJ4" s="15"/>
      <c r="AK4" s="15"/>
      <c r="AL4" s="15"/>
    </row>
    <row r="5" spans="1:38" ht="15.75" customHeight="1" thickBot="1" x14ac:dyDescent="0.3">
      <c r="A5" s="10" t="s">
        <v>95</v>
      </c>
      <c r="B5" s="10" t="s">
        <v>96</v>
      </c>
      <c r="C5" s="36" t="s">
        <v>165</v>
      </c>
      <c r="D5" s="184" t="str">
        <f>+'COL. CONS.$'!D5:E5</f>
        <v>Ppto 2022</v>
      </c>
      <c r="E5" s="185"/>
      <c r="F5" s="184" t="str">
        <f>+'COL. CONS.$'!F5:G5</f>
        <v>Real 2021</v>
      </c>
      <c r="G5" s="185"/>
      <c r="H5" s="184" t="str">
        <f>+'COL. CONS.$'!H5:I5</f>
        <v>real 2022</v>
      </c>
      <c r="I5" s="399"/>
      <c r="J5" s="400" t="s">
        <v>20</v>
      </c>
      <c r="K5" s="400" t="s">
        <v>21</v>
      </c>
      <c r="L5" s="401" t="str">
        <f>+D5</f>
        <v>Ppto 2022</v>
      </c>
      <c r="M5" s="206"/>
      <c r="N5" s="401" t="str">
        <f>+F5</f>
        <v>Real 2021</v>
      </c>
      <c r="O5" s="206"/>
      <c r="P5" s="401" t="str">
        <f>+H5</f>
        <v>real 2022</v>
      </c>
      <c r="Q5" s="206"/>
      <c r="R5" s="402" t="s">
        <v>20</v>
      </c>
      <c r="S5" s="403" t="s">
        <v>21</v>
      </c>
      <c r="T5" s="404" t="s">
        <v>166</v>
      </c>
      <c r="U5" s="405" t="s">
        <v>167</v>
      </c>
      <c r="V5" s="405" t="s">
        <v>168</v>
      </c>
      <c r="W5" s="336" t="s">
        <v>165</v>
      </c>
      <c r="X5" s="43" t="str">
        <f>+D5</f>
        <v>Ppto 2022</v>
      </c>
      <c r="Y5" s="43" t="str">
        <f>+F5</f>
        <v>Real 2021</v>
      </c>
      <c r="Z5" s="210" t="str">
        <f>+P5</f>
        <v>real 2022</v>
      </c>
      <c r="AA5" s="406" t="str">
        <f>+X5</f>
        <v>Ppto 2022</v>
      </c>
      <c r="AB5" s="406" t="str">
        <f>+Y5</f>
        <v>Real 2021</v>
      </c>
      <c r="AC5" s="407" t="str">
        <f t="shared" ref="AC5" si="0">+Z5</f>
        <v>real 2022</v>
      </c>
      <c r="AD5" s="47" t="s">
        <v>24</v>
      </c>
      <c r="AE5" s="47" t="s">
        <v>20</v>
      </c>
      <c r="AF5" s="47" t="s">
        <v>21</v>
      </c>
      <c r="AG5" s="408" t="s">
        <v>129</v>
      </c>
      <c r="AH5" s="409"/>
      <c r="AI5" s="409"/>
      <c r="AJ5" s="15"/>
      <c r="AK5" s="15"/>
      <c r="AL5" s="15"/>
    </row>
    <row r="6" spans="1:38" ht="15.75" thickBot="1" x14ac:dyDescent="0.3">
      <c r="C6" s="50" t="s">
        <v>26</v>
      </c>
      <c r="D6" s="186" t="s">
        <v>27</v>
      </c>
      <c r="E6" s="52" t="s">
        <v>28</v>
      </c>
      <c r="F6" s="186" t="s">
        <v>27</v>
      </c>
      <c r="G6" s="53" t="s">
        <v>28</v>
      </c>
      <c r="H6" s="186" t="s">
        <v>27</v>
      </c>
      <c r="I6" s="54" t="s">
        <v>28</v>
      </c>
      <c r="J6" s="410" t="s">
        <v>29</v>
      </c>
      <c r="K6" s="410" t="s">
        <v>29</v>
      </c>
      <c r="L6" s="186" t="s">
        <v>27</v>
      </c>
      <c r="M6" s="52" t="s">
        <v>28</v>
      </c>
      <c r="N6" s="186" t="s">
        <v>27</v>
      </c>
      <c r="O6" s="54" t="s">
        <v>28</v>
      </c>
      <c r="P6" s="186" t="s">
        <v>27</v>
      </c>
      <c r="Q6" s="54" t="s">
        <v>28</v>
      </c>
      <c r="R6" s="55" t="s">
        <v>29</v>
      </c>
      <c r="S6" s="54" t="s">
        <v>29</v>
      </c>
      <c r="T6" s="404" t="s">
        <v>27</v>
      </c>
      <c r="U6" s="411" t="s">
        <v>27</v>
      </c>
      <c r="V6" s="411" t="s">
        <v>27</v>
      </c>
      <c r="W6" s="344" t="str">
        <f>+'COLOMB$ '!W6</f>
        <v xml:space="preserve">Flujo de Caja </v>
      </c>
      <c r="X6" s="58"/>
      <c r="Y6" s="58"/>
      <c r="Z6" s="59"/>
      <c r="AA6" s="345" t="s">
        <v>31</v>
      </c>
      <c r="AB6" s="253"/>
      <c r="AC6" s="346"/>
      <c r="AD6" s="62" t="s">
        <v>169</v>
      </c>
      <c r="AE6" s="63" t="s">
        <v>29</v>
      </c>
      <c r="AF6" s="347" t="s">
        <v>29</v>
      </c>
      <c r="AG6" s="10" t="s">
        <v>17</v>
      </c>
      <c r="AH6" s="10" t="s">
        <v>168</v>
      </c>
      <c r="AI6" s="10" t="s">
        <v>19</v>
      </c>
      <c r="AJ6" s="15"/>
      <c r="AK6" s="15"/>
      <c r="AL6" s="15"/>
    </row>
    <row r="7" spans="1:38" ht="15.75" thickBot="1" x14ac:dyDescent="0.3">
      <c r="B7" s="11" t="s">
        <v>97</v>
      </c>
      <c r="C7" s="65" t="str">
        <f>+'COLOMB$ '!C7</f>
        <v>Fact. Musical Experience  (Ambiental)</v>
      </c>
      <c r="D7" s="66"/>
      <c r="E7" s="67" t="e">
        <f t="shared" ref="E7:E12" si="1">+D7/$D$17</f>
        <v>#DIV/0!</v>
      </c>
      <c r="F7" s="66">
        <v>1629088135</v>
      </c>
      <c r="G7" s="67">
        <f t="shared" ref="G7:G12" si="2">+F7/$F$17</f>
        <v>0.47723403195566999</v>
      </c>
      <c r="H7" s="66">
        <v>9519</v>
      </c>
      <c r="I7" s="68">
        <f t="shared" ref="I7:I12" si="3">+H7/$H$17</f>
        <v>0.36169038102689061</v>
      </c>
      <c r="J7" s="412" t="str">
        <f>IF(D7=0,"",(H7-D7)/ABS(D7)+1)</f>
        <v/>
      </c>
      <c r="K7" s="412">
        <f>IF(F7=0,"",(H7-F7)/ABS(F7))</f>
        <v>-0.99999415685388926</v>
      </c>
      <c r="L7" s="66"/>
      <c r="M7" s="67" t="e">
        <f t="shared" ref="M7:M12" si="4">+L7/$L$17</f>
        <v>#DIV/0!</v>
      </c>
      <c r="N7" s="66">
        <v>5256261314</v>
      </c>
      <c r="O7" s="67">
        <f t="shared" ref="O7:O12" si="5">+N7/$N$17</f>
        <v>0.48265208843882745</v>
      </c>
      <c r="P7" s="66">
        <v>29856</v>
      </c>
      <c r="Q7" s="68">
        <f t="shared" ref="Q7:Q12" si="6">+P7/$P$17</f>
        <v>0.24575867495772935</v>
      </c>
      <c r="R7" s="69" t="str">
        <f>IF(L7=0,"",(P7-L7)/ABS(L7)+1)</f>
        <v/>
      </c>
      <c r="S7" s="349">
        <f>IF(N7=0,"",(P7-N7)/ABS(N7))</f>
        <v>-0.99999431991710142</v>
      </c>
      <c r="T7" s="413"/>
      <c r="U7" s="413"/>
      <c r="V7" s="413"/>
      <c r="W7" s="73" t="s">
        <v>35</v>
      </c>
      <c r="X7" s="75">
        <v>236652</v>
      </c>
      <c r="Y7" s="75">
        <v>876442793.87</v>
      </c>
      <c r="Z7" s="74">
        <v>10685.76</v>
      </c>
      <c r="AA7" s="414">
        <v>236652</v>
      </c>
      <c r="AB7" s="75">
        <v>458570656.94</v>
      </c>
      <c r="AC7" s="74">
        <v>14767</v>
      </c>
      <c r="AD7" s="76">
        <f>+AC7-AA7</f>
        <v>-221885</v>
      </c>
      <c r="AE7" s="77">
        <f>IF(AA7=0,"",(AC7-AA7)/ABS(AA7)+1)</f>
        <v>6.2399641667934325E-2</v>
      </c>
      <c r="AF7" s="77">
        <f>IF(Y7=0,"",(AC7-AB7)/ABS(AB7))</f>
        <v>-0.99996779776512845</v>
      </c>
      <c r="AG7" s="220"/>
      <c r="AH7" s="220"/>
      <c r="AI7" s="220">
        <v>14767</v>
      </c>
      <c r="AJ7" s="79"/>
      <c r="AK7" s="15"/>
      <c r="AL7" s="15"/>
    </row>
    <row r="8" spans="1:38" x14ac:dyDescent="0.25">
      <c r="B8" s="11" t="s">
        <v>98</v>
      </c>
      <c r="C8" s="65" t="str">
        <f>+'COLOMB$ '!C8</f>
        <v>Instalaciones</v>
      </c>
      <c r="D8" s="66"/>
      <c r="E8" s="67" t="e">
        <f t="shared" si="1"/>
        <v>#DIV/0!</v>
      </c>
      <c r="F8" s="66">
        <v>456355434</v>
      </c>
      <c r="G8" s="67">
        <f t="shared" si="2"/>
        <v>0.13368726902716019</v>
      </c>
      <c r="H8" s="66">
        <v>5973.2</v>
      </c>
      <c r="I8" s="68">
        <f t="shared" si="3"/>
        <v>0.22696175900302795</v>
      </c>
      <c r="J8" s="412" t="str">
        <f t="shared" ref="J8:J33" si="7">IF(D8=0,"",(H8-D8)/ABS(D8)+1)</f>
        <v/>
      </c>
      <c r="K8" s="412">
        <f t="shared" ref="K8:K33" si="8">IF(F8=0,"",(H8-F8)/ABS(F8))</f>
        <v>-0.99998691107948989</v>
      </c>
      <c r="L8" s="66"/>
      <c r="M8" s="67" t="e">
        <f t="shared" si="4"/>
        <v>#DIV/0!</v>
      </c>
      <c r="N8" s="66">
        <v>1361746548.7</v>
      </c>
      <c r="O8" s="67">
        <f t="shared" si="5"/>
        <v>0.12504131290121404</v>
      </c>
      <c r="P8" s="66">
        <v>9970.5499999999993</v>
      </c>
      <c r="Q8" s="68">
        <f t="shared" si="6"/>
        <v>8.2072252029735671E-2</v>
      </c>
      <c r="R8" s="69" t="str">
        <f t="shared" ref="R8:R34" si="9">IF(L8=0,"",(P8-L8)/ABS(L8)+1)</f>
        <v/>
      </c>
      <c r="S8" s="349">
        <f t="shared" ref="S8:S34" si="10">IF(N8=0,"",(P8-N8)/ABS(N8))</f>
        <v>-0.99999267811619608</v>
      </c>
      <c r="T8" s="413"/>
      <c r="U8" s="413"/>
      <c r="V8" s="413"/>
      <c r="W8" s="81" t="s">
        <v>38</v>
      </c>
      <c r="X8" s="90"/>
      <c r="Y8" s="90">
        <v>2327816306.1399999</v>
      </c>
      <c r="Z8" s="91">
        <v>15160.97</v>
      </c>
      <c r="AA8" s="355">
        <f>+AG8+X8</f>
        <v>0</v>
      </c>
      <c r="AB8" s="90">
        <v>6695866973.1099987</v>
      </c>
      <c r="AC8" s="356">
        <f>+Z8+AI8</f>
        <v>38174.300000000003</v>
      </c>
      <c r="AD8" s="85">
        <f>+AC8-AA8</f>
        <v>38174.300000000003</v>
      </c>
      <c r="AE8" s="86" t="str">
        <f>IF(AA8=0,"",(AC8-AA8)/ABS(AA8)+1)</f>
        <v/>
      </c>
      <c r="AF8" s="86">
        <f>IF(AB8=0,"",(AC8-AB8)/ABS(AB8))</f>
        <v>-0.99999429882640234</v>
      </c>
      <c r="AG8" s="220"/>
      <c r="AH8" s="220"/>
      <c r="AI8" s="220">
        <v>23013.33</v>
      </c>
      <c r="AJ8" s="79"/>
      <c r="AK8" s="79">
        <v>232.69962000000001</v>
      </c>
      <c r="AL8" s="15"/>
    </row>
    <row r="9" spans="1:38" x14ac:dyDescent="0.25">
      <c r="B9" s="11" t="s">
        <v>99</v>
      </c>
      <c r="C9" s="65" t="str">
        <f>+'COLOMB$ '!C9</f>
        <v>Fact.Voice Experience (Publihold)</v>
      </c>
      <c r="D9" s="66"/>
      <c r="E9" s="67" t="e">
        <f t="shared" si="1"/>
        <v>#DIV/0!</v>
      </c>
      <c r="F9" s="66">
        <v>383526896</v>
      </c>
      <c r="G9" s="67">
        <f t="shared" si="2"/>
        <v>0.11235247682994323</v>
      </c>
      <c r="H9" s="66">
        <v>3720.6</v>
      </c>
      <c r="I9" s="68">
        <f t="shared" si="3"/>
        <v>0.14137044139601315</v>
      </c>
      <c r="J9" s="412" t="str">
        <f t="shared" si="7"/>
        <v/>
      </c>
      <c r="K9" s="412">
        <f t="shared" si="8"/>
        <v>-0.99999029898544578</v>
      </c>
      <c r="L9" s="66"/>
      <c r="M9" s="67" t="e">
        <f t="shared" si="4"/>
        <v>#DIV/0!</v>
      </c>
      <c r="N9" s="66">
        <v>2104157519.6400001</v>
      </c>
      <c r="O9" s="67">
        <f t="shared" si="5"/>
        <v>0.19321262026176902</v>
      </c>
      <c r="P9" s="66">
        <v>13121.289999999999</v>
      </c>
      <c r="Q9" s="68">
        <f t="shared" si="6"/>
        <v>0.10800746396490167</v>
      </c>
      <c r="R9" s="69" t="str">
        <f t="shared" si="9"/>
        <v/>
      </c>
      <c r="S9" s="349">
        <f t="shared" si="10"/>
        <v>-0.9999937641122979</v>
      </c>
      <c r="T9" s="413"/>
      <c r="U9" s="413"/>
      <c r="V9" s="413"/>
      <c r="W9" s="81" t="s">
        <v>41</v>
      </c>
      <c r="X9" s="90"/>
      <c r="Y9" s="90"/>
      <c r="Z9" s="91"/>
      <c r="AA9" s="355">
        <f t="shared" ref="AA9:AA12" si="11">+AG9+X9</f>
        <v>0</v>
      </c>
      <c r="AB9" s="90">
        <v>0</v>
      </c>
      <c r="AC9" s="356">
        <f t="shared" ref="AC9:AC12" si="12">+Z9+AI9</f>
        <v>0</v>
      </c>
      <c r="AD9" s="85">
        <f>+AA9-AC9</f>
        <v>0</v>
      </c>
      <c r="AE9" s="86" t="str">
        <f>IF(AA9=0,"",(AC9-AA9)/ABS(AA9)+1)</f>
        <v/>
      </c>
      <c r="AF9" s="86" t="str">
        <f t="shared" ref="AF9:AF22" si="13">IF(AB9=0,"",(AC9-AB9)/ABS(AB9))</f>
        <v/>
      </c>
      <c r="AG9" s="220"/>
      <c r="AH9" s="220"/>
      <c r="AI9" s="220">
        <v>0</v>
      </c>
      <c r="AJ9" s="79"/>
      <c r="AK9" s="79">
        <v>232.69962000000001</v>
      </c>
      <c r="AL9" s="15"/>
    </row>
    <row r="10" spans="1:38" x14ac:dyDescent="0.25">
      <c r="B10" s="219" t="s">
        <v>100</v>
      </c>
      <c r="C10" s="65" t="str">
        <f>+'COLOMB$ '!C10</f>
        <v>Fact. Service &amp; Equipment Experience</v>
      </c>
      <c r="D10" s="66"/>
      <c r="E10" s="67" t="e">
        <f t="shared" si="1"/>
        <v>#DIV/0!</v>
      </c>
      <c r="F10" s="66">
        <v>308000000</v>
      </c>
      <c r="G10" s="67">
        <f t="shared" si="2"/>
        <v>9.0227212809665669E-2</v>
      </c>
      <c r="H10" s="66">
        <v>3320.99</v>
      </c>
      <c r="I10" s="68">
        <f t="shared" si="3"/>
        <v>0.12618658876840985</v>
      </c>
      <c r="J10" s="412" t="str">
        <f>IF(D10=0,"",(H10-D10)/ABS(D10)+1)</f>
        <v/>
      </c>
      <c r="K10" s="412">
        <f>IF(F10=0,"",(H10-F10)/ABS(F10))</f>
        <v>-0.99998921756493508</v>
      </c>
      <c r="L10" s="66"/>
      <c r="M10" s="67" t="e">
        <f t="shared" si="4"/>
        <v>#DIV/0!</v>
      </c>
      <c r="N10" s="66">
        <v>330235664</v>
      </c>
      <c r="O10" s="67">
        <f t="shared" si="5"/>
        <v>3.0323631833533857E-2</v>
      </c>
      <c r="P10" s="66">
        <v>57866.07</v>
      </c>
      <c r="Q10" s="68">
        <f t="shared" si="6"/>
        <v>0.47632263827074001</v>
      </c>
      <c r="R10" s="69" t="str">
        <f>IF(L10=0,"",(P10-L10)/ABS(L10)+1)</f>
        <v/>
      </c>
      <c r="S10" s="349">
        <f>IF(N10=0,"",(P10-N10)/ABS(N10))</f>
        <v>-0.99982477340787757</v>
      </c>
      <c r="T10" s="413"/>
      <c r="U10" s="413"/>
      <c r="V10" s="413"/>
      <c r="W10" s="81" t="s">
        <v>44</v>
      </c>
      <c r="X10" s="90"/>
      <c r="Y10" s="90">
        <v>0</v>
      </c>
      <c r="Z10" s="91">
        <v>0</v>
      </c>
      <c r="AA10" s="355">
        <f t="shared" si="11"/>
        <v>0</v>
      </c>
      <c r="AB10" s="90">
        <v>0</v>
      </c>
      <c r="AC10" s="356">
        <f t="shared" si="12"/>
        <v>0</v>
      </c>
      <c r="AD10" s="85">
        <f>+AA10-AC10</f>
        <v>0</v>
      </c>
      <c r="AE10" s="86" t="str">
        <f t="shared" ref="AE10:AE21" si="14">IF(AA10=0,"",(AC10-AA10)/ABS(AA10)+1)</f>
        <v/>
      </c>
      <c r="AF10" s="86" t="str">
        <f t="shared" si="13"/>
        <v/>
      </c>
      <c r="AG10" s="220"/>
      <c r="AH10" s="220"/>
      <c r="AI10" s="220">
        <v>0</v>
      </c>
      <c r="AJ10" s="79"/>
      <c r="AK10" s="79">
        <v>232.69962000000001</v>
      </c>
      <c r="AL10" s="15"/>
    </row>
    <row r="11" spans="1:38" ht="13.5" customHeight="1" x14ac:dyDescent="0.25">
      <c r="B11" s="11">
        <v>4170250500</v>
      </c>
      <c r="C11" s="65" t="str">
        <f>+'COLOMB$ '!C11</f>
        <v>POP Satelital</v>
      </c>
      <c r="D11" s="66"/>
      <c r="E11" s="67" t="e">
        <f t="shared" si="1"/>
        <v>#DIV/0!</v>
      </c>
      <c r="F11" s="66"/>
      <c r="G11" s="67">
        <f t="shared" si="2"/>
        <v>0</v>
      </c>
      <c r="H11" s="66"/>
      <c r="I11" s="68">
        <f t="shared" si="3"/>
        <v>0</v>
      </c>
      <c r="J11" s="412" t="str">
        <f>IF(D11=0,"",(H11-D11)/ABS(D11)+1)</f>
        <v/>
      </c>
      <c r="K11" s="412" t="str">
        <f>IF(F11=0,"",(H11-F11)/ABS(F11))</f>
        <v/>
      </c>
      <c r="L11" s="66"/>
      <c r="M11" s="67" t="e">
        <f t="shared" si="4"/>
        <v>#DIV/0!</v>
      </c>
      <c r="N11" s="66"/>
      <c r="O11" s="67">
        <f t="shared" si="5"/>
        <v>0</v>
      </c>
      <c r="P11" s="66"/>
      <c r="Q11" s="68">
        <f t="shared" si="6"/>
        <v>0</v>
      </c>
      <c r="R11" s="69" t="str">
        <f>IF(L11=0,"",(P11-L11)/ABS(L11)+1)</f>
        <v/>
      </c>
      <c r="S11" s="349" t="str">
        <f>IF(N11=0,"",(P11-N11)/ABS(N11))</f>
        <v/>
      </c>
      <c r="T11" s="413"/>
      <c r="U11" s="413"/>
      <c r="V11" s="413"/>
      <c r="W11" s="81" t="s">
        <v>46</v>
      </c>
      <c r="X11" s="90"/>
      <c r="Y11" s="90">
        <v>519480601.99000001</v>
      </c>
      <c r="Z11" s="91">
        <v>6182.88</v>
      </c>
      <c r="AA11" s="355">
        <f t="shared" si="11"/>
        <v>0</v>
      </c>
      <c r="AB11" s="90">
        <v>1277149488.97</v>
      </c>
      <c r="AC11" s="356">
        <f t="shared" si="12"/>
        <v>15432.260000000002</v>
      </c>
      <c r="AD11" s="85">
        <f>+AA11-AC11</f>
        <v>-15432.260000000002</v>
      </c>
      <c r="AE11" s="86" t="str">
        <f t="shared" si="14"/>
        <v/>
      </c>
      <c r="AF11" s="86">
        <f t="shared" si="13"/>
        <v>-0.99998791663768938</v>
      </c>
      <c r="AG11" s="220"/>
      <c r="AH11" s="220"/>
      <c r="AI11" s="220">
        <v>9249.380000000001</v>
      </c>
      <c r="AJ11" s="79"/>
      <c r="AK11" s="79">
        <v>232.69962000000001</v>
      </c>
      <c r="AL11" s="15"/>
    </row>
    <row r="12" spans="1:38" x14ac:dyDescent="0.25">
      <c r="B12" s="11"/>
      <c r="C12" s="65" t="str">
        <f>+'COLOMB$ '!C12</f>
        <v xml:space="preserve"> Fact.Voice Experience (Audicóm)</v>
      </c>
      <c r="D12" s="66"/>
      <c r="E12" s="67" t="e">
        <f t="shared" si="1"/>
        <v>#DIV/0!</v>
      </c>
      <c r="F12" s="66">
        <v>636633817</v>
      </c>
      <c r="G12" s="67">
        <f t="shared" si="2"/>
        <v>0.18649900937756089</v>
      </c>
      <c r="H12" s="66">
        <v>3784.3</v>
      </c>
      <c r="I12" s="68">
        <f t="shared" si="3"/>
        <v>0.14379082980565838</v>
      </c>
      <c r="J12" s="412" t="str">
        <f t="shared" si="7"/>
        <v/>
      </c>
      <c r="K12" s="412">
        <f t="shared" si="8"/>
        <v>-0.99999405576659783</v>
      </c>
      <c r="L12" s="66"/>
      <c r="M12" s="67" t="e">
        <f t="shared" si="4"/>
        <v>#DIV/0!</v>
      </c>
      <c r="N12" s="66">
        <v>1837972040</v>
      </c>
      <c r="O12" s="67">
        <f t="shared" si="5"/>
        <v>0.16877034656465562</v>
      </c>
      <c r="P12" s="66">
        <v>10671.119999999999</v>
      </c>
      <c r="Q12" s="68">
        <f t="shared" si="6"/>
        <v>8.7838970776893247E-2</v>
      </c>
      <c r="R12" s="69"/>
      <c r="S12" s="349">
        <f t="shared" si="10"/>
        <v>-0.99999419407925272</v>
      </c>
      <c r="T12" s="413"/>
      <c r="U12" s="413"/>
      <c r="V12" s="413"/>
      <c r="W12" s="81" t="s">
        <v>49</v>
      </c>
      <c r="X12" s="90"/>
      <c r="Y12" s="90">
        <v>1263031601.23</v>
      </c>
      <c r="Z12" s="266">
        <v>6191.68</v>
      </c>
      <c r="AA12" s="355">
        <f t="shared" si="11"/>
        <v>0</v>
      </c>
      <c r="AB12" s="90">
        <v>4054174094.0099998</v>
      </c>
      <c r="AC12" s="356">
        <f t="shared" si="12"/>
        <v>20056.34</v>
      </c>
      <c r="AD12" s="85">
        <f>+AA12-AC12</f>
        <v>-20056.34</v>
      </c>
      <c r="AE12" s="86" t="str">
        <f t="shared" si="14"/>
        <v/>
      </c>
      <c r="AF12" s="86">
        <f t="shared" si="13"/>
        <v>-0.99999505291594903</v>
      </c>
      <c r="AG12" s="220"/>
      <c r="AH12" s="220"/>
      <c r="AI12" s="220">
        <v>13864.66</v>
      </c>
      <c r="AJ12" s="79"/>
      <c r="AK12" s="79">
        <v>232.69962000000001</v>
      </c>
      <c r="AL12" s="15"/>
    </row>
    <row r="13" spans="1:38" ht="15.75" thickBot="1" x14ac:dyDescent="0.3">
      <c r="C13" s="65" t="str">
        <f>+'COLOMB$ '!C13</f>
        <v>Fact. Servicio Satelital</v>
      </c>
      <c r="D13" s="66"/>
      <c r="E13" s="67"/>
      <c r="F13" s="66"/>
      <c r="G13" s="67"/>
      <c r="H13" s="66"/>
      <c r="I13" s="68"/>
      <c r="J13" s="412"/>
      <c r="K13" s="412"/>
      <c r="L13" s="66"/>
      <c r="M13" s="67"/>
      <c r="N13" s="66"/>
      <c r="O13" s="67"/>
      <c r="P13" s="66"/>
      <c r="Q13" s="68"/>
      <c r="R13" s="69"/>
      <c r="S13" s="349"/>
      <c r="T13" s="413"/>
      <c r="U13" s="413"/>
      <c r="V13" s="413"/>
      <c r="W13" s="81" t="s">
        <v>51</v>
      </c>
      <c r="X13" s="90">
        <f t="shared" ref="X13:AC13" si="15">X9+X10+X11+X12</f>
        <v>0</v>
      </c>
      <c r="Y13" s="91">
        <v>1782512203.22</v>
      </c>
      <c r="Z13" s="91">
        <f>Z9+Z10+Z11+Z12</f>
        <v>12374.560000000001</v>
      </c>
      <c r="AA13" s="355">
        <f t="shared" si="15"/>
        <v>0</v>
      </c>
      <c r="AB13" s="91">
        <v>5331323582.9799995</v>
      </c>
      <c r="AC13" s="356">
        <f t="shared" si="15"/>
        <v>35488.600000000006</v>
      </c>
      <c r="AD13" s="85">
        <f>+AC13-AA13</f>
        <v>35488.600000000006</v>
      </c>
      <c r="AE13" s="86" t="str">
        <f t="shared" si="14"/>
        <v/>
      </c>
      <c r="AF13" s="86">
        <f t="shared" si="13"/>
        <v>-0.99999334337909751</v>
      </c>
      <c r="AG13" s="220"/>
      <c r="AH13" s="220"/>
      <c r="AI13" s="220">
        <v>23114.04</v>
      </c>
      <c r="AJ13" s="79"/>
      <c r="AK13" s="79">
        <v>232.69962000000001</v>
      </c>
      <c r="AL13" s="15"/>
    </row>
    <row r="14" spans="1:38" ht="15.75" thickBot="1" x14ac:dyDescent="0.3">
      <c r="C14" s="65" t="str">
        <f>+'COLOMB$ '!C14</f>
        <v>Fact. Visual Experience</v>
      </c>
      <c r="D14" s="66"/>
      <c r="E14" s="67"/>
      <c r="F14" s="66"/>
      <c r="G14" s="67"/>
      <c r="H14" s="66"/>
      <c r="I14" s="68"/>
      <c r="J14" s="412"/>
      <c r="K14" s="412"/>
      <c r="L14" s="66"/>
      <c r="M14" s="67"/>
      <c r="N14" s="66"/>
      <c r="O14" s="67"/>
      <c r="P14" s="66"/>
      <c r="Q14" s="68"/>
      <c r="R14" s="69"/>
      <c r="S14" s="349"/>
      <c r="T14" s="413"/>
      <c r="U14" s="413"/>
      <c r="V14" s="413"/>
      <c r="W14" s="73" t="s">
        <v>53</v>
      </c>
      <c r="X14" s="75">
        <f>+X8-X13</f>
        <v>0</v>
      </c>
      <c r="Y14" s="74">
        <v>545304102.91999984</v>
      </c>
      <c r="Z14" s="74">
        <f>+Z8-Z13</f>
        <v>2786.409999999998</v>
      </c>
      <c r="AA14" s="414">
        <f>AA8-AA13</f>
        <v>0</v>
      </c>
      <c r="AB14" s="74">
        <v>1364543390.1299992</v>
      </c>
      <c r="AC14" s="415">
        <f>AC8-AC13</f>
        <v>2685.6999999999971</v>
      </c>
      <c r="AD14" s="76">
        <f>+AC14-AA14</f>
        <v>2685.6999999999971</v>
      </c>
      <c r="AE14" s="77" t="str">
        <f t="shared" si="14"/>
        <v/>
      </c>
      <c r="AF14" s="77">
        <f t="shared" si="13"/>
        <v>-0.99999803179582303</v>
      </c>
      <c r="AG14" s="220"/>
      <c r="AH14" s="220"/>
      <c r="AI14" s="220">
        <v>-100.70999999999913</v>
      </c>
      <c r="AJ14" s="79"/>
      <c r="AK14" s="79">
        <v>232.69962000000001</v>
      </c>
      <c r="AL14" s="15"/>
    </row>
    <row r="15" spans="1:38" x14ac:dyDescent="0.25">
      <c r="C15" s="65" t="s">
        <v>170</v>
      </c>
      <c r="D15" s="66"/>
      <c r="E15" s="67"/>
      <c r="F15" s="66"/>
      <c r="G15" s="67"/>
      <c r="H15" s="66"/>
      <c r="I15" s="68"/>
      <c r="J15" s="412"/>
      <c r="K15" s="412"/>
      <c r="L15" s="66"/>
      <c r="M15" s="67"/>
      <c r="N15" s="66"/>
      <c r="O15" s="67"/>
      <c r="P15" s="66"/>
      <c r="Q15" s="68"/>
      <c r="R15" s="69"/>
      <c r="S15" s="349"/>
      <c r="T15" s="413"/>
      <c r="U15" s="413"/>
      <c r="V15" s="413"/>
      <c r="W15" s="89"/>
      <c r="X15" s="97"/>
      <c r="Y15" s="97"/>
      <c r="Z15" s="98"/>
      <c r="AA15" s="359"/>
      <c r="AB15" s="97"/>
      <c r="AC15" s="360"/>
      <c r="AD15" s="103"/>
      <c r="AE15" s="102"/>
      <c r="AF15" s="102"/>
      <c r="AG15" s="220"/>
      <c r="AH15" s="220"/>
      <c r="AI15" s="220"/>
      <c r="AJ15" s="79"/>
      <c r="AK15" s="79">
        <v>232.69962000000001</v>
      </c>
      <c r="AL15" s="15"/>
    </row>
    <row r="16" spans="1:38" ht="15.75" thickBot="1" x14ac:dyDescent="0.3">
      <c r="C16" s="65" t="str">
        <f>+'COLOMB$ '!C16</f>
        <v>Facturacion Locutor virtual</v>
      </c>
      <c r="D16" s="66"/>
      <c r="E16" s="67"/>
      <c r="F16" s="66"/>
      <c r="G16" s="67"/>
      <c r="H16" s="66"/>
      <c r="I16" s="68"/>
      <c r="J16" s="412"/>
      <c r="K16" s="412"/>
      <c r="L16" s="66"/>
      <c r="M16" s="67"/>
      <c r="N16" s="66"/>
      <c r="O16" s="67"/>
      <c r="P16" s="66"/>
      <c r="Q16" s="68"/>
      <c r="R16" s="69"/>
      <c r="S16" s="349"/>
      <c r="T16" s="413"/>
      <c r="U16" s="413"/>
      <c r="V16" s="413"/>
      <c r="W16" s="89"/>
      <c r="X16" s="97"/>
      <c r="Y16" s="97"/>
      <c r="Z16" s="98"/>
      <c r="AA16" s="359"/>
      <c r="AB16" s="97"/>
      <c r="AC16" s="360"/>
      <c r="AD16" s="103"/>
      <c r="AE16" s="102"/>
      <c r="AF16" s="102" t="str">
        <f t="shared" si="13"/>
        <v/>
      </c>
      <c r="AG16" s="220"/>
      <c r="AH16" s="220"/>
      <c r="AI16" s="220"/>
      <c r="AJ16" s="79"/>
      <c r="AK16" s="79">
        <v>232.69962000000001</v>
      </c>
      <c r="AL16" s="15"/>
    </row>
    <row r="17" spans="1:39" x14ac:dyDescent="0.25">
      <c r="B17" s="11"/>
      <c r="C17" s="104" t="s">
        <v>58</v>
      </c>
      <c r="D17" s="105">
        <f>SUM(D7:D13)</f>
        <v>0</v>
      </c>
      <c r="E17" s="106" t="e">
        <f t="shared" ref="E17:E34" si="16">+D17/$D$17</f>
        <v>#DIV/0!</v>
      </c>
      <c r="F17" s="105">
        <v>3413604282</v>
      </c>
      <c r="G17" s="106">
        <f t="shared" ref="G17:G34" si="17">+F17/$F$17</f>
        <v>1</v>
      </c>
      <c r="H17" s="105">
        <f>SUM(H7:H13)</f>
        <v>26318.09</v>
      </c>
      <c r="I17" s="107">
        <f t="shared" ref="I17:I34" si="18">+H17/$H$17</f>
        <v>1</v>
      </c>
      <c r="J17" s="416" t="str">
        <f t="shared" si="7"/>
        <v/>
      </c>
      <c r="K17" s="416">
        <f t="shared" si="8"/>
        <v>-0.99999229023406755</v>
      </c>
      <c r="L17" s="105">
        <f>SUM(L7:L13)</f>
        <v>0</v>
      </c>
      <c r="M17" s="417" t="e">
        <f t="shared" ref="M17:M33" si="19">+L17/$L$17</f>
        <v>#DIV/0!</v>
      </c>
      <c r="N17" s="105">
        <v>10890373086.34</v>
      </c>
      <c r="O17" s="106">
        <f t="shared" ref="O17:O31" si="20">+N17/$N$17</f>
        <v>1</v>
      </c>
      <c r="P17" s="105">
        <f>SUM(P7:P16)</f>
        <v>121485.03</v>
      </c>
      <c r="Q17" s="107">
        <f t="shared" ref="Q17:Q34" si="21">+P17/$P$17</f>
        <v>1</v>
      </c>
      <c r="R17" s="108" t="str">
        <f t="shared" si="9"/>
        <v/>
      </c>
      <c r="S17" s="108">
        <f t="shared" si="10"/>
        <v>-0.99998884473203653</v>
      </c>
      <c r="T17" s="413"/>
      <c r="U17" s="413"/>
      <c r="V17" s="413"/>
      <c r="W17" s="81" t="s">
        <v>59</v>
      </c>
      <c r="X17" s="82">
        <f t="shared" ref="X17:AC17" si="22">+X7+X14</f>
        <v>236652</v>
      </c>
      <c r="Y17" s="83">
        <v>1421746896.79</v>
      </c>
      <c r="Z17" s="83">
        <f>+Z7+Z14</f>
        <v>13472.169999999998</v>
      </c>
      <c r="AA17" s="355">
        <f t="shared" si="22"/>
        <v>236652</v>
      </c>
      <c r="AB17" s="83">
        <v>1823114047.0699992</v>
      </c>
      <c r="AC17" s="418">
        <f t="shared" si="22"/>
        <v>17452.699999999997</v>
      </c>
      <c r="AD17" s="85">
        <f>+AC17-AA17</f>
        <v>-219199.3</v>
      </c>
      <c r="AE17" s="86">
        <f t="shared" si="14"/>
        <v>7.374837313861704E-2</v>
      </c>
      <c r="AF17" s="86">
        <f t="shared" si="13"/>
        <v>-0.99999042698396834</v>
      </c>
      <c r="AG17" s="220"/>
      <c r="AH17" s="220"/>
      <c r="AI17" s="220">
        <v>14666.29</v>
      </c>
      <c r="AJ17" s="79"/>
      <c r="AK17" s="79">
        <v>232.69962000000001</v>
      </c>
      <c r="AL17" s="15"/>
    </row>
    <row r="18" spans="1:39" x14ac:dyDescent="0.25">
      <c r="B18" s="11" t="s">
        <v>101</v>
      </c>
      <c r="C18" s="112" t="s">
        <v>60</v>
      </c>
      <c r="D18" s="114"/>
      <c r="E18" s="113" t="e">
        <f t="shared" si="16"/>
        <v>#DIV/0!</v>
      </c>
      <c r="F18" s="114"/>
      <c r="G18" s="113">
        <f t="shared" si="17"/>
        <v>0</v>
      </c>
      <c r="H18" s="114">
        <v>54617.06</v>
      </c>
      <c r="I18" s="115">
        <f t="shared" si="18"/>
        <v>2.0752668601710837</v>
      </c>
      <c r="J18" s="419" t="str">
        <f t="shared" si="7"/>
        <v/>
      </c>
      <c r="K18" s="419" t="str">
        <f t="shared" si="8"/>
        <v/>
      </c>
      <c r="L18" s="117">
        <f t="shared" ref="L18" si="23">+T18+D18</f>
        <v>0</v>
      </c>
      <c r="M18" s="113" t="e">
        <f t="shared" si="19"/>
        <v>#DIV/0!</v>
      </c>
      <c r="N18" s="114"/>
      <c r="O18" s="113">
        <f t="shared" si="20"/>
        <v>0</v>
      </c>
      <c r="P18" s="114">
        <v>54617.06</v>
      </c>
      <c r="Q18" s="115">
        <f t="shared" si="21"/>
        <v>0.44957852008597271</v>
      </c>
      <c r="R18" s="116" t="str">
        <f t="shared" si="9"/>
        <v/>
      </c>
      <c r="S18" s="370" t="str">
        <f t="shared" si="10"/>
        <v/>
      </c>
      <c r="T18" s="413"/>
      <c r="U18" s="413"/>
      <c r="V18" s="413"/>
      <c r="W18" s="81" t="s">
        <v>61</v>
      </c>
      <c r="X18" s="90"/>
      <c r="Y18" s="90"/>
      <c r="Z18" s="91"/>
      <c r="AA18" s="355">
        <f t="shared" ref="AA18:AA20" si="24">+AG18+X18</f>
        <v>0</v>
      </c>
      <c r="AB18" s="90">
        <v>0</v>
      </c>
      <c r="AC18" s="356">
        <f t="shared" ref="AC18:AC20" si="25">+Z18+AI18</f>
        <v>0</v>
      </c>
      <c r="AD18" s="85">
        <f t="shared" ref="AD18:AD22" si="26">+AC18-AA18</f>
        <v>0</v>
      </c>
      <c r="AE18" s="86" t="str">
        <f t="shared" si="14"/>
        <v/>
      </c>
      <c r="AF18" s="86" t="str">
        <f t="shared" si="13"/>
        <v/>
      </c>
      <c r="AG18" s="220"/>
      <c r="AH18" s="220"/>
      <c r="AI18" s="220">
        <v>0</v>
      </c>
      <c r="AJ18" s="79"/>
      <c r="AK18" s="79">
        <v>232.69962000000001</v>
      </c>
      <c r="AL18" s="15"/>
    </row>
    <row r="19" spans="1:39" ht="15.75" thickBot="1" x14ac:dyDescent="0.3">
      <c r="B19" s="11"/>
      <c r="C19" s="119" t="s">
        <v>62</v>
      </c>
      <c r="D19" s="120">
        <f>+D17-D18</f>
        <v>0</v>
      </c>
      <c r="E19" s="121" t="e">
        <f t="shared" si="16"/>
        <v>#DIV/0!</v>
      </c>
      <c r="F19" s="120">
        <v>3413604282</v>
      </c>
      <c r="G19" s="121">
        <f t="shared" si="17"/>
        <v>1</v>
      </c>
      <c r="H19" s="120">
        <f>+H17-H18</f>
        <v>-28298.969999999998</v>
      </c>
      <c r="I19" s="122">
        <f t="shared" si="18"/>
        <v>-1.0752668601710837</v>
      </c>
      <c r="J19" s="420" t="str">
        <f t="shared" si="7"/>
        <v/>
      </c>
      <c r="K19" s="420">
        <f t="shared" si="8"/>
        <v>-1.0000082900558067</v>
      </c>
      <c r="L19" s="120">
        <f>+L17-L18</f>
        <v>0</v>
      </c>
      <c r="M19" s="121" t="e">
        <f t="shared" si="19"/>
        <v>#DIV/0!</v>
      </c>
      <c r="N19" s="120">
        <v>10890373086.34</v>
      </c>
      <c r="O19" s="121">
        <f t="shared" si="20"/>
        <v>1</v>
      </c>
      <c r="P19" s="120">
        <f>+P17-P18</f>
        <v>66867.97</v>
      </c>
      <c r="Q19" s="122">
        <f t="shared" si="21"/>
        <v>0.55042147991402723</v>
      </c>
      <c r="R19" s="124" t="str">
        <f t="shared" si="9"/>
        <v/>
      </c>
      <c r="S19" s="124">
        <f t="shared" si="10"/>
        <v>-0.99999385990089884</v>
      </c>
      <c r="T19" s="413"/>
      <c r="U19" s="413"/>
      <c r="V19" s="413"/>
      <c r="W19" s="81" t="s">
        <v>63</v>
      </c>
      <c r="X19" s="90"/>
      <c r="Y19" s="90">
        <v>245573494.06999999</v>
      </c>
      <c r="Z19" s="91">
        <v>5884.8</v>
      </c>
      <c r="AA19" s="355">
        <f t="shared" si="24"/>
        <v>0</v>
      </c>
      <c r="AB19" s="90">
        <v>646940644.3499999</v>
      </c>
      <c r="AC19" s="356">
        <f t="shared" si="25"/>
        <v>9865.33</v>
      </c>
      <c r="AD19" s="85">
        <f t="shared" si="26"/>
        <v>9865.33</v>
      </c>
      <c r="AE19" s="86" t="str">
        <f t="shared" si="14"/>
        <v/>
      </c>
      <c r="AF19" s="86">
        <f t="shared" si="13"/>
        <v>-0.99998475079578597</v>
      </c>
      <c r="AG19" s="220"/>
      <c r="AH19" s="220"/>
      <c r="AI19" s="220">
        <v>3980.53</v>
      </c>
      <c r="AJ19" s="79"/>
      <c r="AK19" s="79">
        <v>232.69962000000001</v>
      </c>
      <c r="AL19" s="15"/>
    </row>
    <row r="20" spans="1:39" x14ac:dyDescent="0.25">
      <c r="B20" s="11" t="s">
        <v>102</v>
      </c>
      <c r="C20" s="81" t="s">
        <v>64</v>
      </c>
      <c r="D20" s="83"/>
      <c r="E20" s="126" t="e">
        <f t="shared" si="16"/>
        <v>#DIV/0!</v>
      </c>
      <c r="F20" s="83">
        <v>49338068.460000001</v>
      </c>
      <c r="G20" s="126">
        <f t="shared" si="17"/>
        <v>1.445336494337102E-2</v>
      </c>
      <c r="H20" s="83">
        <v>394.24</v>
      </c>
      <c r="I20" s="127">
        <f t="shared" si="18"/>
        <v>1.4979810464969153E-2</v>
      </c>
      <c r="J20" s="421" t="str">
        <f t="shared" si="7"/>
        <v/>
      </c>
      <c r="K20" s="421">
        <f t="shared" si="8"/>
        <v>-0.99999200941560329</v>
      </c>
      <c r="L20" s="83"/>
      <c r="M20" s="126" t="e">
        <f t="shared" si="19"/>
        <v>#DIV/0!</v>
      </c>
      <c r="N20" s="83">
        <v>154956949.50999999</v>
      </c>
      <c r="O20" s="126">
        <f t="shared" si="20"/>
        <v>1.4228800820824533E-2</v>
      </c>
      <c r="P20" s="83">
        <v>1505.3700000000001</v>
      </c>
      <c r="Q20" s="127">
        <f t="shared" si="21"/>
        <v>1.2391403286479002E-2</v>
      </c>
      <c r="R20" s="128" t="str">
        <f t="shared" si="9"/>
        <v/>
      </c>
      <c r="S20" s="148">
        <f t="shared" si="10"/>
        <v>-0.99999028523725608</v>
      </c>
      <c r="T20" s="413"/>
      <c r="U20" s="413"/>
      <c r="V20" s="413"/>
      <c r="W20" s="81" t="s">
        <v>65</v>
      </c>
      <c r="X20" s="422"/>
      <c r="Y20" s="422"/>
      <c r="Z20" s="266"/>
      <c r="AA20" s="355">
        <f t="shared" si="24"/>
        <v>0</v>
      </c>
      <c r="AB20" s="422">
        <v>0</v>
      </c>
      <c r="AC20" s="356">
        <f t="shared" si="25"/>
        <v>0</v>
      </c>
      <c r="AD20" s="85">
        <f t="shared" si="26"/>
        <v>0</v>
      </c>
      <c r="AE20" s="86" t="str">
        <f t="shared" si="14"/>
        <v/>
      </c>
      <c r="AF20" s="86" t="str">
        <f t="shared" si="13"/>
        <v/>
      </c>
      <c r="AG20" s="220"/>
      <c r="AH20" s="220"/>
      <c r="AI20" s="220">
        <v>0</v>
      </c>
      <c r="AJ20" s="79"/>
      <c r="AK20" s="79">
        <v>232.69962000000001</v>
      </c>
      <c r="AL20" s="15"/>
    </row>
    <row r="21" spans="1:39" ht="15.75" thickBot="1" x14ac:dyDescent="0.3">
      <c r="B21" s="11" t="s">
        <v>103</v>
      </c>
      <c r="C21" s="81" t="s">
        <v>66</v>
      </c>
      <c r="D21" s="83"/>
      <c r="E21" s="126" t="e">
        <f t="shared" si="16"/>
        <v>#DIV/0!</v>
      </c>
      <c r="F21" s="83">
        <v>1076255144.6700001</v>
      </c>
      <c r="G21" s="126">
        <f t="shared" si="17"/>
        <v>0.31528409732349877</v>
      </c>
      <c r="H21" s="83">
        <v>6365.5399999999991</v>
      </c>
      <c r="I21" s="127">
        <f t="shared" si="18"/>
        <v>0.24186937577916934</v>
      </c>
      <c r="J21" s="421" t="str">
        <f t="shared" si="7"/>
        <v/>
      </c>
      <c r="K21" s="421">
        <f t="shared" si="8"/>
        <v>-0.99999408547310409</v>
      </c>
      <c r="L21" s="83"/>
      <c r="M21" s="126" t="e">
        <f t="shared" si="19"/>
        <v>#DIV/0!</v>
      </c>
      <c r="N21" s="83">
        <v>2406040982.8800001</v>
      </c>
      <c r="O21" s="126">
        <f t="shared" si="20"/>
        <v>0.22093283341210254</v>
      </c>
      <c r="P21" s="83">
        <v>13383.65</v>
      </c>
      <c r="Q21" s="127">
        <f t="shared" si="21"/>
        <v>0.11016707161367947</v>
      </c>
      <c r="R21" s="128" t="str">
        <f t="shared" si="9"/>
        <v/>
      </c>
      <c r="S21" s="148">
        <f t="shared" si="10"/>
        <v>-0.99999443748045225</v>
      </c>
      <c r="T21" s="413"/>
      <c r="U21" s="413"/>
      <c r="V21" s="413"/>
      <c r="W21" s="81" t="s">
        <v>67</v>
      </c>
      <c r="X21" s="90"/>
      <c r="Y21" s="90"/>
      <c r="Z21" s="91"/>
      <c r="AA21" s="355"/>
      <c r="AB21" s="90">
        <v>0</v>
      </c>
      <c r="AC21" s="423">
        <f>+AA21</f>
        <v>0</v>
      </c>
      <c r="AD21" s="85">
        <f t="shared" si="26"/>
        <v>0</v>
      </c>
      <c r="AE21" s="86" t="str">
        <f t="shared" si="14"/>
        <v/>
      </c>
      <c r="AF21" s="86" t="str">
        <f t="shared" si="13"/>
        <v/>
      </c>
      <c r="AG21" s="220"/>
      <c r="AH21" s="220"/>
      <c r="AI21" s="220">
        <v>0</v>
      </c>
      <c r="AJ21" s="79"/>
      <c r="AK21" s="79">
        <v>232.69962000000001</v>
      </c>
      <c r="AL21" s="15"/>
    </row>
    <row r="22" spans="1:39" ht="15.75" thickBot="1" x14ac:dyDescent="0.3">
      <c r="B22" s="11"/>
      <c r="C22" s="112" t="s">
        <v>68</v>
      </c>
      <c r="D22" s="117">
        <f>SUM(D20:D21)</f>
        <v>0</v>
      </c>
      <c r="E22" s="113" t="e">
        <f t="shared" si="16"/>
        <v>#DIV/0!</v>
      </c>
      <c r="F22" s="117">
        <v>1125593213.1300001</v>
      </c>
      <c r="G22" s="113">
        <f t="shared" si="17"/>
        <v>0.32973746226686979</v>
      </c>
      <c r="H22" s="117">
        <f>SUM(H20:H21)</f>
        <v>6759.7799999999988</v>
      </c>
      <c r="I22" s="115">
        <f t="shared" si="18"/>
        <v>0.25684918624413849</v>
      </c>
      <c r="J22" s="419" t="str">
        <f t="shared" si="7"/>
        <v/>
      </c>
      <c r="K22" s="419">
        <f t="shared" si="8"/>
        <v>-0.99999399447338422</v>
      </c>
      <c r="L22" s="117">
        <f>+L20+L21</f>
        <v>0</v>
      </c>
      <c r="M22" s="113" t="e">
        <f t="shared" si="19"/>
        <v>#DIV/0!</v>
      </c>
      <c r="N22" s="117">
        <v>2560997932.3900003</v>
      </c>
      <c r="O22" s="113">
        <f t="shared" si="20"/>
        <v>0.23516163423292707</v>
      </c>
      <c r="P22" s="117">
        <f>SUM(P20:P21)</f>
        <v>14889.02</v>
      </c>
      <c r="Q22" s="115">
        <f>+P22/$P$17</f>
        <v>0.12255847490015849</v>
      </c>
      <c r="R22" s="116" t="str">
        <f t="shared" si="9"/>
        <v/>
      </c>
      <c r="S22" s="370">
        <f t="shared" si="10"/>
        <v>-0.99999418624286585</v>
      </c>
      <c r="T22" s="413"/>
      <c r="U22" s="413"/>
      <c r="V22" s="413"/>
      <c r="W22" s="73" t="s">
        <v>69</v>
      </c>
      <c r="X22" s="75">
        <f>+X17-X19-X18+X20</f>
        <v>236652</v>
      </c>
      <c r="Y22" s="75">
        <v>1176173402.72</v>
      </c>
      <c r="Z22" s="75">
        <f>+Z17-Z19-Z18+Z20</f>
        <v>7587.3699999999981</v>
      </c>
      <c r="AA22" s="424">
        <f>+AA17-AA19-AA18-AA20</f>
        <v>236652</v>
      </c>
      <c r="AB22" s="75">
        <v>1176173402.7199993</v>
      </c>
      <c r="AC22" s="425">
        <f>+AC17-AC19-AC18+AC20</f>
        <v>7587.3699999999972</v>
      </c>
      <c r="AD22" s="76">
        <f t="shared" si="26"/>
        <v>-229064.63</v>
      </c>
      <c r="AE22" s="77">
        <f t="shared" ref="AE22" si="27">IF(X22=0,"",(Z22-X22)/ABS(X22)+1)</f>
        <v>3.2061296756418667E-2</v>
      </c>
      <c r="AF22" s="77">
        <f t="shared" si="13"/>
        <v>-0.99999354910595462</v>
      </c>
      <c r="AG22" s="220"/>
      <c r="AH22" s="220"/>
      <c r="AI22" s="220">
        <v>10685.76</v>
      </c>
      <c r="AJ22" s="79"/>
      <c r="AK22" s="79">
        <v>232.69962000000001</v>
      </c>
      <c r="AL22" s="15"/>
    </row>
    <row r="23" spans="1:39" x14ac:dyDescent="0.25">
      <c r="B23" s="11" t="s">
        <v>104</v>
      </c>
      <c r="C23" s="81" t="s">
        <v>70</v>
      </c>
      <c r="D23" s="83"/>
      <c r="E23" s="126" t="e">
        <f t="shared" si="16"/>
        <v>#DIV/0!</v>
      </c>
      <c r="F23" s="83">
        <v>1223875339.3499999</v>
      </c>
      <c r="G23" s="126">
        <f t="shared" si="17"/>
        <v>0.35852876849361764</v>
      </c>
      <c r="H23" s="83">
        <v>8975.76</v>
      </c>
      <c r="I23" s="127">
        <f t="shared" si="18"/>
        <v>0.3410490654906948</v>
      </c>
      <c r="J23" s="421" t="str">
        <f t="shared" si="7"/>
        <v/>
      </c>
      <c r="K23" s="421">
        <f t="shared" si="8"/>
        <v>-0.9999926661158115</v>
      </c>
      <c r="L23" s="83"/>
      <c r="M23" s="126" t="e">
        <f t="shared" si="19"/>
        <v>#DIV/0!</v>
      </c>
      <c r="N23" s="83">
        <v>4241134224.8600006</v>
      </c>
      <c r="O23" s="126">
        <f t="shared" si="20"/>
        <v>0.38943883659777784</v>
      </c>
      <c r="P23" s="83">
        <v>42920.42</v>
      </c>
      <c r="Q23" s="127">
        <f t="shared" si="21"/>
        <v>0.35329801540156841</v>
      </c>
      <c r="R23" s="128" t="str">
        <f t="shared" si="9"/>
        <v/>
      </c>
      <c r="S23" s="148">
        <f t="shared" si="10"/>
        <v>-0.99998987996660227</v>
      </c>
      <c r="T23" s="413"/>
      <c r="U23" s="413"/>
      <c r="V23" s="413"/>
      <c r="W23" s="20"/>
      <c r="X23" s="20"/>
      <c r="Y23" s="20" t="s">
        <v>111</v>
      </c>
      <c r="Z23" s="48" t="s">
        <v>71</v>
      </c>
      <c r="AA23" s="140"/>
      <c r="AB23" s="140" t="s">
        <v>111</v>
      </c>
      <c r="AC23" s="426" t="s">
        <v>71</v>
      </c>
      <c r="AD23" s="20"/>
      <c r="AE23" s="20"/>
      <c r="AF23" s="20"/>
      <c r="AG23" s="228"/>
      <c r="AH23" s="228"/>
      <c r="AI23" s="228"/>
      <c r="AJ23" s="427"/>
      <c r="AK23" s="15"/>
      <c r="AL23" s="15"/>
    </row>
    <row r="24" spans="1:39" x14ac:dyDescent="0.25">
      <c r="A24" s="11" t="s">
        <v>105</v>
      </c>
      <c r="B24" s="11" t="s">
        <v>106</v>
      </c>
      <c r="C24" s="81" t="s">
        <v>72</v>
      </c>
      <c r="D24" s="83"/>
      <c r="E24" s="126" t="e">
        <f t="shared" si="16"/>
        <v>#DIV/0!</v>
      </c>
      <c r="F24" s="83">
        <v>692907183.88</v>
      </c>
      <c r="G24" s="126">
        <f t="shared" si="17"/>
        <v>0.20298403875742502</v>
      </c>
      <c r="H24" s="83">
        <v>1990.9</v>
      </c>
      <c r="I24" s="127">
        <f t="shared" si="18"/>
        <v>7.5647586887954255E-2</v>
      </c>
      <c r="J24" s="421" t="str">
        <f t="shared" si="7"/>
        <v/>
      </c>
      <c r="K24" s="421">
        <f t="shared" si="8"/>
        <v>-0.99999712674360108</v>
      </c>
      <c r="L24" s="83"/>
      <c r="M24" s="126" t="e">
        <f t="shared" si="19"/>
        <v>#DIV/0!</v>
      </c>
      <c r="N24" s="83">
        <v>2091198841.6500001</v>
      </c>
      <c r="O24" s="126">
        <f t="shared" si="20"/>
        <v>0.19202269977995798</v>
      </c>
      <c r="P24" s="83">
        <v>9321.0399999999991</v>
      </c>
      <c r="Q24" s="127">
        <f t="shared" si="21"/>
        <v>7.6725831981109105E-2</v>
      </c>
      <c r="R24" s="128" t="str">
        <f t="shared" si="9"/>
        <v/>
      </c>
      <c r="S24" s="148">
        <f t="shared" si="10"/>
        <v>-0.99999554272897717</v>
      </c>
      <c r="T24" s="413"/>
      <c r="U24" s="413"/>
      <c r="V24" s="413"/>
      <c r="W24" s="20"/>
      <c r="X24" s="48"/>
      <c r="Y24" s="428"/>
      <c r="Z24" s="48"/>
      <c r="AA24" s="136"/>
      <c r="AB24" s="136"/>
      <c r="AC24" s="136"/>
      <c r="AD24" s="20"/>
      <c r="AE24" s="20"/>
      <c r="AF24" s="20"/>
      <c r="AG24" s="140"/>
      <c r="AH24" s="20"/>
      <c r="AI24" s="20"/>
      <c r="AJ24" s="15"/>
      <c r="AK24" s="15"/>
      <c r="AL24" s="15"/>
    </row>
    <row r="25" spans="1:39" x14ac:dyDescent="0.25">
      <c r="B25" s="11"/>
      <c r="C25" s="112" t="s">
        <v>73</v>
      </c>
      <c r="D25" s="117">
        <f>SUM(D23:D24)</f>
        <v>0</v>
      </c>
      <c r="E25" s="113" t="e">
        <f t="shared" si="16"/>
        <v>#DIV/0!</v>
      </c>
      <c r="F25" s="117">
        <v>1916782523.23</v>
      </c>
      <c r="G25" s="113">
        <f t="shared" si="17"/>
        <v>0.56151280725104269</v>
      </c>
      <c r="H25" s="117">
        <f>SUM(H23:H24)</f>
        <v>10966.66</v>
      </c>
      <c r="I25" s="115">
        <f t="shared" si="18"/>
        <v>0.41669665237864906</v>
      </c>
      <c r="J25" s="419" t="str">
        <f t="shared" si="7"/>
        <v/>
      </c>
      <c r="K25" s="419">
        <f t="shared" si="8"/>
        <v>-0.99999427861018808</v>
      </c>
      <c r="L25" s="117">
        <f>+L23+L24</f>
        <v>0</v>
      </c>
      <c r="M25" s="113" t="e">
        <f t="shared" si="19"/>
        <v>#DIV/0!</v>
      </c>
      <c r="N25" s="117">
        <v>6332333066.5100002</v>
      </c>
      <c r="O25" s="113">
        <f t="shared" si="20"/>
        <v>0.58146153637773579</v>
      </c>
      <c r="P25" s="117">
        <f>+P23+P24</f>
        <v>52241.46</v>
      </c>
      <c r="Q25" s="115">
        <f t="shared" si="21"/>
        <v>0.43002384738267752</v>
      </c>
      <c r="R25" s="116" t="str">
        <f t="shared" si="9"/>
        <v/>
      </c>
      <c r="S25" s="370">
        <f t="shared" si="10"/>
        <v>-0.99999175004544905</v>
      </c>
      <c r="T25" s="413"/>
      <c r="U25" s="413"/>
      <c r="V25" s="413"/>
      <c r="W25" s="48"/>
      <c r="X25" s="20"/>
      <c r="Y25" s="20"/>
      <c r="Z25" s="140"/>
      <c r="AA25" s="20"/>
      <c r="AB25" s="140"/>
      <c r="AC25" s="20"/>
      <c r="AD25" s="20"/>
      <c r="AE25" s="20"/>
      <c r="AF25" s="48"/>
      <c r="AG25" s="140"/>
      <c r="AH25" s="20"/>
      <c r="AI25" s="20"/>
      <c r="AJ25" s="15"/>
      <c r="AK25" s="15"/>
      <c r="AL25" s="15"/>
    </row>
    <row r="26" spans="1:39" ht="15.75" thickBot="1" x14ac:dyDescent="0.3">
      <c r="B26" s="11"/>
      <c r="C26" s="112" t="s">
        <v>75</v>
      </c>
      <c r="D26" s="117">
        <f>D22+D25</f>
        <v>0</v>
      </c>
      <c r="E26" s="113" t="e">
        <f t="shared" si="16"/>
        <v>#DIV/0!</v>
      </c>
      <c r="F26" s="117">
        <v>3042375736.3600001</v>
      </c>
      <c r="G26" s="113">
        <f t="shared" si="17"/>
        <v>0.89125026951791253</v>
      </c>
      <c r="H26" s="117">
        <f>H22+H25</f>
        <v>17726.439999999999</v>
      </c>
      <c r="I26" s="115">
        <f t="shared" si="18"/>
        <v>0.6735458386227875</v>
      </c>
      <c r="J26" s="419" t="str">
        <f t="shared" si="7"/>
        <v/>
      </c>
      <c r="K26" s="419">
        <f t="shared" si="8"/>
        <v>-0.99999417348758468</v>
      </c>
      <c r="L26" s="117">
        <f>L22+L25</f>
        <v>0</v>
      </c>
      <c r="M26" s="113" t="e">
        <f t="shared" si="19"/>
        <v>#DIV/0!</v>
      </c>
      <c r="N26" s="117">
        <v>8893330998.9000015</v>
      </c>
      <c r="O26" s="113">
        <f t="shared" si="20"/>
        <v>0.81662317061066292</v>
      </c>
      <c r="P26" s="117">
        <f>P22+P25</f>
        <v>67130.48</v>
      </c>
      <c r="Q26" s="115">
        <f t="shared" si="21"/>
        <v>0.55258232228283599</v>
      </c>
      <c r="R26" s="116" t="str">
        <f t="shared" si="9"/>
        <v/>
      </c>
      <c r="S26" s="370">
        <f t="shared" si="10"/>
        <v>-0.99999245159322103</v>
      </c>
      <c r="T26" s="413"/>
      <c r="U26" s="413"/>
      <c r="V26" s="413"/>
      <c r="W26" s="20"/>
      <c r="X26" s="140"/>
      <c r="Y26" s="20"/>
      <c r="Z26" s="20"/>
      <c r="AA26" s="20"/>
      <c r="AB26" s="20"/>
      <c r="AC26" s="20"/>
      <c r="AD26" s="20"/>
      <c r="AE26" s="15"/>
      <c r="AF26" s="15"/>
      <c r="AG26" s="87"/>
      <c r="AJ26" s="15"/>
    </row>
    <row r="27" spans="1:39" ht="15.75" thickBot="1" x14ac:dyDescent="0.3">
      <c r="B27" s="11"/>
      <c r="C27" s="73" t="s">
        <v>76</v>
      </c>
      <c r="D27" s="141">
        <f>D19-D26</f>
        <v>0</v>
      </c>
      <c r="E27" s="142" t="e">
        <f t="shared" si="16"/>
        <v>#DIV/0!</v>
      </c>
      <c r="F27" s="141">
        <v>371228545.63999987</v>
      </c>
      <c r="G27" s="142">
        <f t="shared" si="17"/>
        <v>0.10874973048208751</v>
      </c>
      <c r="H27" s="141">
        <f>H19-H26</f>
        <v>-46025.409999999996</v>
      </c>
      <c r="I27" s="143">
        <f t="shared" si="18"/>
        <v>-1.7488126987938712</v>
      </c>
      <c r="J27" s="429" t="str">
        <f t="shared" si="7"/>
        <v/>
      </c>
      <c r="K27" s="429">
        <f t="shared" si="8"/>
        <v>-1.0001239813331722</v>
      </c>
      <c r="L27" s="141">
        <f>L19-L26</f>
        <v>0</v>
      </c>
      <c r="M27" s="142" t="e">
        <f t="shared" si="19"/>
        <v>#DIV/0!</v>
      </c>
      <c r="N27" s="141">
        <v>1997042087.4399986</v>
      </c>
      <c r="O27" s="142">
        <f t="shared" si="20"/>
        <v>0.18337682938933708</v>
      </c>
      <c r="P27" s="141">
        <f>P19-P26</f>
        <v>-262.50999999999476</v>
      </c>
      <c r="Q27" s="145">
        <f t="shared" si="21"/>
        <v>-2.1608423688086898E-3</v>
      </c>
      <c r="R27" s="146" t="str">
        <f t="shared" si="9"/>
        <v/>
      </c>
      <c r="S27" s="146">
        <f t="shared" si="10"/>
        <v>-1.000000131449408</v>
      </c>
      <c r="T27" s="413"/>
      <c r="U27" s="413"/>
      <c r="V27" s="413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87"/>
      <c r="AJ27" s="15"/>
      <c r="AK27" s="20"/>
    </row>
    <row r="28" spans="1:39" x14ac:dyDescent="0.25">
      <c r="B28" s="11" t="s">
        <v>107</v>
      </c>
      <c r="C28" s="81" t="s">
        <v>77</v>
      </c>
      <c r="D28" s="83"/>
      <c r="E28" s="126" t="e">
        <f t="shared" si="16"/>
        <v>#DIV/0!</v>
      </c>
      <c r="F28" s="83"/>
      <c r="G28" s="126">
        <f t="shared" si="17"/>
        <v>0</v>
      </c>
      <c r="H28" s="83"/>
      <c r="I28" s="127">
        <f t="shared" si="18"/>
        <v>0</v>
      </c>
      <c r="J28" s="421" t="str">
        <f t="shared" si="7"/>
        <v/>
      </c>
      <c r="K28" s="421" t="str">
        <f t="shared" si="8"/>
        <v/>
      </c>
      <c r="L28" s="83">
        <f t="shared" ref="L28" si="28">+T28+D28</f>
        <v>0</v>
      </c>
      <c r="M28" s="126" t="e">
        <f t="shared" si="19"/>
        <v>#DIV/0!</v>
      </c>
      <c r="N28" s="83"/>
      <c r="O28" s="126">
        <f t="shared" si="20"/>
        <v>0</v>
      </c>
      <c r="P28" s="83"/>
      <c r="Q28" s="127">
        <f t="shared" si="21"/>
        <v>0</v>
      </c>
      <c r="R28" s="148" t="str">
        <f t="shared" si="9"/>
        <v/>
      </c>
      <c r="S28" s="148" t="str">
        <f t="shared" si="10"/>
        <v/>
      </c>
      <c r="T28" s="413"/>
      <c r="U28" s="413"/>
      <c r="V28" s="413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87"/>
      <c r="AJ28" s="15"/>
    </row>
    <row r="29" spans="1:39" ht="15.75" thickBot="1" x14ac:dyDescent="0.3">
      <c r="B29" s="11" t="s">
        <v>108</v>
      </c>
      <c r="C29" s="81" t="s">
        <v>78</v>
      </c>
      <c r="D29" s="83"/>
      <c r="E29" s="126" t="e">
        <f t="shared" si="16"/>
        <v>#DIV/0!</v>
      </c>
      <c r="F29" s="83">
        <v>54717109.119999997</v>
      </c>
      <c r="G29" s="126">
        <f t="shared" si="17"/>
        <v>1.6029130678246552E-2</v>
      </c>
      <c r="H29" s="83">
        <v>1432.13</v>
      </c>
      <c r="I29" s="127">
        <f t="shared" si="18"/>
        <v>5.4416182937287623E-2</v>
      </c>
      <c r="J29" s="421" t="str">
        <f t="shared" si="7"/>
        <v/>
      </c>
      <c r="K29" s="421">
        <f t="shared" si="8"/>
        <v>-0.99997382665087697</v>
      </c>
      <c r="L29" s="83"/>
      <c r="M29" s="126" t="e">
        <f t="shared" si="19"/>
        <v>#DIV/0!</v>
      </c>
      <c r="N29" s="83">
        <v>145132664.41</v>
      </c>
      <c r="O29" s="126">
        <f t="shared" si="20"/>
        <v>1.3326693517235201E-2</v>
      </c>
      <c r="P29" s="83">
        <v>2277.4</v>
      </c>
      <c r="Q29" s="127">
        <f t="shared" si="21"/>
        <v>1.874634265637503E-2</v>
      </c>
      <c r="R29" s="148" t="str">
        <f t="shared" si="9"/>
        <v/>
      </c>
      <c r="S29" s="148">
        <f t="shared" si="10"/>
        <v>-0.99998430815000006</v>
      </c>
      <c r="T29" s="413"/>
      <c r="U29" s="413"/>
      <c r="V29" s="413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87"/>
      <c r="AJ29" s="15"/>
    </row>
    <row r="30" spans="1:39" ht="15.75" thickBot="1" x14ac:dyDescent="0.3">
      <c r="B30" s="11"/>
      <c r="C30" s="73" t="s">
        <v>79</v>
      </c>
      <c r="D30" s="141">
        <f>D27+D28-D29</f>
        <v>0</v>
      </c>
      <c r="E30" s="142" t="e">
        <f t="shared" si="16"/>
        <v>#DIV/0!</v>
      </c>
      <c r="F30" s="141">
        <v>316511436.51999986</v>
      </c>
      <c r="G30" s="142">
        <f t="shared" si="17"/>
        <v>9.2720599803840967E-2</v>
      </c>
      <c r="H30" s="141">
        <f>H27+H28-H29</f>
        <v>-47457.539999999994</v>
      </c>
      <c r="I30" s="143">
        <f t="shared" si="18"/>
        <v>-1.8032288817311588</v>
      </c>
      <c r="J30" s="429" t="str">
        <f t="shared" si="7"/>
        <v/>
      </c>
      <c r="K30" s="429">
        <f t="shared" si="8"/>
        <v>-1.0001499394161608</v>
      </c>
      <c r="L30" s="141">
        <f>L27+L28-L29</f>
        <v>0</v>
      </c>
      <c r="M30" s="142" t="e">
        <f t="shared" si="19"/>
        <v>#DIV/0!</v>
      </c>
      <c r="N30" s="141">
        <v>1851909423.0299985</v>
      </c>
      <c r="O30" s="142">
        <f t="shared" si="20"/>
        <v>0.17005013587210188</v>
      </c>
      <c r="P30" s="141">
        <f>P27+P28-P29</f>
        <v>-2539.9099999999949</v>
      </c>
      <c r="Q30" s="143">
        <f t="shared" si="21"/>
        <v>-2.0907185025183718E-2</v>
      </c>
      <c r="R30" s="144" t="str">
        <f t="shared" si="9"/>
        <v/>
      </c>
      <c r="S30" s="146">
        <f t="shared" si="10"/>
        <v>-1.0000013715087619</v>
      </c>
      <c r="T30" s="413"/>
      <c r="U30" s="413"/>
      <c r="V30" s="413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87"/>
      <c r="AJ30" s="15"/>
      <c r="AK30" s="15"/>
      <c r="AL30" s="15"/>
      <c r="AM30" s="15"/>
    </row>
    <row r="31" spans="1:39" ht="15.75" thickBot="1" x14ac:dyDescent="0.3">
      <c r="B31" s="11" t="s">
        <v>109</v>
      </c>
      <c r="C31" s="81" t="s">
        <v>63</v>
      </c>
      <c r="D31" s="158"/>
      <c r="E31" s="430" t="e">
        <f t="shared" si="16"/>
        <v>#DIV/0!</v>
      </c>
      <c r="F31" s="158"/>
      <c r="G31" s="430">
        <f t="shared" si="17"/>
        <v>0</v>
      </c>
      <c r="H31" s="158"/>
      <c r="I31" s="431">
        <f t="shared" si="18"/>
        <v>0</v>
      </c>
      <c r="J31" s="432" t="str">
        <f t="shared" si="7"/>
        <v/>
      </c>
      <c r="K31" s="432" t="str">
        <f t="shared" si="8"/>
        <v/>
      </c>
      <c r="L31" s="158">
        <f t="shared" ref="L31" si="29">+T31+D31</f>
        <v>0</v>
      </c>
      <c r="M31" s="430" t="e">
        <f t="shared" si="19"/>
        <v>#DIV/0!</v>
      </c>
      <c r="N31" s="158">
        <v>19797676.789999999</v>
      </c>
      <c r="O31" s="430">
        <f t="shared" si="20"/>
        <v>1.8179062033083695E-3</v>
      </c>
      <c r="P31" s="158"/>
      <c r="Q31" s="431">
        <f t="shared" si="21"/>
        <v>0</v>
      </c>
      <c r="R31" s="433" t="str">
        <f t="shared" si="9"/>
        <v/>
      </c>
      <c r="S31" s="433">
        <f t="shared" si="10"/>
        <v>-1</v>
      </c>
      <c r="T31" s="413"/>
      <c r="U31" s="413"/>
      <c r="V31" s="413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87"/>
      <c r="AJ31" s="15"/>
      <c r="AK31" s="15"/>
      <c r="AL31" s="15"/>
      <c r="AM31" s="15"/>
    </row>
    <row r="32" spans="1:39" ht="15.75" thickBot="1" x14ac:dyDescent="0.3">
      <c r="B32" s="11"/>
      <c r="C32" s="73" t="s">
        <v>80</v>
      </c>
      <c r="D32" s="141">
        <f>D30-D31</f>
        <v>0</v>
      </c>
      <c r="E32" s="142" t="e">
        <f t="shared" si="16"/>
        <v>#DIV/0!</v>
      </c>
      <c r="F32" s="141">
        <v>316511436.51999986</v>
      </c>
      <c r="G32" s="142">
        <f t="shared" si="17"/>
        <v>9.2720599803840967E-2</v>
      </c>
      <c r="H32" s="141">
        <f>+H30-H31</f>
        <v>-47457.539999999994</v>
      </c>
      <c r="I32" s="143">
        <f t="shared" si="18"/>
        <v>-1.8032288817311588</v>
      </c>
      <c r="J32" s="429" t="str">
        <f t="shared" si="7"/>
        <v/>
      </c>
      <c r="K32" s="429">
        <f t="shared" si="8"/>
        <v>-1.0001499394161608</v>
      </c>
      <c r="L32" s="141">
        <f>+L30-L31</f>
        <v>0</v>
      </c>
      <c r="M32" s="142" t="e">
        <f t="shared" si="19"/>
        <v>#DIV/0!</v>
      </c>
      <c r="N32" s="141">
        <v>1832111746.2399986</v>
      </c>
      <c r="O32" s="142">
        <f>+N32/$N$17</f>
        <v>0.1682322296687935</v>
      </c>
      <c r="P32" s="141">
        <f>+P30-P31</f>
        <v>-2539.9099999999949</v>
      </c>
      <c r="Q32" s="143">
        <f t="shared" si="21"/>
        <v>-2.0907185025183718E-2</v>
      </c>
      <c r="R32" s="144" t="str">
        <f t="shared" si="9"/>
        <v/>
      </c>
      <c r="S32" s="146">
        <f t="shared" si="10"/>
        <v>-1.0000013863291939</v>
      </c>
      <c r="T32" s="413"/>
      <c r="U32" s="413"/>
      <c r="V32" s="413"/>
      <c r="X32" s="15"/>
      <c r="Y32" s="15"/>
      <c r="Z32" s="15"/>
      <c r="AA32" s="15"/>
      <c r="AB32" s="15"/>
      <c r="AC32" s="15"/>
      <c r="AD32" s="15"/>
      <c r="AE32" s="15"/>
      <c r="AF32" s="15"/>
      <c r="AG32" s="87"/>
      <c r="AJ32" s="15"/>
      <c r="AK32" s="15"/>
      <c r="AL32" s="15"/>
      <c r="AM32" s="15"/>
    </row>
    <row r="33" spans="2:39" ht="15.75" thickBot="1" x14ac:dyDescent="0.3">
      <c r="B33" s="11"/>
      <c r="C33" s="104" t="s">
        <v>82</v>
      </c>
      <c r="D33" s="141">
        <f>+D32</f>
        <v>0</v>
      </c>
      <c r="E33" s="142" t="e">
        <f t="shared" si="16"/>
        <v>#DIV/0!</v>
      </c>
      <c r="F33" s="141">
        <v>316511436.51999986</v>
      </c>
      <c r="G33" s="142">
        <f t="shared" si="17"/>
        <v>9.2720599803840967E-2</v>
      </c>
      <c r="H33" s="141">
        <f>+H32</f>
        <v>-47457.539999999994</v>
      </c>
      <c r="I33" s="143">
        <f t="shared" si="18"/>
        <v>-1.8032288817311588</v>
      </c>
      <c r="J33" s="429" t="str">
        <f t="shared" si="7"/>
        <v/>
      </c>
      <c r="K33" s="429">
        <f t="shared" si="8"/>
        <v>-1.0001499394161608</v>
      </c>
      <c r="L33" s="141">
        <f>+L32</f>
        <v>0</v>
      </c>
      <c r="M33" s="142" t="e">
        <f t="shared" si="19"/>
        <v>#DIV/0!</v>
      </c>
      <c r="N33" s="141">
        <v>1832111746.2399986</v>
      </c>
      <c r="O33" s="142">
        <f>+N33/$N$17</f>
        <v>0.1682322296687935</v>
      </c>
      <c r="P33" s="141">
        <f>+P32</f>
        <v>-2539.9099999999949</v>
      </c>
      <c r="Q33" s="143">
        <f t="shared" si="21"/>
        <v>-2.0907185025183718E-2</v>
      </c>
      <c r="R33" s="144" t="str">
        <f t="shared" si="9"/>
        <v/>
      </c>
      <c r="S33" s="146">
        <f t="shared" si="10"/>
        <v>-1.0000013863291939</v>
      </c>
      <c r="T33" s="413"/>
      <c r="U33" s="413"/>
      <c r="V33" s="413"/>
      <c r="AG33" s="149"/>
      <c r="AH33" s="10"/>
      <c r="AJ33" s="15"/>
      <c r="AK33" s="15"/>
      <c r="AL33" s="15"/>
      <c r="AM33" s="15"/>
    </row>
    <row r="34" spans="2:39" x14ac:dyDescent="0.25">
      <c r="B34" s="11" t="s">
        <v>110</v>
      </c>
      <c r="C34" s="434" t="s">
        <v>46</v>
      </c>
      <c r="D34" s="435"/>
      <c r="E34" s="436" t="e">
        <f t="shared" si="16"/>
        <v>#DIV/0!</v>
      </c>
      <c r="F34" s="435">
        <v>861800783.35000014</v>
      </c>
      <c r="G34" s="436">
        <f t="shared" si="17"/>
        <v>0.25246065804823714</v>
      </c>
      <c r="H34" s="435">
        <v>4589.76</v>
      </c>
      <c r="I34" s="437">
        <f t="shared" si="18"/>
        <v>0.17439563433364655</v>
      </c>
      <c r="J34" s="438"/>
      <c r="K34" s="438"/>
      <c r="L34" s="83"/>
      <c r="M34" s="436"/>
      <c r="N34" s="435">
        <v>2665482636.0599999</v>
      </c>
      <c r="O34" s="436"/>
      <c r="P34" s="435">
        <v>30077.54</v>
      </c>
      <c r="Q34" s="377">
        <f t="shared" si="21"/>
        <v>0.2475822741287548</v>
      </c>
      <c r="R34" s="439" t="str">
        <f t="shared" si="9"/>
        <v/>
      </c>
      <c r="S34" s="439">
        <f t="shared" si="10"/>
        <v>-0.99998871591223548</v>
      </c>
      <c r="T34" s="413"/>
      <c r="U34" s="413"/>
      <c r="V34" s="413"/>
      <c r="AG34" s="149"/>
      <c r="AH34" s="10"/>
      <c r="AJ34" s="15"/>
      <c r="AK34" s="15"/>
      <c r="AL34" s="15"/>
      <c r="AM34" s="15"/>
    </row>
    <row r="35" spans="2:39" s="15" customFormat="1" x14ac:dyDescent="0.25">
      <c r="C35" s="226"/>
      <c r="D35" s="440"/>
      <c r="E35" s="192"/>
      <c r="F35" s="192" t="s">
        <v>111</v>
      </c>
      <c r="G35" s="192"/>
      <c r="H35" s="192" t="s">
        <v>71</v>
      </c>
      <c r="I35" s="192"/>
      <c r="J35" s="192"/>
      <c r="K35" s="192"/>
      <c r="L35" s="192"/>
      <c r="M35" s="192"/>
      <c r="N35" s="228" t="s">
        <v>111</v>
      </c>
      <c r="O35" s="20"/>
      <c r="P35" s="228" t="s">
        <v>71</v>
      </c>
      <c r="Q35" s="20"/>
      <c r="R35" s="20"/>
      <c r="S35" s="20"/>
      <c r="T35" s="441"/>
      <c r="U35" s="441"/>
      <c r="V35" s="441"/>
      <c r="W35" s="442"/>
      <c r="X35" s="10"/>
      <c r="Y35" s="10"/>
      <c r="Z35" s="10"/>
      <c r="AA35" s="10"/>
      <c r="AB35" s="10"/>
      <c r="AC35" s="10"/>
      <c r="AD35" s="10"/>
      <c r="AE35" s="10"/>
      <c r="AF35" s="10"/>
      <c r="AG35" s="149"/>
      <c r="AH35" s="10"/>
    </row>
    <row r="36" spans="2:39" s="15" customFormat="1" x14ac:dyDescent="0.25">
      <c r="C36" s="20"/>
      <c r="D36" s="440"/>
      <c r="E36" s="20"/>
      <c r="F36" s="20"/>
      <c r="G36" s="20"/>
      <c r="H36" s="140"/>
      <c r="I36" s="20"/>
      <c r="J36" s="20"/>
      <c r="K36" s="20"/>
      <c r="L36" s="20"/>
      <c r="M36" s="20"/>
      <c r="N36" s="140"/>
      <c r="O36" s="20"/>
      <c r="P36" s="140"/>
      <c r="Q36" s="20"/>
      <c r="R36" s="140"/>
      <c r="S36" s="140"/>
      <c r="T36" s="390"/>
      <c r="U36" s="390"/>
      <c r="V36" s="390"/>
      <c r="W36" s="10"/>
      <c r="X36" s="10"/>
      <c r="Y36" s="10"/>
      <c r="Z36" s="10"/>
      <c r="AA36" s="10"/>
      <c r="AB36" s="10"/>
      <c r="AG36" s="87"/>
    </row>
    <row r="37" spans="2:39" s="15" customFormat="1" x14ac:dyDescent="0.25">
      <c r="C37" s="20"/>
      <c r="D37" s="443"/>
      <c r="N37" s="87"/>
      <c r="P37" s="87"/>
      <c r="R37" s="20"/>
      <c r="S37" s="20"/>
      <c r="T37" s="295"/>
      <c r="U37" s="295"/>
      <c r="V37" s="295"/>
      <c r="W37" s="10"/>
      <c r="X37" s="10"/>
      <c r="Y37" s="10"/>
      <c r="Z37" s="10"/>
      <c r="AA37" s="10"/>
      <c r="AB37" s="10"/>
      <c r="AG37" s="87"/>
    </row>
    <row r="38" spans="2:39" s="15" customFormat="1" x14ac:dyDescent="0.25">
      <c r="C38" s="10"/>
      <c r="D38" s="314"/>
      <c r="F38" s="443"/>
      <c r="N38" s="87"/>
      <c r="P38" s="87"/>
      <c r="R38" s="10"/>
      <c r="S38" s="10"/>
      <c r="T38" s="295"/>
      <c r="U38" s="295"/>
      <c r="V38" s="295"/>
      <c r="W38" s="10"/>
      <c r="X38" s="10"/>
      <c r="Y38" s="10"/>
      <c r="Z38" s="10"/>
      <c r="AA38" s="10"/>
      <c r="AB38" s="10"/>
      <c r="AG38" s="87"/>
    </row>
    <row r="39" spans="2:39" s="15" customFormat="1" x14ac:dyDescent="0.25">
      <c r="C39" s="10"/>
      <c r="F39" s="443"/>
      <c r="R39" s="10"/>
      <c r="S39" s="10"/>
      <c r="T39" s="295"/>
      <c r="U39" s="295"/>
      <c r="V39" s="295"/>
      <c r="W39" s="10"/>
      <c r="X39" s="10"/>
      <c r="Y39" s="10"/>
      <c r="Z39" s="10"/>
      <c r="AA39" s="10"/>
      <c r="AB39" s="10"/>
    </row>
    <row r="40" spans="2:39" s="15" customFormat="1" x14ac:dyDescent="0.25">
      <c r="C40" s="10"/>
      <c r="D40" s="10"/>
      <c r="E40" s="10"/>
      <c r="F40" s="149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295"/>
      <c r="U40" s="295"/>
      <c r="V40" s="295"/>
      <c r="W40" s="10"/>
      <c r="X40" s="10"/>
      <c r="Y40" s="10"/>
      <c r="Z40" s="10"/>
      <c r="AA40" s="10"/>
      <c r="AB40" s="10"/>
    </row>
    <row r="41" spans="2:39" s="15" customFormat="1" x14ac:dyDescent="0.25"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295"/>
      <c r="U41" s="139"/>
      <c r="V41" s="139"/>
      <c r="W41" s="10"/>
      <c r="X41" s="10"/>
      <c r="Y41" s="10"/>
      <c r="Z41" s="10"/>
      <c r="AA41" s="10"/>
      <c r="AB41" s="10"/>
    </row>
    <row r="42" spans="2:39" s="15" customFormat="1" x14ac:dyDescent="0.25"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295"/>
      <c r="U42" s="139"/>
      <c r="V42" s="139"/>
      <c r="W42" s="10"/>
      <c r="X42" s="10"/>
      <c r="Y42" s="10"/>
      <c r="Z42" s="10"/>
      <c r="AA42" s="10"/>
      <c r="AB42" s="10"/>
    </row>
    <row r="43" spans="2:39" x14ac:dyDescent="0.25">
      <c r="F43" s="10"/>
      <c r="L43" s="10"/>
      <c r="N43" s="10"/>
    </row>
    <row r="44" spans="2:39" x14ac:dyDescent="0.25">
      <c r="B44" s="10" t="s">
        <v>83</v>
      </c>
      <c r="D44" s="220"/>
      <c r="E44" s="179"/>
      <c r="F44" s="10"/>
      <c r="G44" s="179"/>
      <c r="H44" s="220"/>
      <c r="I44" s="179"/>
      <c r="J44" s="179"/>
      <c r="K44" s="179"/>
      <c r="L44" s="220"/>
      <c r="M44" s="179"/>
      <c r="N44" s="10"/>
      <c r="O44" s="179"/>
      <c r="P44" s="179"/>
    </row>
    <row r="45" spans="2:39" x14ac:dyDescent="0.25">
      <c r="F45" s="10"/>
      <c r="L45" s="10"/>
      <c r="N45" s="10"/>
      <c r="T45" s="413"/>
      <c r="U45" s="181"/>
      <c r="V45" s="181"/>
    </row>
    <row r="46" spans="2:39" x14ac:dyDescent="0.25">
      <c r="F46" s="10"/>
      <c r="L46" s="10"/>
      <c r="N46" s="220"/>
      <c r="T46" s="413"/>
      <c r="U46" s="181"/>
      <c r="V46" s="181"/>
    </row>
    <row r="47" spans="2:39" x14ac:dyDescent="0.25">
      <c r="F47" s="10"/>
      <c r="L47" s="10"/>
      <c r="N47" s="10"/>
    </row>
    <row r="48" spans="2:39" x14ac:dyDescent="0.25">
      <c r="F48" s="220"/>
      <c r="L48" s="10"/>
      <c r="N48" s="10"/>
    </row>
    <row r="49" spans="6:14" x14ac:dyDescent="0.25">
      <c r="F49" s="10"/>
      <c r="L49" s="10"/>
      <c r="N49" s="10"/>
    </row>
    <row r="50" spans="6:14" x14ac:dyDescent="0.25">
      <c r="F50" s="10"/>
      <c r="L50" s="10"/>
      <c r="N50" s="10"/>
    </row>
    <row r="51" spans="6:14" x14ac:dyDescent="0.25">
      <c r="F51" s="10"/>
      <c r="L51" s="10"/>
      <c r="N51" s="10"/>
    </row>
    <row r="52" spans="6:14" x14ac:dyDescent="0.25">
      <c r="F52" s="10"/>
      <c r="L52" s="10"/>
      <c r="N52" s="10"/>
    </row>
    <row r="53" spans="6:14" x14ac:dyDescent="0.25">
      <c r="F53" s="10"/>
      <c r="L53" s="10"/>
      <c r="N53" s="10"/>
    </row>
  </sheetData>
  <mergeCells count="14">
    <mergeCell ref="AG5:AI5"/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4CE78-3ED8-47E1-93DB-E9F52D145452}">
  <dimension ref="A1:AE47"/>
  <sheetViews>
    <sheetView topLeftCell="C13" workbookViewId="0">
      <selection activeCell="P22" sqref="P22"/>
    </sheetView>
  </sheetViews>
  <sheetFormatPr baseColWidth="10" defaultRowHeight="15" x14ac:dyDescent="0.25"/>
  <cols>
    <col min="1" max="2" width="11.42578125" style="10" hidden="1" customWidth="1"/>
    <col min="3" max="3" width="35.7109375" style="10" customWidth="1"/>
    <col min="4" max="4" width="13.140625" style="10" customWidth="1"/>
    <col min="5" max="5" width="0.28515625" style="10" customWidth="1"/>
    <col min="6" max="6" width="11.5703125" style="10" customWidth="1"/>
    <col min="7" max="7" width="0.140625" style="10" customWidth="1"/>
    <col min="8" max="8" width="8.7109375" style="10" customWidth="1"/>
    <col min="9" max="9" width="0.28515625" style="10" customWidth="1"/>
    <col min="10" max="13" width="8.7109375" style="10" customWidth="1"/>
    <col min="14" max="14" width="13" style="10" customWidth="1"/>
    <col min="15" max="15" width="8.28515625" style="10" customWidth="1"/>
    <col min="16" max="16" width="12.140625" style="10" customWidth="1"/>
    <col min="17" max="17" width="8.7109375" style="10" customWidth="1"/>
    <col min="18" max="18" width="7.7109375" style="10" customWidth="1"/>
    <col min="19" max="19" width="5.85546875" style="10" customWidth="1"/>
    <col min="20" max="20" width="11.42578125" style="15"/>
    <col min="21" max="21" width="15.28515625" style="15" customWidth="1"/>
    <col min="22" max="22" width="11.42578125" style="12" customWidth="1"/>
    <col min="23" max="23" width="34.140625" style="10" hidden="1" customWidth="1"/>
    <col min="24" max="24" width="0" style="10" hidden="1" customWidth="1"/>
    <col min="25" max="25" width="11.5703125" style="10" hidden="1" customWidth="1"/>
    <col min="26" max="27" width="0" style="10" hidden="1" customWidth="1"/>
    <col min="28" max="28" width="10" style="10" hidden="1" customWidth="1"/>
    <col min="29" max="29" width="9.42578125" style="10" hidden="1" customWidth="1"/>
    <col min="30" max="16384" width="11.42578125" style="10"/>
  </cols>
  <sheetData>
    <row r="1" spans="1:31" s="4" customFormat="1" ht="30.75" hidden="1" thickBot="1" x14ac:dyDescent="0.3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8"/>
      <c r="U1" s="8"/>
      <c r="V1" s="5"/>
    </row>
    <row r="2" spans="1:31" ht="31.5" hidden="1" thickBot="1" x14ac:dyDescent="0.35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0">
        <f>B2</f>
        <v>201301</v>
      </c>
      <c r="L2" s="10" t="str">
        <f>CONCATENATE(LEFT(D2,4),"01")</f>
        <v>201301</v>
      </c>
      <c r="N2" s="10" t="str">
        <f>+F2</f>
        <v>201201</v>
      </c>
      <c r="P2" s="11">
        <f>D2</f>
        <v>201301</v>
      </c>
      <c r="Z2" s="14"/>
    </row>
    <row r="3" spans="1:31" ht="19.5" hidden="1" thickBot="1" x14ac:dyDescent="0.35">
      <c r="B3" s="10">
        <v>1000</v>
      </c>
      <c r="C3" s="17" t="s">
        <v>164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444"/>
      <c r="W3" s="19"/>
      <c r="X3" s="19"/>
      <c r="Y3" s="19"/>
      <c r="Z3" s="19"/>
      <c r="AA3" s="19"/>
      <c r="AB3" s="19"/>
      <c r="AC3" s="19"/>
    </row>
    <row r="4" spans="1:31" ht="19.5" thickBot="1" x14ac:dyDescent="0.35">
      <c r="A4" s="10" t="s">
        <v>94</v>
      </c>
      <c r="B4" s="10">
        <v>1</v>
      </c>
      <c r="C4" s="21"/>
      <c r="D4" s="182"/>
      <c r="E4" s="26"/>
      <c r="F4" s="26"/>
      <c r="G4" s="26"/>
      <c r="H4" s="27"/>
      <c r="I4" s="27"/>
      <c r="J4" s="393"/>
      <c r="K4" s="394"/>
      <c r="L4" s="25" t="s">
        <v>13</v>
      </c>
      <c r="M4" s="26"/>
      <c r="N4" s="26"/>
      <c r="O4" s="26"/>
      <c r="P4" s="27"/>
      <c r="Q4" s="27"/>
      <c r="R4" s="27"/>
      <c r="S4" s="27"/>
      <c r="W4" s="14"/>
      <c r="Y4" s="445"/>
      <c r="Z4" s="445"/>
    </row>
    <row r="5" spans="1:31" ht="15.75" customHeight="1" thickBot="1" x14ac:dyDescent="0.3">
      <c r="A5" s="10" t="s">
        <v>95</v>
      </c>
      <c r="B5" s="10" t="s">
        <v>96</v>
      </c>
      <c r="C5" s="36" t="s">
        <v>165</v>
      </c>
      <c r="D5" s="446" t="str">
        <f>+'COLOMB$ '!D5:E5</f>
        <v>Ppto 2022</v>
      </c>
      <c r="E5" s="447"/>
      <c r="F5" s="446" t="str">
        <f>+'COLOMB$ '!F5:G5</f>
        <v>Real 2021</v>
      </c>
      <c r="G5" s="447"/>
      <c r="H5" s="446" t="str">
        <f>+'COLOMB$ '!H5:I5</f>
        <v>real 2022</v>
      </c>
      <c r="I5" s="447"/>
      <c r="J5" s="400" t="s">
        <v>20</v>
      </c>
      <c r="K5" s="400" t="s">
        <v>21</v>
      </c>
      <c r="L5" s="401" t="str">
        <f>+D5</f>
        <v>Ppto 2022</v>
      </c>
      <c r="M5" s="206"/>
      <c r="N5" s="401" t="str">
        <f>+F5</f>
        <v>Real 2021</v>
      </c>
      <c r="O5" s="206"/>
      <c r="P5" s="401" t="str">
        <f>+H5</f>
        <v>real 2022</v>
      </c>
      <c r="Q5" s="206"/>
      <c r="R5" s="402" t="s">
        <v>20</v>
      </c>
      <c r="S5" s="403" t="s">
        <v>21</v>
      </c>
      <c r="T5" s="448"/>
      <c r="U5" s="449"/>
      <c r="W5" s="336"/>
      <c r="X5" s="450"/>
      <c r="Y5" s="47"/>
      <c r="Z5" s="47"/>
      <c r="AA5" s="47"/>
      <c r="AB5" s="47"/>
      <c r="AC5" s="47"/>
    </row>
    <row r="6" spans="1:31" ht="15.75" thickBot="1" x14ac:dyDescent="0.3">
      <c r="C6" s="50" t="s">
        <v>26</v>
      </c>
      <c r="D6" s="51" t="s">
        <v>27</v>
      </c>
      <c r="E6" s="52" t="s">
        <v>28</v>
      </c>
      <c r="F6" s="51" t="s">
        <v>27</v>
      </c>
      <c r="G6" s="53" t="s">
        <v>28</v>
      </c>
      <c r="H6" s="186" t="s">
        <v>27</v>
      </c>
      <c r="I6" s="54" t="s">
        <v>28</v>
      </c>
      <c r="J6" s="410" t="s">
        <v>29</v>
      </c>
      <c r="K6" s="410" t="s">
        <v>29</v>
      </c>
      <c r="L6" s="186" t="s">
        <v>27</v>
      </c>
      <c r="M6" s="52" t="s">
        <v>28</v>
      </c>
      <c r="N6" s="51" t="s">
        <v>27</v>
      </c>
      <c r="O6" s="54" t="s">
        <v>28</v>
      </c>
      <c r="P6" s="186" t="s">
        <v>27</v>
      </c>
      <c r="Q6" s="54" t="s">
        <v>28</v>
      </c>
      <c r="R6" s="55" t="s">
        <v>29</v>
      </c>
      <c r="S6" s="54" t="s">
        <v>29</v>
      </c>
      <c r="T6" s="451"/>
      <c r="U6" s="452"/>
      <c r="V6" s="453"/>
      <c r="W6" s="344"/>
      <c r="X6" s="58"/>
      <c r="Y6" s="63"/>
      <c r="Z6" s="63"/>
      <c r="AA6" s="63"/>
      <c r="AB6" s="63"/>
      <c r="AC6" s="347"/>
    </row>
    <row r="7" spans="1:31" ht="15.75" thickBot="1" x14ac:dyDescent="0.3">
      <c r="B7" s="11" t="s">
        <v>97</v>
      </c>
      <c r="C7" s="65" t="str">
        <f>+'COLOMB$ '!C7</f>
        <v>Fact. Musical Experience  (Ambiental)</v>
      </c>
      <c r="D7" s="66"/>
      <c r="E7" s="67" t="e">
        <f t="shared" ref="E7:E12" si="0">+D7/$D$16</f>
        <v>#DIV/0!</v>
      </c>
      <c r="F7" s="66"/>
      <c r="G7" s="67" t="e">
        <f t="shared" ref="G7:G12" si="1">+F7/$F$16</f>
        <v>#DIV/0!</v>
      </c>
      <c r="H7" s="66"/>
      <c r="I7" s="68" t="e">
        <f t="shared" ref="I7:I12" si="2">+H7/$H$16</f>
        <v>#DIV/0!</v>
      </c>
      <c r="J7" s="412" t="str">
        <f>IF(D7=0,"",(H7-D7)/ABS(D7)+1)</f>
        <v/>
      </c>
      <c r="K7" s="412" t="str">
        <f>IF(F7=0,"",(H7-F7)/ABS(F7))</f>
        <v/>
      </c>
      <c r="L7" s="66"/>
      <c r="M7" s="67" t="e">
        <f t="shared" ref="M7:M12" si="3">+L7/$L$16</f>
        <v>#DIV/0!</v>
      </c>
      <c r="N7" s="66"/>
      <c r="O7" s="67" t="e">
        <f t="shared" ref="O7:O12" si="4">+N7/$N$16</f>
        <v>#DIV/0!</v>
      </c>
      <c r="P7" s="66"/>
      <c r="Q7" s="68" t="e">
        <f t="shared" ref="Q7:Q12" si="5">+P7/$P$16</f>
        <v>#DIV/0!</v>
      </c>
      <c r="R7" s="69" t="str">
        <f>IF(L7=0,"",(P7-L7)/ABS(L7)+1)</f>
        <v/>
      </c>
      <c r="S7" s="349" t="str">
        <f>IF(N7=0,"",(P7-N7)/ABS(N7))</f>
        <v/>
      </c>
      <c r="T7" s="442"/>
      <c r="U7" s="442"/>
      <c r="V7" s="454"/>
      <c r="W7" s="73"/>
      <c r="X7" s="75"/>
      <c r="Y7" s="95"/>
      <c r="Z7" s="75"/>
      <c r="AA7" s="76"/>
      <c r="AB7" s="77"/>
      <c r="AC7" s="77"/>
    </row>
    <row r="8" spans="1:31" x14ac:dyDescent="0.25">
      <c r="B8" s="11" t="s">
        <v>98</v>
      </c>
      <c r="C8" s="65" t="str">
        <f>+'COLOMB$ '!C8</f>
        <v>Instalaciones</v>
      </c>
      <c r="D8" s="66"/>
      <c r="E8" s="67" t="e">
        <f t="shared" si="0"/>
        <v>#DIV/0!</v>
      </c>
      <c r="F8" s="66"/>
      <c r="G8" s="67" t="e">
        <f t="shared" si="1"/>
        <v>#DIV/0!</v>
      </c>
      <c r="H8" s="66"/>
      <c r="I8" s="68" t="e">
        <f t="shared" si="2"/>
        <v>#DIV/0!</v>
      </c>
      <c r="J8" s="412" t="str">
        <f t="shared" ref="J8:J33" si="6">IF(D8=0,"",(H8-D8)/ABS(D8)+1)</f>
        <v/>
      </c>
      <c r="K8" s="412" t="str">
        <f t="shared" ref="K8:K33" si="7">IF(F8=0,"",(H8-F8)/ABS(F8))</f>
        <v/>
      </c>
      <c r="L8" s="66"/>
      <c r="M8" s="67" t="e">
        <f t="shared" si="3"/>
        <v>#DIV/0!</v>
      </c>
      <c r="N8" s="66"/>
      <c r="O8" s="67" t="e">
        <f t="shared" si="4"/>
        <v>#DIV/0!</v>
      </c>
      <c r="P8" s="66"/>
      <c r="Q8" s="68" t="e">
        <f t="shared" si="5"/>
        <v>#DIV/0!</v>
      </c>
      <c r="R8" s="69" t="str">
        <f t="shared" ref="R8:R33" si="8">IF(L8=0,"",(P8-L8)/ABS(L8)+1)</f>
        <v/>
      </c>
      <c r="S8" s="349" t="str">
        <f t="shared" ref="S8:S33" si="9">IF(N8=0,"",(P8-N8)/ABS(N8))</f>
        <v/>
      </c>
      <c r="T8" s="442"/>
      <c r="U8" s="442"/>
      <c r="V8" s="454"/>
      <c r="W8" s="81"/>
      <c r="X8" s="90"/>
      <c r="Y8" s="90"/>
      <c r="Z8" s="90"/>
      <c r="AA8" s="85"/>
      <c r="AB8" s="86"/>
      <c r="AC8" s="86"/>
    </row>
    <row r="9" spans="1:31" x14ac:dyDescent="0.25">
      <c r="B9" s="11" t="s">
        <v>99</v>
      </c>
      <c r="C9" s="65" t="str">
        <f>+'COLOMB$ '!C9</f>
        <v>Fact.Voice Experience (Publihold)</v>
      </c>
      <c r="D9" s="66"/>
      <c r="E9" s="67" t="e">
        <f t="shared" si="0"/>
        <v>#DIV/0!</v>
      </c>
      <c r="F9" s="66"/>
      <c r="G9" s="67" t="e">
        <f t="shared" si="1"/>
        <v>#DIV/0!</v>
      </c>
      <c r="H9" s="66"/>
      <c r="I9" s="68" t="e">
        <f t="shared" si="2"/>
        <v>#DIV/0!</v>
      </c>
      <c r="J9" s="412" t="str">
        <f t="shared" si="6"/>
        <v/>
      </c>
      <c r="K9" s="412" t="str">
        <f t="shared" si="7"/>
        <v/>
      </c>
      <c r="L9" s="66"/>
      <c r="M9" s="67" t="e">
        <f t="shared" si="3"/>
        <v>#DIV/0!</v>
      </c>
      <c r="N9" s="66"/>
      <c r="O9" s="67" t="e">
        <f t="shared" si="4"/>
        <v>#DIV/0!</v>
      </c>
      <c r="P9" s="66"/>
      <c r="Q9" s="68" t="e">
        <f t="shared" si="5"/>
        <v>#DIV/0!</v>
      </c>
      <c r="R9" s="69" t="str">
        <f t="shared" si="8"/>
        <v/>
      </c>
      <c r="S9" s="349" t="str">
        <f t="shared" si="9"/>
        <v/>
      </c>
      <c r="T9" s="442"/>
      <c r="U9" s="442"/>
      <c r="V9" s="454"/>
      <c r="W9" s="81"/>
      <c r="X9" s="90"/>
      <c r="Y9" s="90"/>
      <c r="Z9" s="90"/>
      <c r="AA9" s="85"/>
      <c r="AB9" s="86"/>
      <c r="AC9" s="86"/>
    </row>
    <row r="10" spans="1:31" x14ac:dyDescent="0.25">
      <c r="B10" s="219" t="s">
        <v>100</v>
      </c>
      <c r="C10" s="65" t="str">
        <f>+'COLOMB$ '!C10</f>
        <v>Fact. Service &amp; Equipment Experience</v>
      </c>
      <c r="D10" s="66"/>
      <c r="E10" s="67" t="e">
        <f t="shared" si="0"/>
        <v>#DIV/0!</v>
      </c>
      <c r="F10" s="66"/>
      <c r="G10" s="67" t="e">
        <f t="shared" si="1"/>
        <v>#DIV/0!</v>
      </c>
      <c r="H10" s="66"/>
      <c r="I10" s="68" t="e">
        <f t="shared" si="2"/>
        <v>#DIV/0!</v>
      </c>
      <c r="J10" s="412" t="str">
        <f>IF(D10=0,"",(H10-D10)/ABS(D10)+1)</f>
        <v/>
      </c>
      <c r="K10" s="412" t="str">
        <f>IF(F10=0,"",(H10-F10)/ABS(F10))</f>
        <v/>
      </c>
      <c r="L10" s="66"/>
      <c r="M10" s="67" t="e">
        <f t="shared" si="3"/>
        <v>#DIV/0!</v>
      </c>
      <c r="N10" s="66"/>
      <c r="O10" s="67" t="e">
        <f t="shared" si="4"/>
        <v>#DIV/0!</v>
      </c>
      <c r="P10" s="66"/>
      <c r="Q10" s="68" t="e">
        <f t="shared" si="5"/>
        <v>#DIV/0!</v>
      </c>
      <c r="R10" s="69" t="str">
        <f>IF(L10=0,"",(P10-L10)/ABS(L10)+1)</f>
        <v/>
      </c>
      <c r="S10" s="349" t="str">
        <f>IF(N10=0,"",(P10-N10)/ABS(N10))</f>
        <v/>
      </c>
      <c r="T10" s="442"/>
      <c r="U10" s="442"/>
      <c r="V10" s="454"/>
      <c r="W10" s="81"/>
      <c r="X10" s="90"/>
      <c r="Y10" s="90"/>
      <c r="Z10" s="90"/>
      <c r="AA10" s="85"/>
      <c r="AB10" s="86"/>
      <c r="AC10" s="86"/>
    </row>
    <row r="11" spans="1:31" x14ac:dyDescent="0.25">
      <c r="B11" s="11">
        <v>4170250500</v>
      </c>
      <c r="C11" s="65" t="str">
        <f>+'COLOMB$ '!C11</f>
        <v>POP Satelital</v>
      </c>
      <c r="D11" s="66"/>
      <c r="E11" s="67" t="e">
        <f t="shared" si="0"/>
        <v>#DIV/0!</v>
      </c>
      <c r="F11" s="66"/>
      <c r="G11" s="67" t="e">
        <f t="shared" si="1"/>
        <v>#DIV/0!</v>
      </c>
      <c r="H11" s="66"/>
      <c r="I11" s="68" t="e">
        <f t="shared" si="2"/>
        <v>#DIV/0!</v>
      </c>
      <c r="J11" s="412" t="str">
        <f>IF(D11=0,"",(H11-D11)/ABS(D11)+1)</f>
        <v/>
      </c>
      <c r="K11" s="412" t="str">
        <f>IF(F11=0,"",(H11-F11)/ABS(F11))</f>
        <v/>
      </c>
      <c r="L11" s="66"/>
      <c r="M11" s="67" t="e">
        <f t="shared" si="3"/>
        <v>#DIV/0!</v>
      </c>
      <c r="N11" s="66"/>
      <c r="O11" s="67" t="e">
        <f t="shared" si="4"/>
        <v>#DIV/0!</v>
      </c>
      <c r="P11" s="66"/>
      <c r="Q11" s="68" t="e">
        <f t="shared" si="5"/>
        <v>#DIV/0!</v>
      </c>
      <c r="R11" s="69" t="str">
        <f>IF(L11=0,"",(P11-L11)/ABS(L11)+1)</f>
        <v/>
      </c>
      <c r="S11" s="349" t="str">
        <f>IF(N11=0,"",(P11-N11)/ABS(N11))</f>
        <v/>
      </c>
      <c r="T11" s="442"/>
      <c r="U11" s="442"/>
      <c r="V11" s="454"/>
      <c r="W11" s="81"/>
      <c r="X11" s="90"/>
      <c r="Y11" s="90"/>
      <c r="Z11" s="90"/>
      <c r="AA11" s="85"/>
      <c r="AB11" s="86"/>
      <c r="AC11" s="86"/>
      <c r="AE11" s="149"/>
    </row>
    <row r="12" spans="1:31" x14ac:dyDescent="0.25">
      <c r="B12" s="11"/>
      <c r="C12" s="65" t="str">
        <f>+'COLOMB$ '!C12</f>
        <v xml:space="preserve"> Fact.Voice Experience (Audicóm)</v>
      </c>
      <c r="D12" s="66"/>
      <c r="E12" s="67" t="e">
        <f t="shared" si="0"/>
        <v>#DIV/0!</v>
      </c>
      <c r="F12" s="66"/>
      <c r="G12" s="67" t="e">
        <f t="shared" si="1"/>
        <v>#DIV/0!</v>
      </c>
      <c r="H12" s="66"/>
      <c r="I12" s="68" t="e">
        <f t="shared" si="2"/>
        <v>#DIV/0!</v>
      </c>
      <c r="J12" s="412" t="str">
        <f t="shared" si="6"/>
        <v/>
      </c>
      <c r="K12" s="412" t="str">
        <f t="shared" si="7"/>
        <v/>
      </c>
      <c r="L12" s="66"/>
      <c r="M12" s="67" t="e">
        <f t="shared" si="3"/>
        <v>#DIV/0!</v>
      </c>
      <c r="N12" s="66"/>
      <c r="O12" s="67" t="e">
        <f t="shared" si="4"/>
        <v>#DIV/0!</v>
      </c>
      <c r="P12" s="66"/>
      <c r="Q12" s="68" t="e">
        <f t="shared" si="5"/>
        <v>#DIV/0!</v>
      </c>
      <c r="R12" s="69"/>
      <c r="S12" s="349" t="str">
        <f t="shared" si="9"/>
        <v/>
      </c>
      <c r="T12" s="442"/>
      <c r="U12" s="442"/>
      <c r="V12" s="454"/>
      <c r="W12" s="81"/>
      <c r="X12" s="90"/>
      <c r="Y12" s="422"/>
      <c r="Z12" s="422"/>
      <c r="AA12" s="85"/>
      <c r="AB12" s="86"/>
      <c r="AC12" s="86"/>
    </row>
    <row r="13" spans="1:31" ht="15.75" thickBot="1" x14ac:dyDescent="0.3">
      <c r="C13" s="65" t="str">
        <f>+'COLOMB$ '!C13</f>
        <v>Fact. Servicio Satelital</v>
      </c>
      <c r="D13" s="66"/>
      <c r="E13" s="67"/>
      <c r="F13" s="66"/>
      <c r="G13" s="67"/>
      <c r="H13" s="66"/>
      <c r="I13" s="68"/>
      <c r="J13" s="412"/>
      <c r="K13" s="412"/>
      <c r="L13" s="66"/>
      <c r="M13" s="67"/>
      <c r="N13" s="66"/>
      <c r="O13" s="67"/>
      <c r="P13" s="66"/>
      <c r="Q13" s="68"/>
      <c r="R13" s="69"/>
      <c r="S13" s="349"/>
      <c r="T13" s="442"/>
      <c r="U13" s="442"/>
      <c r="V13" s="454"/>
      <c r="W13" s="81"/>
      <c r="X13" s="90"/>
      <c r="Y13" s="90"/>
      <c r="Z13" s="90"/>
      <c r="AA13" s="85"/>
      <c r="AB13" s="86"/>
      <c r="AC13" s="86"/>
    </row>
    <row r="14" spans="1:31" ht="15.75" thickBot="1" x14ac:dyDescent="0.3">
      <c r="C14" s="65" t="str">
        <f>+'COLOMB$ '!C14</f>
        <v>Fact. Visual Experience</v>
      </c>
      <c r="D14" s="66"/>
      <c r="E14" s="67"/>
      <c r="F14" s="66"/>
      <c r="G14" s="67"/>
      <c r="H14" s="66"/>
      <c r="I14" s="68"/>
      <c r="J14" s="412"/>
      <c r="K14" s="412"/>
      <c r="L14" s="66"/>
      <c r="M14" s="67"/>
      <c r="N14" s="66"/>
      <c r="O14" s="67"/>
      <c r="P14" s="66"/>
      <c r="Q14" s="68"/>
      <c r="R14" s="69"/>
      <c r="S14" s="349"/>
      <c r="T14" s="442"/>
      <c r="U14" s="442"/>
      <c r="V14" s="454"/>
      <c r="W14" s="73"/>
      <c r="X14" s="75"/>
      <c r="Y14" s="95"/>
      <c r="Z14" s="75"/>
      <c r="AA14" s="76"/>
      <c r="AB14" s="77"/>
      <c r="AC14" s="77"/>
    </row>
    <row r="15" spans="1:31" ht="15.75" thickBot="1" x14ac:dyDescent="0.3">
      <c r="C15" s="65" t="str">
        <f>+'COLOMB$ '!C16</f>
        <v>Facturacion Locutor virtual</v>
      </c>
      <c r="D15" s="66"/>
      <c r="E15" s="67"/>
      <c r="F15" s="66"/>
      <c r="G15" s="67"/>
      <c r="H15" s="66"/>
      <c r="I15" s="455" t="e">
        <f t="shared" ref="I15:I33" si="10">+H15/$H$16</f>
        <v>#DIV/0!</v>
      </c>
      <c r="J15" s="456"/>
      <c r="K15" s="412"/>
      <c r="L15" s="66"/>
      <c r="M15" s="67"/>
      <c r="N15" s="66"/>
      <c r="O15" s="67"/>
      <c r="P15" s="66">
        <f>+U15+H15</f>
        <v>0</v>
      </c>
      <c r="Q15" s="68" t="e">
        <f t="shared" ref="Q15:Q33" si="11">+P15/$P$16</f>
        <v>#DIV/0!</v>
      </c>
      <c r="R15" s="69"/>
      <c r="S15" s="349"/>
      <c r="T15" s="442"/>
      <c r="U15" s="442"/>
      <c r="V15" s="454"/>
      <c r="W15" s="89"/>
      <c r="X15" s="97"/>
      <c r="Y15" s="101"/>
      <c r="Z15" s="97"/>
      <c r="AA15" s="103"/>
      <c r="AB15" s="102"/>
      <c r="AC15" s="102"/>
    </row>
    <row r="16" spans="1:31" x14ac:dyDescent="0.25">
      <c r="B16" s="11"/>
      <c r="C16" s="104" t="s">
        <v>58</v>
      </c>
      <c r="D16" s="105">
        <f>SUM(D7:D15)</f>
        <v>0</v>
      </c>
      <c r="E16" s="106" t="e">
        <f t="shared" ref="E16:E33" si="12">+D16/$D$16</f>
        <v>#DIV/0!</v>
      </c>
      <c r="F16" s="105">
        <v>0</v>
      </c>
      <c r="G16" s="106" t="e">
        <f t="shared" ref="G16:G33" si="13">+F16/$F$16</f>
        <v>#DIV/0!</v>
      </c>
      <c r="H16" s="105">
        <f>SUM(H7:H15)</f>
        <v>0</v>
      </c>
      <c r="I16" s="457" t="e">
        <f t="shared" si="10"/>
        <v>#DIV/0!</v>
      </c>
      <c r="J16" s="458" t="str">
        <f t="shared" si="6"/>
        <v/>
      </c>
      <c r="K16" s="416" t="str">
        <f t="shared" si="7"/>
        <v/>
      </c>
      <c r="L16" s="105">
        <f>SUM(L7:L15)</f>
        <v>0</v>
      </c>
      <c r="M16" s="106" t="e">
        <f t="shared" ref="M16:M33" si="14">+L16/$L$16</f>
        <v>#DIV/0!</v>
      </c>
      <c r="N16" s="105">
        <v>0</v>
      </c>
      <c r="O16" s="106" t="e">
        <f t="shared" ref="O16:O29" si="15">+N16/$N$16</f>
        <v>#DIV/0!</v>
      </c>
      <c r="P16" s="105">
        <f>SUM(P7:P15)</f>
        <v>0</v>
      </c>
      <c r="Q16" s="107" t="e">
        <f t="shared" si="11"/>
        <v>#DIV/0!</v>
      </c>
      <c r="R16" s="108" t="str">
        <f t="shared" si="8"/>
        <v/>
      </c>
      <c r="S16" s="108" t="str">
        <f t="shared" si="9"/>
        <v/>
      </c>
      <c r="T16" s="442"/>
      <c r="U16" s="442"/>
      <c r="V16" s="454"/>
      <c r="W16" s="81"/>
      <c r="X16" s="82"/>
      <c r="Y16" s="82"/>
      <c r="Z16" s="82"/>
      <c r="AA16" s="85"/>
      <c r="AB16" s="86"/>
      <c r="AC16" s="86"/>
    </row>
    <row r="17" spans="1:31" x14ac:dyDescent="0.25">
      <c r="B17" s="11" t="s">
        <v>101</v>
      </c>
      <c r="C17" s="112" t="s">
        <v>60</v>
      </c>
      <c r="D17" s="114"/>
      <c r="E17" s="113" t="e">
        <f t="shared" si="12"/>
        <v>#DIV/0!</v>
      </c>
      <c r="F17" s="114"/>
      <c r="G17" s="113" t="e">
        <f t="shared" si="13"/>
        <v>#DIV/0!</v>
      </c>
      <c r="H17" s="117"/>
      <c r="I17" s="459" t="e">
        <f t="shared" si="10"/>
        <v>#DIV/0!</v>
      </c>
      <c r="J17" s="460" t="str">
        <f t="shared" si="6"/>
        <v/>
      </c>
      <c r="K17" s="419" t="str">
        <f t="shared" si="7"/>
        <v/>
      </c>
      <c r="L17" s="114"/>
      <c r="M17" s="113" t="e">
        <f t="shared" si="14"/>
        <v>#DIV/0!</v>
      </c>
      <c r="N17" s="66"/>
      <c r="O17" s="113" t="e">
        <f t="shared" si="15"/>
        <v>#DIV/0!</v>
      </c>
      <c r="P17" s="114">
        <f>+U17+H17</f>
        <v>0</v>
      </c>
      <c r="Q17" s="115" t="e">
        <f t="shared" si="11"/>
        <v>#DIV/0!</v>
      </c>
      <c r="R17" s="116" t="str">
        <f t="shared" si="8"/>
        <v/>
      </c>
      <c r="S17" s="370" t="str">
        <f t="shared" si="9"/>
        <v/>
      </c>
      <c r="T17" s="442"/>
      <c r="U17" s="442"/>
      <c r="V17" s="454"/>
      <c r="W17" s="81"/>
      <c r="X17" s="90"/>
      <c r="Y17" s="90"/>
      <c r="Z17" s="90"/>
      <c r="AA17" s="85"/>
      <c r="AB17" s="86"/>
      <c r="AC17" s="86"/>
      <c r="AE17" s="149"/>
    </row>
    <row r="18" spans="1:31" ht="15.75" thickBot="1" x14ac:dyDescent="0.3">
      <c r="B18" s="11"/>
      <c r="C18" s="119" t="s">
        <v>62</v>
      </c>
      <c r="D18" s="120">
        <f>+D16-D17</f>
        <v>0</v>
      </c>
      <c r="E18" s="121" t="e">
        <f t="shared" si="12"/>
        <v>#DIV/0!</v>
      </c>
      <c r="F18" s="120">
        <v>0</v>
      </c>
      <c r="G18" s="121" t="e">
        <f t="shared" si="13"/>
        <v>#DIV/0!</v>
      </c>
      <c r="H18" s="120">
        <f>+H16-H17</f>
        <v>0</v>
      </c>
      <c r="I18" s="461" t="e">
        <f t="shared" si="10"/>
        <v>#DIV/0!</v>
      </c>
      <c r="J18" s="462" t="str">
        <f t="shared" si="6"/>
        <v/>
      </c>
      <c r="K18" s="420" t="str">
        <f t="shared" si="7"/>
        <v/>
      </c>
      <c r="L18" s="120">
        <f>+L16-L17</f>
        <v>0</v>
      </c>
      <c r="M18" s="121" t="e">
        <f t="shared" si="14"/>
        <v>#DIV/0!</v>
      </c>
      <c r="N18" s="120">
        <v>0</v>
      </c>
      <c r="O18" s="121" t="e">
        <f t="shared" si="15"/>
        <v>#DIV/0!</v>
      </c>
      <c r="P18" s="120">
        <f>+P16-P17</f>
        <v>0</v>
      </c>
      <c r="Q18" s="122" t="e">
        <f t="shared" si="11"/>
        <v>#DIV/0!</v>
      </c>
      <c r="R18" s="124" t="str">
        <f t="shared" si="8"/>
        <v/>
      </c>
      <c r="S18" s="124" t="str">
        <f t="shared" si="9"/>
        <v/>
      </c>
      <c r="T18" s="442"/>
      <c r="U18" s="442"/>
      <c r="V18" s="454"/>
      <c r="W18" s="81"/>
      <c r="X18" s="90"/>
      <c r="Y18" s="90"/>
      <c r="Z18" s="90"/>
      <c r="AA18" s="85"/>
      <c r="AB18" s="86"/>
      <c r="AC18" s="86"/>
    </row>
    <row r="19" spans="1:31" x14ac:dyDescent="0.25">
      <c r="B19" s="11" t="s">
        <v>102</v>
      </c>
      <c r="C19" s="81" t="s">
        <v>64</v>
      </c>
      <c r="D19" s="83"/>
      <c r="E19" s="126" t="e">
        <f t="shared" si="12"/>
        <v>#DIV/0!</v>
      </c>
      <c r="F19" s="83"/>
      <c r="G19" s="126" t="e">
        <f t="shared" si="13"/>
        <v>#DIV/0!</v>
      </c>
      <c r="H19" s="83"/>
      <c r="I19" s="463" t="e">
        <f t="shared" si="10"/>
        <v>#DIV/0!</v>
      </c>
      <c r="J19" s="464" t="str">
        <f t="shared" si="6"/>
        <v/>
      </c>
      <c r="K19" s="421" t="str">
        <f t="shared" si="7"/>
        <v/>
      </c>
      <c r="L19" s="83"/>
      <c r="M19" s="126" t="e">
        <f t="shared" si="14"/>
        <v>#DIV/0!</v>
      </c>
      <c r="N19" s="83"/>
      <c r="O19" s="126" t="e">
        <f t="shared" si="15"/>
        <v>#DIV/0!</v>
      </c>
      <c r="P19" s="83">
        <f>+V19+H19</f>
        <v>0</v>
      </c>
      <c r="Q19" s="127" t="e">
        <f t="shared" si="11"/>
        <v>#DIV/0!</v>
      </c>
      <c r="R19" s="128" t="str">
        <f t="shared" si="8"/>
        <v/>
      </c>
      <c r="S19" s="148" t="str">
        <f t="shared" si="9"/>
        <v/>
      </c>
      <c r="T19" s="442"/>
      <c r="U19" s="442"/>
      <c r="V19" s="454"/>
      <c r="W19" s="81"/>
      <c r="X19" s="422"/>
      <c r="Y19" s="422"/>
      <c r="Z19" s="422"/>
      <c r="AA19" s="85"/>
      <c r="AB19" s="86"/>
      <c r="AC19" s="86"/>
      <c r="AE19" s="149"/>
    </row>
    <row r="20" spans="1:31" ht="15.75" thickBot="1" x14ac:dyDescent="0.3">
      <c r="B20" s="11" t="s">
        <v>103</v>
      </c>
      <c r="C20" s="81" t="s">
        <v>66</v>
      </c>
      <c r="D20" s="83"/>
      <c r="E20" s="126" t="e">
        <f t="shared" si="12"/>
        <v>#DIV/0!</v>
      </c>
      <c r="F20" s="83"/>
      <c r="G20" s="126" t="e">
        <f t="shared" si="13"/>
        <v>#DIV/0!</v>
      </c>
      <c r="H20" s="83"/>
      <c r="I20" s="463" t="e">
        <f t="shared" si="10"/>
        <v>#DIV/0!</v>
      </c>
      <c r="J20" s="464" t="str">
        <f t="shared" si="6"/>
        <v/>
      </c>
      <c r="K20" s="421" t="str">
        <f t="shared" si="7"/>
        <v/>
      </c>
      <c r="L20" s="83"/>
      <c r="M20" s="126" t="e">
        <f t="shared" si="14"/>
        <v>#DIV/0!</v>
      </c>
      <c r="N20" s="83"/>
      <c r="O20" s="126" t="e">
        <f t="shared" si="15"/>
        <v>#DIV/0!</v>
      </c>
      <c r="P20" s="83"/>
      <c r="Q20" s="127" t="e">
        <f t="shared" si="11"/>
        <v>#DIV/0!</v>
      </c>
      <c r="R20" s="128" t="str">
        <f t="shared" si="8"/>
        <v/>
      </c>
      <c r="S20" s="148" t="str">
        <f t="shared" si="9"/>
        <v/>
      </c>
      <c r="T20" s="442"/>
      <c r="U20" s="442"/>
      <c r="V20" s="454"/>
      <c r="W20" s="81"/>
      <c r="X20" s="90"/>
      <c r="Y20" s="90"/>
      <c r="Z20" s="90"/>
      <c r="AA20" s="85"/>
      <c r="AB20" s="86"/>
      <c r="AC20" s="86"/>
    </row>
    <row r="21" spans="1:31" ht="15.75" thickBot="1" x14ac:dyDescent="0.3">
      <c r="B21" s="11"/>
      <c r="C21" s="112" t="s">
        <v>68</v>
      </c>
      <c r="D21" s="117"/>
      <c r="E21" s="113" t="e">
        <f t="shared" si="12"/>
        <v>#DIV/0!</v>
      </c>
      <c r="F21" s="117"/>
      <c r="G21" s="113" t="e">
        <f t="shared" si="13"/>
        <v>#DIV/0!</v>
      </c>
      <c r="H21" s="117">
        <f>SUM(H19:H20)</f>
        <v>0</v>
      </c>
      <c r="I21" s="459" t="e">
        <f t="shared" si="10"/>
        <v>#DIV/0!</v>
      </c>
      <c r="J21" s="460" t="str">
        <f t="shared" si="6"/>
        <v/>
      </c>
      <c r="K21" s="419" t="str">
        <f t="shared" si="7"/>
        <v/>
      </c>
      <c r="L21" s="117">
        <f>SUM(L19:L20)</f>
        <v>0</v>
      </c>
      <c r="M21" s="113" t="e">
        <f t="shared" si="14"/>
        <v>#DIV/0!</v>
      </c>
      <c r="N21" s="117"/>
      <c r="O21" s="113" t="e">
        <f t="shared" si="15"/>
        <v>#DIV/0!</v>
      </c>
      <c r="P21" s="117">
        <f>SUM(P19:P20)</f>
        <v>0</v>
      </c>
      <c r="Q21" s="115" t="e">
        <f t="shared" si="11"/>
        <v>#DIV/0!</v>
      </c>
      <c r="R21" s="116" t="str">
        <f t="shared" si="8"/>
        <v/>
      </c>
      <c r="S21" s="370" t="str">
        <f t="shared" si="9"/>
        <v/>
      </c>
      <c r="T21" s="442"/>
      <c r="U21" s="442"/>
      <c r="V21" s="454"/>
      <c r="W21" s="73"/>
      <c r="X21" s="75"/>
      <c r="Y21" s="465"/>
      <c r="Z21" s="75"/>
      <c r="AA21" s="76"/>
      <c r="AB21" s="77"/>
      <c r="AC21" s="77"/>
    </row>
    <row r="22" spans="1:31" x14ac:dyDescent="0.25">
      <c r="B22" s="11" t="s">
        <v>104</v>
      </c>
      <c r="C22" s="81" t="s">
        <v>70</v>
      </c>
      <c r="D22" s="83"/>
      <c r="E22" s="126" t="e">
        <f t="shared" si="12"/>
        <v>#DIV/0!</v>
      </c>
      <c r="F22" s="83"/>
      <c r="G22" s="126" t="e">
        <f t="shared" si="13"/>
        <v>#DIV/0!</v>
      </c>
      <c r="H22" s="83"/>
      <c r="I22" s="463" t="e">
        <f t="shared" si="10"/>
        <v>#DIV/0!</v>
      </c>
      <c r="J22" s="464" t="str">
        <f t="shared" si="6"/>
        <v/>
      </c>
      <c r="K22" s="421" t="str">
        <f t="shared" si="7"/>
        <v/>
      </c>
      <c r="L22" s="83"/>
      <c r="M22" s="126" t="e">
        <f t="shared" si="14"/>
        <v>#DIV/0!</v>
      </c>
      <c r="N22" s="83"/>
      <c r="O22" s="126" t="e">
        <f t="shared" si="15"/>
        <v>#DIV/0!</v>
      </c>
      <c r="P22" s="83"/>
      <c r="Q22" s="127" t="e">
        <f t="shared" si="11"/>
        <v>#DIV/0!</v>
      </c>
      <c r="R22" s="128" t="str">
        <f t="shared" si="8"/>
        <v/>
      </c>
      <c r="S22" s="148" t="str">
        <f t="shared" si="9"/>
        <v/>
      </c>
      <c r="T22" s="442"/>
      <c r="U22" s="442"/>
      <c r="V22" s="454"/>
    </row>
    <row r="23" spans="1:31" x14ac:dyDescent="0.25">
      <c r="A23" s="11" t="s">
        <v>105</v>
      </c>
      <c r="B23" s="11" t="s">
        <v>106</v>
      </c>
      <c r="C23" s="81" t="s">
        <v>72</v>
      </c>
      <c r="D23" s="83"/>
      <c r="E23" s="126" t="e">
        <f t="shared" si="12"/>
        <v>#DIV/0!</v>
      </c>
      <c r="F23" s="83"/>
      <c r="G23" s="126" t="e">
        <f t="shared" si="13"/>
        <v>#DIV/0!</v>
      </c>
      <c r="H23" s="83"/>
      <c r="I23" s="463" t="e">
        <f t="shared" si="10"/>
        <v>#DIV/0!</v>
      </c>
      <c r="J23" s="464" t="str">
        <f t="shared" si="6"/>
        <v/>
      </c>
      <c r="K23" s="421" t="str">
        <f t="shared" si="7"/>
        <v/>
      </c>
      <c r="L23" s="83"/>
      <c r="M23" s="126" t="e">
        <f t="shared" si="14"/>
        <v>#DIV/0!</v>
      </c>
      <c r="N23" s="83"/>
      <c r="O23" s="126" t="e">
        <f t="shared" si="15"/>
        <v>#DIV/0!</v>
      </c>
      <c r="P23" s="91"/>
      <c r="Q23" s="127" t="e">
        <f t="shared" si="11"/>
        <v>#DIV/0!</v>
      </c>
      <c r="R23" s="128" t="str">
        <f t="shared" si="8"/>
        <v/>
      </c>
      <c r="S23" s="148" t="str">
        <f t="shared" si="9"/>
        <v/>
      </c>
      <c r="T23" s="442"/>
      <c r="U23" s="442"/>
      <c r="V23" s="454"/>
      <c r="X23" s="466"/>
      <c r="Y23" s="467"/>
      <c r="Z23" s="466"/>
    </row>
    <row r="24" spans="1:31" x14ac:dyDescent="0.25">
      <c r="B24" s="11"/>
      <c r="C24" s="112" t="s">
        <v>73</v>
      </c>
      <c r="D24" s="117"/>
      <c r="E24" s="113" t="e">
        <f t="shared" si="12"/>
        <v>#DIV/0!</v>
      </c>
      <c r="F24" s="117">
        <v>0</v>
      </c>
      <c r="G24" s="113" t="e">
        <f t="shared" si="13"/>
        <v>#DIV/0!</v>
      </c>
      <c r="H24" s="117">
        <f>SUM(H22:H23)</f>
        <v>0</v>
      </c>
      <c r="I24" s="459" t="e">
        <f t="shared" si="10"/>
        <v>#DIV/0!</v>
      </c>
      <c r="J24" s="460" t="str">
        <f t="shared" si="6"/>
        <v/>
      </c>
      <c r="K24" s="419" t="str">
        <f t="shared" si="7"/>
        <v/>
      </c>
      <c r="L24" s="117"/>
      <c r="M24" s="113" t="e">
        <f t="shared" si="14"/>
        <v>#DIV/0!</v>
      </c>
      <c r="N24" s="117"/>
      <c r="O24" s="113" t="e">
        <f t="shared" si="15"/>
        <v>#DIV/0!</v>
      </c>
      <c r="P24" s="117"/>
      <c r="Q24" s="115" t="e">
        <f t="shared" si="11"/>
        <v>#DIV/0!</v>
      </c>
      <c r="R24" s="116" t="str">
        <f t="shared" si="8"/>
        <v/>
      </c>
      <c r="S24" s="370" t="str">
        <f t="shared" si="9"/>
        <v/>
      </c>
      <c r="T24" s="442"/>
      <c r="U24" s="442"/>
      <c r="V24" s="454"/>
      <c r="W24" s="468"/>
      <c r="X24" s="466"/>
      <c r="Y24" s="466"/>
      <c r="Z24" s="466"/>
      <c r="AC24" s="468"/>
    </row>
    <row r="25" spans="1:31" ht="15.75" thickBot="1" x14ac:dyDescent="0.3">
      <c r="B25" s="11"/>
      <c r="C25" s="112" t="s">
        <v>75</v>
      </c>
      <c r="D25" s="117"/>
      <c r="E25" s="113" t="e">
        <f t="shared" si="12"/>
        <v>#DIV/0!</v>
      </c>
      <c r="F25" s="117"/>
      <c r="G25" s="113" t="e">
        <f t="shared" si="13"/>
        <v>#DIV/0!</v>
      </c>
      <c r="H25" s="117">
        <f>H21+H24</f>
        <v>0</v>
      </c>
      <c r="I25" s="459" t="e">
        <f t="shared" si="10"/>
        <v>#DIV/0!</v>
      </c>
      <c r="J25" s="460" t="str">
        <f t="shared" si="6"/>
        <v/>
      </c>
      <c r="K25" s="419" t="str">
        <f t="shared" si="7"/>
        <v/>
      </c>
      <c r="L25" s="117">
        <f>+L21+L23</f>
        <v>0</v>
      </c>
      <c r="M25" s="113" t="e">
        <f t="shared" si="14"/>
        <v>#DIV/0!</v>
      </c>
      <c r="N25" s="117"/>
      <c r="O25" s="113" t="e">
        <f t="shared" si="15"/>
        <v>#DIV/0!</v>
      </c>
      <c r="P25" s="117">
        <f>+P21+P23</f>
        <v>0</v>
      </c>
      <c r="Q25" s="115" t="e">
        <f t="shared" si="11"/>
        <v>#DIV/0!</v>
      </c>
      <c r="R25" s="116" t="str">
        <f t="shared" si="8"/>
        <v/>
      </c>
      <c r="S25" s="370" t="str">
        <f t="shared" si="9"/>
        <v/>
      </c>
      <c r="T25" s="442"/>
      <c r="U25" s="442"/>
      <c r="V25" s="454"/>
      <c r="X25" s="466"/>
      <c r="Y25" s="466"/>
      <c r="Z25" s="466"/>
    </row>
    <row r="26" spans="1:31" ht="15.75" thickBot="1" x14ac:dyDescent="0.3">
      <c r="B26" s="11"/>
      <c r="C26" s="73" t="s">
        <v>76</v>
      </c>
      <c r="D26" s="141">
        <f>D18-D25</f>
        <v>0</v>
      </c>
      <c r="E26" s="142" t="e">
        <f t="shared" si="12"/>
        <v>#DIV/0!</v>
      </c>
      <c r="F26" s="141"/>
      <c r="G26" s="142" t="e">
        <f t="shared" si="13"/>
        <v>#DIV/0!</v>
      </c>
      <c r="H26" s="141">
        <f>H18-H25</f>
        <v>0</v>
      </c>
      <c r="I26" s="469" t="e">
        <f t="shared" si="10"/>
        <v>#DIV/0!</v>
      </c>
      <c r="J26" s="470" t="str">
        <f t="shared" si="6"/>
        <v/>
      </c>
      <c r="K26" s="429" t="str">
        <f t="shared" si="7"/>
        <v/>
      </c>
      <c r="L26" s="141">
        <f>L18-L25</f>
        <v>0</v>
      </c>
      <c r="M26" s="142" t="e">
        <f t="shared" si="14"/>
        <v>#DIV/0!</v>
      </c>
      <c r="N26" s="141"/>
      <c r="O26" s="142" t="e">
        <f t="shared" si="15"/>
        <v>#DIV/0!</v>
      </c>
      <c r="P26" s="141">
        <f>P18-P25</f>
        <v>0</v>
      </c>
      <c r="Q26" s="145" t="e">
        <f t="shared" si="11"/>
        <v>#DIV/0!</v>
      </c>
      <c r="R26" s="146" t="str">
        <f t="shared" si="8"/>
        <v/>
      </c>
      <c r="S26" s="146" t="str">
        <f t="shared" si="9"/>
        <v/>
      </c>
      <c r="T26" s="442"/>
      <c r="U26" s="442"/>
      <c r="V26" s="454"/>
    </row>
    <row r="27" spans="1:31" x14ac:dyDescent="0.25">
      <c r="B27" s="11" t="s">
        <v>107</v>
      </c>
      <c r="C27" s="81" t="s">
        <v>77</v>
      </c>
      <c r="D27" s="83">
        <v>0</v>
      </c>
      <c r="E27" s="126" t="e">
        <f t="shared" si="12"/>
        <v>#DIV/0!</v>
      </c>
      <c r="F27" s="83"/>
      <c r="G27" s="126" t="e">
        <f t="shared" si="13"/>
        <v>#DIV/0!</v>
      </c>
      <c r="H27" s="83"/>
      <c r="I27" s="463" t="e">
        <f t="shared" si="10"/>
        <v>#DIV/0!</v>
      </c>
      <c r="J27" s="464" t="str">
        <f t="shared" si="6"/>
        <v/>
      </c>
      <c r="K27" s="421" t="str">
        <f t="shared" si="7"/>
        <v/>
      </c>
      <c r="L27" s="83">
        <v>0</v>
      </c>
      <c r="M27" s="126" t="e">
        <f t="shared" si="14"/>
        <v>#DIV/0!</v>
      </c>
      <c r="N27" s="83"/>
      <c r="O27" s="126" t="e">
        <f t="shared" si="15"/>
        <v>#DIV/0!</v>
      </c>
      <c r="P27" s="91">
        <f>+U27+H27</f>
        <v>0</v>
      </c>
      <c r="Q27" s="127" t="e">
        <f t="shared" si="11"/>
        <v>#DIV/0!</v>
      </c>
      <c r="R27" s="148" t="str">
        <f t="shared" si="8"/>
        <v/>
      </c>
      <c r="S27" s="148" t="str">
        <f t="shared" si="9"/>
        <v/>
      </c>
      <c r="T27" s="442"/>
      <c r="U27" s="442"/>
      <c r="V27" s="454"/>
    </row>
    <row r="28" spans="1:31" ht="15.75" thickBot="1" x14ac:dyDescent="0.3">
      <c r="B28" s="11" t="s">
        <v>108</v>
      </c>
      <c r="C28" s="81" t="s">
        <v>78</v>
      </c>
      <c r="D28" s="83"/>
      <c r="E28" s="126" t="e">
        <f t="shared" si="12"/>
        <v>#DIV/0!</v>
      </c>
      <c r="F28" s="83"/>
      <c r="G28" s="126" t="e">
        <f t="shared" si="13"/>
        <v>#DIV/0!</v>
      </c>
      <c r="H28" s="83"/>
      <c r="I28" s="463" t="e">
        <f t="shared" si="10"/>
        <v>#DIV/0!</v>
      </c>
      <c r="J28" s="464" t="str">
        <f t="shared" si="6"/>
        <v/>
      </c>
      <c r="K28" s="421" t="str">
        <f t="shared" si="7"/>
        <v/>
      </c>
      <c r="L28" s="83">
        <v>0</v>
      </c>
      <c r="M28" s="126" t="e">
        <f t="shared" si="14"/>
        <v>#DIV/0!</v>
      </c>
      <c r="N28" s="83"/>
      <c r="O28" s="126" t="e">
        <f t="shared" si="15"/>
        <v>#DIV/0!</v>
      </c>
      <c r="P28" s="91">
        <f>+U28+H28</f>
        <v>0</v>
      </c>
      <c r="Q28" s="127" t="e">
        <f t="shared" si="11"/>
        <v>#DIV/0!</v>
      </c>
      <c r="R28" s="148" t="str">
        <f t="shared" si="8"/>
        <v/>
      </c>
      <c r="S28" s="148" t="str">
        <f t="shared" si="9"/>
        <v/>
      </c>
      <c r="T28" s="442"/>
      <c r="U28" s="442"/>
      <c r="V28" s="454"/>
    </row>
    <row r="29" spans="1:31" ht="15.75" thickBot="1" x14ac:dyDescent="0.3">
      <c r="B29" s="11"/>
      <c r="C29" s="73" t="s">
        <v>79</v>
      </c>
      <c r="D29" s="141">
        <f>D26+D27-D28</f>
        <v>0</v>
      </c>
      <c r="E29" s="142" t="e">
        <f t="shared" si="12"/>
        <v>#DIV/0!</v>
      </c>
      <c r="F29" s="141"/>
      <c r="G29" s="142" t="e">
        <f t="shared" si="13"/>
        <v>#DIV/0!</v>
      </c>
      <c r="H29" s="141">
        <f>H26+H27-H28</f>
        <v>0</v>
      </c>
      <c r="I29" s="469" t="e">
        <f t="shared" si="10"/>
        <v>#DIV/0!</v>
      </c>
      <c r="J29" s="470" t="str">
        <f t="shared" si="6"/>
        <v/>
      </c>
      <c r="K29" s="429" t="str">
        <f t="shared" si="7"/>
        <v/>
      </c>
      <c r="L29" s="141">
        <f>L26+L27-L28</f>
        <v>0</v>
      </c>
      <c r="M29" s="142" t="e">
        <f t="shared" si="14"/>
        <v>#DIV/0!</v>
      </c>
      <c r="N29" s="141"/>
      <c r="O29" s="142" t="e">
        <f t="shared" si="15"/>
        <v>#DIV/0!</v>
      </c>
      <c r="P29" s="141">
        <f>P26+P27-P28</f>
        <v>0</v>
      </c>
      <c r="Q29" s="143" t="e">
        <f t="shared" si="11"/>
        <v>#DIV/0!</v>
      </c>
      <c r="R29" s="144" t="str">
        <f t="shared" si="8"/>
        <v/>
      </c>
      <c r="S29" s="146" t="str">
        <f t="shared" si="9"/>
        <v/>
      </c>
      <c r="T29" s="442"/>
      <c r="U29" s="442"/>
      <c r="V29" s="454"/>
    </row>
    <row r="30" spans="1:31" ht="15.75" thickBot="1" x14ac:dyDescent="0.3">
      <c r="B30" s="11" t="s">
        <v>109</v>
      </c>
      <c r="C30" s="81" t="s">
        <v>63</v>
      </c>
      <c r="D30" s="83">
        <f>+D29*34%</f>
        <v>0</v>
      </c>
      <c r="E30" s="126" t="e">
        <f t="shared" si="12"/>
        <v>#DIV/0!</v>
      </c>
      <c r="F30" s="83"/>
      <c r="G30" s="126" t="e">
        <f t="shared" si="13"/>
        <v>#DIV/0!</v>
      </c>
      <c r="H30" s="83"/>
      <c r="I30" s="463" t="e">
        <f t="shared" si="10"/>
        <v>#DIV/0!</v>
      </c>
      <c r="J30" s="464" t="str">
        <f t="shared" si="6"/>
        <v/>
      </c>
      <c r="K30" s="421" t="str">
        <f t="shared" si="7"/>
        <v/>
      </c>
      <c r="L30" s="83">
        <f>+L29*34%</f>
        <v>0</v>
      </c>
      <c r="M30" s="126" t="e">
        <f t="shared" si="14"/>
        <v>#DIV/0!</v>
      </c>
      <c r="N30" s="83"/>
      <c r="O30" s="126"/>
      <c r="P30" s="91">
        <f>+U30+H30</f>
        <v>0</v>
      </c>
      <c r="Q30" s="127" t="e">
        <f t="shared" si="11"/>
        <v>#DIV/0!</v>
      </c>
      <c r="R30" s="148" t="str">
        <f t="shared" si="8"/>
        <v/>
      </c>
      <c r="S30" s="148"/>
      <c r="T30" s="442"/>
      <c r="U30" s="442"/>
      <c r="V30" s="454"/>
    </row>
    <row r="31" spans="1:31" ht="15.75" thickBot="1" x14ac:dyDescent="0.3">
      <c r="B31" s="11"/>
      <c r="C31" s="73" t="s">
        <v>80</v>
      </c>
      <c r="D31" s="141">
        <f>D29-D30</f>
        <v>0</v>
      </c>
      <c r="E31" s="142" t="e">
        <f t="shared" si="12"/>
        <v>#DIV/0!</v>
      </c>
      <c r="F31" s="141"/>
      <c r="G31" s="142" t="e">
        <f t="shared" si="13"/>
        <v>#DIV/0!</v>
      </c>
      <c r="H31" s="141">
        <f>+H29-H30</f>
        <v>0</v>
      </c>
      <c r="I31" s="469" t="e">
        <f t="shared" si="10"/>
        <v>#DIV/0!</v>
      </c>
      <c r="J31" s="470" t="str">
        <f t="shared" si="6"/>
        <v/>
      </c>
      <c r="K31" s="429" t="str">
        <f t="shared" si="7"/>
        <v/>
      </c>
      <c r="L31" s="141">
        <f>L29-L30</f>
        <v>0</v>
      </c>
      <c r="M31" s="142" t="e">
        <f t="shared" si="14"/>
        <v>#DIV/0!</v>
      </c>
      <c r="N31" s="141"/>
      <c r="O31" s="142" t="e">
        <f>+N31/$N$16</f>
        <v>#DIV/0!</v>
      </c>
      <c r="P31" s="141">
        <f>P29-P30</f>
        <v>0</v>
      </c>
      <c r="Q31" s="143" t="e">
        <f t="shared" si="11"/>
        <v>#DIV/0!</v>
      </c>
      <c r="R31" s="144" t="str">
        <f t="shared" si="8"/>
        <v/>
      </c>
      <c r="S31" s="146" t="str">
        <f t="shared" si="9"/>
        <v/>
      </c>
      <c r="T31" s="442"/>
      <c r="U31" s="442"/>
      <c r="V31" s="454"/>
    </row>
    <row r="32" spans="1:31" ht="15.75" thickBot="1" x14ac:dyDescent="0.3">
      <c r="B32" s="11"/>
      <c r="C32" s="73" t="s">
        <v>82</v>
      </c>
      <c r="D32" s="141">
        <f>+D15</f>
        <v>0</v>
      </c>
      <c r="E32" s="142" t="e">
        <f t="shared" si="12"/>
        <v>#DIV/0!</v>
      </c>
      <c r="F32" s="141"/>
      <c r="G32" s="142" t="e">
        <f t="shared" si="13"/>
        <v>#DIV/0!</v>
      </c>
      <c r="H32" s="141">
        <f>+H31</f>
        <v>0</v>
      </c>
      <c r="I32" s="469" t="e">
        <f t="shared" si="10"/>
        <v>#DIV/0!</v>
      </c>
      <c r="J32" s="470" t="str">
        <f t="shared" si="6"/>
        <v/>
      </c>
      <c r="K32" s="429" t="str">
        <f t="shared" si="7"/>
        <v/>
      </c>
      <c r="L32" s="141">
        <f>+L26</f>
        <v>0</v>
      </c>
      <c r="M32" s="142" t="e">
        <f t="shared" si="14"/>
        <v>#DIV/0!</v>
      </c>
      <c r="N32" s="141"/>
      <c r="O32" s="142" t="e">
        <f>+N32/$N$16</f>
        <v>#DIV/0!</v>
      </c>
      <c r="P32" s="141">
        <f>+P29</f>
        <v>0</v>
      </c>
      <c r="Q32" s="143" t="e">
        <f t="shared" si="11"/>
        <v>#DIV/0!</v>
      </c>
      <c r="R32" s="144" t="str">
        <f t="shared" si="8"/>
        <v/>
      </c>
      <c r="S32" s="146" t="str">
        <f t="shared" si="9"/>
        <v/>
      </c>
      <c r="T32" s="442"/>
      <c r="U32" s="442"/>
      <c r="V32" s="454"/>
    </row>
    <row r="33" spans="2:22" ht="15.75" thickBot="1" x14ac:dyDescent="0.3">
      <c r="B33" s="11" t="s">
        <v>110</v>
      </c>
      <c r="C33" s="153" t="s">
        <v>46</v>
      </c>
      <c r="D33" s="154"/>
      <c r="E33" s="155" t="e">
        <f t="shared" si="12"/>
        <v>#DIV/0!</v>
      </c>
      <c r="F33" s="154"/>
      <c r="G33" s="155" t="e">
        <f t="shared" si="13"/>
        <v>#DIV/0!</v>
      </c>
      <c r="H33" s="154"/>
      <c r="I33" s="471" t="e">
        <f t="shared" si="10"/>
        <v>#DIV/0!</v>
      </c>
      <c r="J33" s="472" t="str">
        <f t="shared" si="6"/>
        <v/>
      </c>
      <c r="K33" s="473" t="str">
        <f t="shared" si="7"/>
        <v/>
      </c>
      <c r="L33" s="154"/>
      <c r="M33" s="155" t="e">
        <f t="shared" si="14"/>
        <v>#DIV/0!</v>
      </c>
      <c r="N33" s="154"/>
      <c r="O33" s="155" t="e">
        <f>+N33/$N$16</f>
        <v>#DIV/0!</v>
      </c>
      <c r="P33" s="154"/>
      <c r="Q33" s="159" t="e">
        <f t="shared" si="11"/>
        <v>#DIV/0!</v>
      </c>
      <c r="R33" s="160" t="str">
        <f t="shared" si="8"/>
        <v/>
      </c>
      <c r="S33" s="160" t="str">
        <f t="shared" si="9"/>
        <v/>
      </c>
      <c r="T33" s="442"/>
      <c r="U33" s="442"/>
      <c r="V33" s="454"/>
    </row>
    <row r="34" spans="2:22" s="15" customFormat="1" x14ac:dyDescent="0.25">
      <c r="C34" s="299"/>
      <c r="N34" s="15">
        <v>334358</v>
      </c>
      <c r="S34" s="168"/>
      <c r="T34" s="442"/>
      <c r="U34" s="442"/>
      <c r="V34" s="442"/>
    </row>
    <row r="35" spans="2:22" s="15" customFormat="1" x14ac:dyDescent="0.25">
      <c r="E35" s="87"/>
      <c r="G35" s="87"/>
      <c r="I35" s="87"/>
      <c r="J35" s="87"/>
      <c r="K35" s="87"/>
      <c r="N35" s="15">
        <v>538233</v>
      </c>
      <c r="T35" s="442"/>
      <c r="U35" s="442"/>
      <c r="V35" s="442"/>
    </row>
    <row r="36" spans="2:22" s="15" customFormat="1" x14ac:dyDescent="0.25">
      <c r="G36" s="443"/>
      <c r="H36" s="87"/>
      <c r="I36" s="443"/>
      <c r="J36" s="443"/>
      <c r="K36" s="443"/>
      <c r="N36" s="15">
        <v>538233</v>
      </c>
      <c r="T36" s="442"/>
      <c r="U36" s="442"/>
      <c r="V36" s="442"/>
    </row>
    <row r="37" spans="2:22" s="15" customFormat="1" x14ac:dyDescent="0.25">
      <c r="D37" s="443"/>
      <c r="F37" s="443"/>
      <c r="G37" s="443"/>
      <c r="I37" s="443"/>
      <c r="J37" s="443"/>
      <c r="K37" s="443"/>
      <c r="P37" s="87"/>
      <c r="T37" s="442"/>
      <c r="U37" s="442"/>
      <c r="V37" s="442"/>
    </row>
    <row r="38" spans="2:22" s="15" customFormat="1" x14ac:dyDescent="0.25">
      <c r="F38" s="443"/>
      <c r="G38" s="443"/>
      <c r="H38" s="443"/>
      <c r="I38" s="443"/>
      <c r="J38" s="443"/>
      <c r="K38" s="443"/>
      <c r="O38" s="10"/>
      <c r="T38" s="442"/>
      <c r="U38" s="442"/>
      <c r="V38" s="454"/>
    </row>
    <row r="39" spans="2:22" s="15" customFormat="1" x14ac:dyDescent="0.25">
      <c r="F39" s="87"/>
      <c r="T39" s="442"/>
      <c r="U39" s="442"/>
      <c r="V39" s="454"/>
    </row>
    <row r="40" spans="2:22" s="15" customFormat="1" x14ac:dyDescent="0.25">
      <c r="V40" s="12"/>
    </row>
    <row r="43" spans="2:22" x14ac:dyDescent="0.25">
      <c r="B43" s="10" t="s">
        <v>83</v>
      </c>
      <c r="D43" s="303"/>
      <c r="E43" s="303"/>
      <c r="G43" s="303"/>
      <c r="H43" s="304"/>
      <c r="I43" s="303"/>
      <c r="J43" s="303"/>
      <c r="K43" s="303"/>
      <c r="L43" s="304"/>
      <c r="M43" s="303"/>
      <c r="O43" s="303"/>
      <c r="P43" s="303"/>
    </row>
    <row r="45" spans="2:22" x14ac:dyDescent="0.25">
      <c r="N45" s="304"/>
    </row>
    <row r="47" spans="2:22" x14ac:dyDescent="0.25">
      <c r="F47" s="304"/>
    </row>
  </sheetData>
  <mergeCells count="7">
    <mergeCell ref="C3:S3"/>
    <mergeCell ref="W3:AC3"/>
    <mergeCell ref="D4:K4"/>
    <mergeCell ref="L4:S4"/>
    <mergeCell ref="L5:M5"/>
    <mergeCell ref="N5:O5"/>
    <mergeCell ref="P5:Q5"/>
  </mergeCells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8F814-621C-4156-99FB-C653F04FC103}">
  <dimension ref="A1:AE48"/>
  <sheetViews>
    <sheetView topLeftCell="C4" workbookViewId="0">
      <selection activeCell="V12" sqref="V12"/>
    </sheetView>
  </sheetViews>
  <sheetFormatPr baseColWidth="10" defaultRowHeight="15" x14ac:dyDescent="0.25"/>
  <cols>
    <col min="1" max="2" width="11.42578125" style="10" hidden="1" customWidth="1"/>
    <col min="3" max="3" width="35.7109375" style="20" customWidth="1"/>
    <col min="4" max="4" width="14.28515625" style="20" customWidth="1"/>
    <col min="5" max="5" width="6.140625" style="20" hidden="1" customWidth="1"/>
    <col min="6" max="6" width="11" style="20" customWidth="1"/>
    <col min="7" max="7" width="0.28515625" style="20" customWidth="1"/>
    <col min="8" max="8" width="10.85546875" style="20" customWidth="1"/>
    <col min="9" max="9" width="0.140625" style="20" customWidth="1"/>
    <col min="10" max="10" width="10.28515625" style="20" customWidth="1"/>
    <col min="11" max="11" width="8.140625" style="20" hidden="1" customWidth="1"/>
    <col min="12" max="12" width="10.5703125" style="20" customWidth="1"/>
    <col min="13" max="13" width="0.5703125" style="20" customWidth="1"/>
    <col min="14" max="14" width="10" style="20" customWidth="1"/>
    <col min="15" max="15" width="0.28515625" style="20" customWidth="1"/>
    <col min="16" max="16" width="11" style="20" customWidth="1"/>
    <col min="17" max="17" width="0.28515625" style="20" customWidth="1"/>
    <col min="18" max="18" width="7.85546875" style="20" customWidth="1"/>
    <col min="19" max="19" width="0.28515625" style="20" customWidth="1"/>
    <col min="20" max="21" width="11.42578125" style="15" customWidth="1"/>
    <col min="22" max="22" width="11.42578125" style="12" customWidth="1"/>
    <col min="23" max="23" width="34.140625" style="12" hidden="1" customWidth="1"/>
    <col min="24" max="24" width="11.42578125" style="12" hidden="1" customWidth="1"/>
    <col min="25" max="25" width="11.5703125" style="12" hidden="1" customWidth="1"/>
    <col min="26" max="27" width="11.42578125" style="12" hidden="1" customWidth="1"/>
    <col min="28" max="28" width="10" style="12" hidden="1" customWidth="1"/>
    <col min="29" max="29" width="9.42578125" style="12" hidden="1" customWidth="1"/>
    <col min="30" max="30" width="0" style="12" hidden="1" customWidth="1"/>
    <col min="31" max="31" width="11.42578125" style="12"/>
    <col min="32" max="16384" width="11.42578125" style="10"/>
  </cols>
  <sheetData>
    <row r="1" spans="1:31" s="4" customFormat="1" ht="30.75" hidden="1" thickBot="1" x14ac:dyDescent="0.3">
      <c r="C1" s="474" t="s">
        <v>0</v>
      </c>
      <c r="D1" s="388" t="s">
        <v>1</v>
      </c>
      <c r="E1" s="388"/>
      <c r="F1" s="388" t="s">
        <v>2</v>
      </c>
      <c r="G1" s="388"/>
      <c r="H1" s="388" t="s">
        <v>3</v>
      </c>
      <c r="I1" s="388"/>
      <c r="J1" s="388"/>
      <c r="K1" s="388" t="s">
        <v>4</v>
      </c>
      <c r="L1" s="388" t="s">
        <v>5</v>
      </c>
      <c r="M1" s="388"/>
      <c r="N1" s="388" t="s">
        <v>6</v>
      </c>
      <c r="O1" s="388"/>
      <c r="P1" s="388" t="s">
        <v>7</v>
      </c>
      <c r="Q1" s="388"/>
      <c r="R1" s="388"/>
      <c r="S1" s="388"/>
      <c r="T1" s="8" t="s">
        <v>5</v>
      </c>
      <c r="U1" s="8" t="s">
        <v>6</v>
      </c>
      <c r="V1" s="5" t="s">
        <v>7</v>
      </c>
      <c r="W1" s="5"/>
      <c r="X1" s="5"/>
      <c r="Y1" s="5"/>
      <c r="Z1" s="5"/>
      <c r="AA1" s="5"/>
      <c r="AB1" s="5"/>
      <c r="AC1" s="5"/>
      <c r="AD1" s="5"/>
      <c r="AE1" s="5"/>
    </row>
    <row r="2" spans="1:31" ht="31.5" hidden="1" thickBot="1" x14ac:dyDescent="0.35">
      <c r="A2" s="4" t="s">
        <v>8</v>
      </c>
      <c r="B2" s="195">
        <v>201301</v>
      </c>
      <c r="D2" s="475">
        <f>B2</f>
        <v>201301</v>
      </c>
      <c r="F2" s="475" t="str">
        <f>CONCATENATE(LEFT(B2,4)-1,RIGHT(B2,2))</f>
        <v>201201</v>
      </c>
      <c r="H2" s="20">
        <f>B2</f>
        <v>201301</v>
      </c>
      <c r="L2" s="20" t="str">
        <f>CONCATENATE(LEFT(D2,4),"01")</f>
        <v>201301</v>
      </c>
      <c r="N2" s="475" t="str">
        <f>+F2</f>
        <v>201201</v>
      </c>
      <c r="P2" s="475">
        <f>D2</f>
        <v>201301</v>
      </c>
      <c r="T2" s="15" t="s">
        <v>10</v>
      </c>
      <c r="U2" s="15" t="s">
        <v>84</v>
      </c>
      <c r="V2" s="12">
        <v>201301</v>
      </c>
      <c r="Z2" s="476"/>
    </row>
    <row r="3" spans="1:31" ht="19.5" hidden="1" thickBot="1" x14ac:dyDescent="0.35">
      <c r="B3" s="10">
        <v>1000</v>
      </c>
      <c r="C3" s="477" t="s">
        <v>164</v>
      </c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7"/>
      <c r="S3" s="477"/>
      <c r="T3" s="444"/>
      <c r="W3" s="478"/>
      <c r="X3" s="478"/>
      <c r="Y3" s="478"/>
      <c r="Z3" s="478"/>
      <c r="AA3" s="478"/>
      <c r="AB3" s="478"/>
      <c r="AC3" s="478"/>
    </row>
    <row r="4" spans="1:31" ht="19.5" thickBot="1" x14ac:dyDescent="0.35">
      <c r="A4" s="10" t="s">
        <v>94</v>
      </c>
      <c r="B4" s="10">
        <v>1</v>
      </c>
      <c r="C4" s="479"/>
      <c r="D4" s="480" t="str">
        <f>+'COLOMB$ '!D4:K4</f>
        <v>31/04/2022</v>
      </c>
      <c r="E4" s="481"/>
      <c r="F4" s="481"/>
      <c r="G4" s="481"/>
      <c r="H4" s="482"/>
      <c r="I4" s="482"/>
      <c r="J4" s="483"/>
      <c r="K4" s="484"/>
      <c r="L4" s="485" t="s">
        <v>13</v>
      </c>
      <c r="M4" s="481"/>
      <c r="N4" s="481"/>
      <c r="O4" s="481"/>
      <c r="P4" s="482"/>
      <c r="Q4" s="482"/>
      <c r="R4" s="482"/>
      <c r="S4" s="482"/>
      <c r="T4" s="15" t="s">
        <v>13</v>
      </c>
      <c r="W4" s="476"/>
      <c r="Y4" s="486"/>
      <c r="Z4" s="486"/>
    </row>
    <row r="5" spans="1:31" ht="15.75" customHeight="1" thickBot="1" x14ac:dyDescent="0.3">
      <c r="A5" s="10" t="s">
        <v>95</v>
      </c>
      <c r="B5" s="10" t="s">
        <v>96</v>
      </c>
      <c r="C5" s="487" t="s">
        <v>165</v>
      </c>
      <c r="D5" s="488" t="str">
        <f>+'COLOMB$ '!D5:E5</f>
        <v>Ppto 2022</v>
      </c>
      <c r="E5" s="489"/>
      <c r="F5" s="488" t="str">
        <f>+'COLOMB$ '!F5:G5</f>
        <v>Real 2021</v>
      </c>
      <c r="G5" s="489"/>
      <c r="H5" s="488" t="str">
        <f>+'COLOMB$ '!H5:I5</f>
        <v>real 2022</v>
      </c>
      <c r="I5" s="489"/>
      <c r="J5" s="490" t="s">
        <v>20</v>
      </c>
      <c r="K5" s="490" t="s">
        <v>21</v>
      </c>
      <c r="L5" s="491" t="str">
        <f>+D5</f>
        <v>Ppto 2022</v>
      </c>
      <c r="M5" s="489"/>
      <c r="N5" s="491" t="str">
        <f>+F5</f>
        <v>Real 2021</v>
      </c>
      <c r="O5" s="489"/>
      <c r="P5" s="491" t="str">
        <f>+H5</f>
        <v>real 2022</v>
      </c>
      <c r="Q5" s="489"/>
      <c r="R5" s="492" t="s">
        <v>20</v>
      </c>
      <c r="S5" s="493" t="s">
        <v>21</v>
      </c>
      <c r="T5" s="448" t="s">
        <v>85</v>
      </c>
      <c r="U5" s="449" t="s">
        <v>86</v>
      </c>
      <c r="V5" s="12" t="s">
        <v>87</v>
      </c>
      <c r="W5" s="494"/>
      <c r="X5" s="495"/>
      <c r="Y5" s="496"/>
      <c r="Z5" s="496"/>
      <c r="AA5" s="496"/>
      <c r="AB5" s="496"/>
      <c r="AC5" s="496"/>
    </row>
    <row r="6" spans="1:31" ht="15.75" thickBot="1" x14ac:dyDescent="0.3">
      <c r="C6" s="497" t="s">
        <v>26</v>
      </c>
      <c r="D6" s="498" t="s">
        <v>27</v>
      </c>
      <c r="E6" s="499" t="s">
        <v>28</v>
      </c>
      <c r="F6" s="500" t="s">
        <v>27</v>
      </c>
      <c r="G6" s="501" t="s">
        <v>28</v>
      </c>
      <c r="H6" s="500" t="s">
        <v>27</v>
      </c>
      <c r="I6" s="502" t="s">
        <v>28</v>
      </c>
      <c r="J6" s="503" t="s">
        <v>29</v>
      </c>
      <c r="K6" s="503" t="s">
        <v>29</v>
      </c>
      <c r="L6" s="500" t="s">
        <v>27</v>
      </c>
      <c r="M6" s="499" t="s">
        <v>28</v>
      </c>
      <c r="N6" s="500" t="s">
        <v>27</v>
      </c>
      <c r="O6" s="502" t="s">
        <v>28</v>
      </c>
      <c r="P6" s="500" t="s">
        <v>27</v>
      </c>
      <c r="Q6" s="502" t="s">
        <v>28</v>
      </c>
      <c r="R6" s="504" t="s">
        <v>29</v>
      </c>
      <c r="S6" s="502" t="s">
        <v>29</v>
      </c>
      <c r="T6" s="451" t="s">
        <v>27</v>
      </c>
      <c r="U6" s="452" t="s">
        <v>27</v>
      </c>
      <c r="V6" s="453" t="s">
        <v>27</v>
      </c>
      <c r="W6" s="505"/>
      <c r="X6" s="506"/>
      <c r="Y6" s="507"/>
      <c r="Z6" s="507"/>
      <c r="AA6" s="507"/>
      <c r="AB6" s="507"/>
      <c r="AC6" s="508"/>
    </row>
    <row r="7" spans="1:31" ht="15.75" thickBot="1" x14ac:dyDescent="0.3">
      <c r="B7" s="11" t="s">
        <v>97</v>
      </c>
      <c r="C7" s="509" t="str">
        <f>+'COLOMB$ '!C7</f>
        <v>Fact. Musical Experience  (Ambiental)</v>
      </c>
      <c r="D7" s="510"/>
      <c r="E7" s="511" t="e">
        <f t="shared" ref="E7:E12" si="0">+D7/$D$17</f>
        <v>#DIV/0!</v>
      </c>
      <c r="F7" s="510"/>
      <c r="G7" s="511" t="e">
        <f t="shared" ref="G7:G12" si="1">+F7/$F$17</f>
        <v>#DIV/0!</v>
      </c>
      <c r="H7" s="512"/>
      <c r="I7" s="513" t="e">
        <f t="shared" ref="I7:I12" si="2">+H7/$H$17</f>
        <v>#DIV/0!</v>
      </c>
      <c r="J7" s="514" t="str">
        <f>IF(D7=0,"",(H7-D7)/ABS(D7)+1)</f>
        <v/>
      </c>
      <c r="K7" s="515" t="str">
        <f>IF(F7=0,"",(H7-F7)/ABS(F7))</f>
        <v/>
      </c>
      <c r="L7" s="510"/>
      <c r="M7" s="511" t="e">
        <f t="shared" ref="M7:M12" si="3">+L7/$L$17</f>
        <v>#DIV/0!</v>
      </c>
      <c r="N7" s="510"/>
      <c r="O7" s="511" t="e">
        <f t="shared" ref="O7:O12" si="4">+N7/$N$17</f>
        <v>#DIV/0!</v>
      </c>
      <c r="P7" s="510"/>
      <c r="Q7" s="516" t="e">
        <f t="shared" ref="Q7:Q12" si="5">+P7/$P$17</f>
        <v>#DIV/0!</v>
      </c>
      <c r="R7" s="517" t="str">
        <f>IF(L7=0,"",(P7-L7)/ABS(L7)+1)</f>
        <v/>
      </c>
      <c r="S7" s="518" t="str">
        <f>IF(N7=0,"",(P7-N7)/ABS(N7))</f>
        <v/>
      </c>
      <c r="T7" s="442"/>
      <c r="U7" s="442"/>
      <c r="V7" s="454"/>
      <c r="W7" s="519"/>
      <c r="X7" s="520"/>
      <c r="Y7" s="521"/>
      <c r="Z7" s="520"/>
      <c r="AA7" s="522"/>
      <c r="AB7" s="523"/>
      <c r="AC7" s="523"/>
    </row>
    <row r="8" spans="1:31" x14ac:dyDescent="0.25">
      <c r="B8" s="11" t="s">
        <v>98</v>
      </c>
      <c r="C8" s="509" t="str">
        <f>+'COLOMB$ '!C8</f>
        <v>Instalaciones</v>
      </c>
      <c r="D8" s="510"/>
      <c r="E8" s="511" t="e">
        <f t="shared" si="0"/>
        <v>#DIV/0!</v>
      </c>
      <c r="F8" s="510">
        <v>0</v>
      </c>
      <c r="G8" s="511" t="e">
        <f t="shared" si="1"/>
        <v>#DIV/0!</v>
      </c>
      <c r="H8" s="510"/>
      <c r="I8" s="524" t="e">
        <f t="shared" si="2"/>
        <v>#DIV/0!</v>
      </c>
      <c r="J8" s="514" t="str">
        <f t="shared" ref="J8:J34" si="6">IF(D8=0,"",(H8-D8)/ABS(D8)+1)</f>
        <v/>
      </c>
      <c r="K8" s="515" t="str">
        <f t="shared" ref="K8:K34" si="7">IF(F8=0,"",(H8-F8)/ABS(F8))</f>
        <v/>
      </c>
      <c r="L8" s="510"/>
      <c r="M8" s="511" t="e">
        <f t="shared" si="3"/>
        <v>#DIV/0!</v>
      </c>
      <c r="N8" s="510">
        <f t="shared" ref="N8:N13" si="8">+U8+F8</f>
        <v>0</v>
      </c>
      <c r="O8" s="511" t="e">
        <f t="shared" si="4"/>
        <v>#DIV/0!</v>
      </c>
      <c r="P8" s="510"/>
      <c r="Q8" s="516" t="e">
        <f t="shared" si="5"/>
        <v>#DIV/0!</v>
      </c>
      <c r="R8" s="517" t="str">
        <f t="shared" ref="R8:R34" si="9">IF(L8=0,"",(P8-L8)/ABS(L8)+1)</f>
        <v/>
      </c>
      <c r="S8" s="518" t="str">
        <f t="shared" ref="S8:S34" si="10">IF(N8=0,"",(P8-N8)/ABS(N8))</f>
        <v/>
      </c>
      <c r="T8" s="442"/>
      <c r="U8" s="442">
        <v>0</v>
      </c>
      <c r="V8" s="454"/>
      <c r="W8" s="525"/>
      <c r="X8" s="526"/>
      <c r="Y8" s="526"/>
      <c r="Z8" s="526"/>
      <c r="AA8" s="527"/>
      <c r="AB8" s="528"/>
      <c r="AC8" s="528"/>
    </row>
    <row r="9" spans="1:31" x14ac:dyDescent="0.25">
      <c r="B9" s="11" t="s">
        <v>99</v>
      </c>
      <c r="C9" s="509" t="str">
        <f>+'COLOMB$ '!C9</f>
        <v>Fact.Voice Experience (Publihold)</v>
      </c>
      <c r="D9" s="510"/>
      <c r="E9" s="511" t="e">
        <f t="shared" si="0"/>
        <v>#DIV/0!</v>
      </c>
      <c r="F9" s="510">
        <v>0</v>
      </c>
      <c r="G9" s="511" t="e">
        <f t="shared" si="1"/>
        <v>#DIV/0!</v>
      </c>
      <c r="H9" s="510"/>
      <c r="I9" s="524" t="e">
        <f t="shared" si="2"/>
        <v>#DIV/0!</v>
      </c>
      <c r="J9" s="514" t="str">
        <f t="shared" si="6"/>
        <v/>
      </c>
      <c r="K9" s="515" t="str">
        <f t="shared" si="7"/>
        <v/>
      </c>
      <c r="L9" s="510"/>
      <c r="M9" s="511" t="e">
        <f t="shared" si="3"/>
        <v>#DIV/0!</v>
      </c>
      <c r="N9" s="510">
        <f t="shared" si="8"/>
        <v>0</v>
      </c>
      <c r="O9" s="511" t="e">
        <f t="shared" si="4"/>
        <v>#DIV/0!</v>
      </c>
      <c r="P9" s="510"/>
      <c r="Q9" s="516" t="e">
        <f t="shared" si="5"/>
        <v>#DIV/0!</v>
      </c>
      <c r="R9" s="517" t="str">
        <f t="shared" si="9"/>
        <v/>
      </c>
      <c r="S9" s="518" t="str">
        <f t="shared" si="10"/>
        <v/>
      </c>
      <c r="T9" s="442"/>
      <c r="U9" s="442">
        <v>0</v>
      </c>
      <c r="V9" s="454"/>
      <c r="W9" s="525"/>
      <c r="X9" s="526"/>
      <c r="Y9" s="526"/>
      <c r="Z9" s="526"/>
      <c r="AA9" s="527"/>
      <c r="AB9" s="528"/>
      <c r="AC9" s="528"/>
    </row>
    <row r="10" spans="1:31" x14ac:dyDescent="0.25">
      <c r="B10" s="219" t="s">
        <v>100</v>
      </c>
      <c r="C10" s="509" t="str">
        <f>+'COLOMB$ '!C10</f>
        <v>Fact. Service &amp; Equipment Experience</v>
      </c>
      <c r="D10" s="510"/>
      <c r="E10" s="511" t="e">
        <f t="shared" si="0"/>
        <v>#DIV/0!</v>
      </c>
      <c r="F10" s="510">
        <v>0</v>
      </c>
      <c r="G10" s="511" t="e">
        <f t="shared" si="1"/>
        <v>#DIV/0!</v>
      </c>
      <c r="H10" s="510"/>
      <c r="I10" s="524" t="e">
        <f t="shared" si="2"/>
        <v>#DIV/0!</v>
      </c>
      <c r="J10" s="514" t="str">
        <f>IF(D10=0,"",(H10-D10)/ABS(D10)+1)</f>
        <v/>
      </c>
      <c r="K10" s="515" t="str">
        <f>IF(F10=0,"",(H10-F10)/ABS(F10))</f>
        <v/>
      </c>
      <c r="L10" s="510"/>
      <c r="M10" s="511" t="e">
        <f t="shared" si="3"/>
        <v>#DIV/0!</v>
      </c>
      <c r="N10" s="510">
        <f t="shared" si="8"/>
        <v>0</v>
      </c>
      <c r="O10" s="511" t="e">
        <f t="shared" si="4"/>
        <v>#DIV/0!</v>
      </c>
      <c r="P10" s="510"/>
      <c r="Q10" s="516" t="e">
        <f t="shared" si="5"/>
        <v>#DIV/0!</v>
      </c>
      <c r="R10" s="517" t="str">
        <f>IF(L10=0,"",(P10-L10)/ABS(L10)+1)</f>
        <v/>
      </c>
      <c r="S10" s="518" t="str">
        <f>IF(N10=0,"",(P10-N10)/ABS(N10))</f>
        <v/>
      </c>
      <c r="T10" s="442"/>
      <c r="U10" s="442">
        <v>0</v>
      </c>
      <c r="V10" s="454"/>
      <c r="W10" s="525"/>
      <c r="X10" s="526"/>
      <c r="Y10" s="526"/>
      <c r="Z10" s="526"/>
      <c r="AA10" s="527"/>
      <c r="AB10" s="528"/>
      <c r="AC10" s="528"/>
    </row>
    <row r="11" spans="1:31" x14ac:dyDescent="0.25">
      <c r="B11" s="11">
        <v>4170250500</v>
      </c>
      <c r="C11" s="509" t="str">
        <f>+'COLOMB$ '!C11</f>
        <v>POP Satelital</v>
      </c>
      <c r="D11" s="510"/>
      <c r="E11" s="511" t="e">
        <f t="shared" si="0"/>
        <v>#DIV/0!</v>
      </c>
      <c r="F11" s="510">
        <v>0</v>
      </c>
      <c r="G11" s="511" t="e">
        <f t="shared" si="1"/>
        <v>#DIV/0!</v>
      </c>
      <c r="H11" s="510"/>
      <c r="I11" s="524" t="e">
        <f t="shared" si="2"/>
        <v>#DIV/0!</v>
      </c>
      <c r="J11" s="514" t="str">
        <f>IF(D11=0,"",(H11-D11)/ABS(D11)+1)</f>
        <v/>
      </c>
      <c r="K11" s="515" t="str">
        <f>IF(F11=0,"",(H11-F11)/ABS(F11))</f>
        <v/>
      </c>
      <c r="L11" s="510"/>
      <c r="M11" s="511" t="e">
        <f t="shared" si="3"/>
        <v>#DIV/0!</v>
      </c>
      <c r="N11" s="510">
        <f t="shared" si="8"/>
        <v>0</v>
      </c>
      <c r="O11" s="511" t="e">
        <f t="shared" si="4"/>
        <v>#DIV/0!</v>
      </c>
      <c r="P11" s="510"/>
      <c r="Q11" s="516" t="e">
        <f t="shared" si="5"/>
        <v>#DIV/0!</v>
      </c>
      <c r="R11" s="517" t="str">
        <f>IF(L11=0,"",(P11-L11)/ABS(L11)+1)</f>
        <v/>
      </c>
      <c r="S11" s="518" t="str">
        <f>IF(N11=0,"",(P11-N11)/ABS(N11))</f>
        <v/>
      </c>
      <c r="T11" s="442"/>
      <c r="U11" s="442">
        <v>0</v>
      </c>
      <c r="V11" s="454"/>
      <c r="W11" s="525"/>
      <c r="X11" s="526"/>
      <c r="Y11" s="526"/>
      <c r="Z11" s="526"/>
      <c r="AA11" s="527"/>
      <c r="AB11" s="528"/>
      <c r="AC11" s="528"/>
      <c r="AE11" s="301"/>
    </row>
    <row r="12" spans="1:31" x14ac:dyDescent="0.25">
      <c r="B12" s="11"/>
      <c r="C12" s="509" t="str">
        <f>+'COLOMB$ '!C12</f>
        <v xml:space="preserve"> Fact.Voice Experience (Audicóm)</v>
      </c>
      <c r="D12" s="510"/>
      <c r="E12" s="511" t="e">
        <f t="shared" si="0"/>
        <v>#DIV/0!</v>
      </c>
      <c r="F12" s="510">
        <v>0</v>
      </c>
      <c r="G12" s="511" t="e">
        <f t="shared" si="1"/>
        <v>#DIV/0!</v>
      </c>
      <c r="H12" s="510"/>
      <c r="I12" s="524" t="e">
        <f t="shared" si="2"/>
        <v>#DIV/0!</v>
      </c>
      <c r="J12" s="514" t="str">
        <f t="shared" si="6"/>
        <v/>
      </c>
      <c r="K12" s="515" t="str">
        <f t="shared" si="7"/>
        <v/>
      </c>
      <c r="L12" s="510"/>
      <c r="M12" s="511" t="e">
        <f t="shared" si="3"/>
        <v>#DIV/0!</v>
      </c>
      <c r="N12" s="510">
        <f t="shared" si="8"/>
        <v>0</v>
      </c>
      <c r="O12" s="511" t="e">
        <f t="shared" si="4"/>
        <v>#DIV/0!</v>
      </c>
      <c r="P12" s="510"/>
      <c r="Q12" s="516" t="e">
        <f t="shared" si="5"/>
        <v>#DIV/0!</v>
      </c>
      <c r="R12" s="517"/>
      <c r="S12" s="518" t="str">
        <f t="shared" si="10"/>
        <v/>
      </c>
      <c r="T12" s="442"/>
      <c r="U12" s="442">
        <v>0</v>
      </c>
      <c r="V12" s="454"/>
      <c r="W12" s="525"/>
      <c r="X12" s="526"/>
      <c r="Y12" s="529"/>
      <c r="Z12" s="529"/>
      <c r="AA12" s="527"/>
      <c r="AB12" s="528"/>
      <c r="AC12" s="528"/>
    </row>
    <row r="13" spans="1:31" ht="15.75" thickBot="1" x14ac:dyDescent="0.3">
      <c r="C13" s="509" t="str">
        <f>+'COLOMB$ '!C13</f>
        <v>Fact. Servicio Satelital</v>
      </c>
      <c r="D13" s="510"/>
      <c r="E13" s="511"/>
      <c r="F13" s="510">
        <v>0</v>
      </c>
      <c r="G13" s="511"/>
      <c r="H13" s="510"/>
      <c r="I13" s="524"/>
      <c r="J13" s="514"/>
      <c r="K13" s="515"/>
      <c r="L13" s="510"/>
      <c r="M13" s="511"/>
      <c r="N13" s="510">
        <f t="shared" si="8"/>
        <v>0</v>
      </c>
      <c r="O13" s="511"/>
      <c r="P13" s="510"/>
      <c r="Q13" s="516"/>
      <c r="R13" s="517"/>
      <c r="S13" s="518"/>
      <c r="T13" s="442"/>
      <c r="U13" s="442">
        <v>0</v>
      </c>
      <c r="V13" s="454"/>
      <c r="W13" s="525"/>
      <c r="X13" s="526"/>
      <c r="Y13" s="526"/>
      <c r="Z13" s="526"/>
      <c r="AA13" s="527"/>
      <c r="AB13" s="528"/>
      <c r="AC13" s="528"/>
    </row>
    <row r="14" spans="1:31" ht="15.75" thickBot="1" x14ac:dyDescent="0.3">
      <c r="C14" s="509" t="str">
        <f>+'COLOMB$ '!C14</f>
        <v>Fact. Visual Experience</v>
      </c>
      <c r="D14" s="510"/>
      <c r="E14" s="511"/>
      <c r="F14" s="510">
        <v>0</v>
      </c>
      <c r="G14" s="511"/>
      <c r="H14" s="510"/>
      <c r="I14" s="524"/>
      <c r="J14" s="514"/>
      <c r="K14" s="515"/>
      <c r="L14" s="510"/>
      <c r="M14" s="511"/>
      <c r="N14" s="510"/>
      <c r="O14" s="511"/>
      <c r="P14" s="510"/>
      <c r="Q14" s="516"/>
      <c r="R14" s="517"/>
      <c r="S14" s="518"/>
      <c r="T14" s="442"/>
      <c r="U14" s="442"/>
      <c r="V14" s="454"/>
      <c r="W14" s="519"/>
      <c r="X14" s="520"/>
      <c r="Y14" s="521"/>
      <c r="Z14" s="520"/>
      <c r="AA14" s="522"/>
      <c r="AB14" s="523"/>
      <c r="AC14" s="523"/>
    </row>
    <row r="15" spans="1:31" x14ac:dyDescent="0.25">
      <c r="C15" s="509" t="str">
        <f>+'COLOMB$ '!C15</f>
        <v>Fac.   Olfa Experience</v>
      </c>
      <c r="D15" s="510"/>
      <c r="E15" s="511"/>
      <c r="F15" s="510"/>
      <c r="G15" s="511"/>
      <c r="H15" s="510"/>
      <c r="I15" s="524"/>
      <c r="J15" s="514"/>
      <c r="K15" s="515"/>
      <c r="L15" s="510"/>
      <c r="M15" s="511"/>
      <c r="N15" s="510"/>
      <c r="O15" s="511"/>
      <c r="P15" s="510"/>
      <c r="Q15" s="516"/>
      <c r="R15" s="517"/>
      <c r="S15" s="518"/>
      <c r="T15" s="442"/>
      <c r="U15" s="442"/>
      <c r="V15" s="454"/>
      <c r="W15" s="530"/>
      <c r="X15" s="531"/>
      <c r="Y15" s="532"/>
      <c r="Z15" s="531"/>
      <c r="AA15" s="533"/>
      <c r="AB15" s="534"/>
      <c r="AC15" s="534"/>
    </row>
    <row r="16" spans="1:31" ht="15.75" thickBot="1" x14ac:dyDescent="0.3">
      <c r="C16" s="509" t="str">
        <f>+'COLOMB$ '!C16</f>
        <v>Facturacion Locutor virtual</v>
      </c>
      <c r="D16" s="510"/>
      <c r="E16" s="511"/>
      <c r="F16" s="510"/>
      <c r="G16" s="511"/>
      <c r="H16" s="510"/>
      <c r="I16" s="524" t="e">
        <f t="shared" ref="I16:I34" si="11">+H16/$H$17</f>
        <v>#DIV/0!</v>
      </c>
      <c r="J16" s="514"/>
      <c r="K16" s="515"/>
      <c r="L16" s="510"/>
      <c r="M16" s="511"/>
      <c r="N16" s="510">
        <f t="shared" ref="N16:N18" si="12">+T16+F16</f>
        <v>0</v>
      </c>
      <c r="O16" s="511"/>
      <c r="P16" s="510"/>
      <c r="Q16" s="516" t="e">
        <f t="shared" ref="Q16:Q32" si="13">+P16/$P$17</f>
        <v>#DIV/0!</v>
      </c>
      <c r="R16" s="517"/>
      <c r="S16" s="518"/>
      <c r="T16" s="442"/>
      <c r="U16" s="442">
        <v>0</v>
      </c>
      <c r="V16" s="454"/>
      <c r="W16" s="530"/>
      <c r="X16" s="531"/>
      <c r="Y16" s="532"/>
      <c r="Z16" s="531"/>
      <c r="AA16" s="533"/>
      <c r="AB16" s="534"/>
      <c r="AC16" s="534"/>
    </row>
    <row r="17" spans="1:31" x14ac:dyDescent="0.25">
      <c r="B17" s="11"/>
      <c r="C17" s="535" t="s">
        <v>58</v>
      </c>
      <c r="D17" s="512">
        <f>SUM(D7:D13)</f>
        <v>0</v>
      </c>
      <c r="E17" s="536" t="e">
        <f t="shared" ref="E17:E34" si="14">+D17/$D$17</f>
        <v>#DIV/0!</v>
      </c>
      <c r="F17" s="512">
        <f>SUM(F7:F14)</f>
        <v>0</v>
      </c>
      <c r="G17" s="536" t="e">
        <f t="shared" ref="G17:G34" si="15">+F17/$F$17</f>
        <v>#DIV/0!</v>
      </c>
      <c r="H17" s="512">
        <f>SUM(H7:H16)</f>
        <v>0</v>
      </c>
      <c r="I17" s="513" t="e">
        <f t="shared" si="11"/>
        <v>#DIV/0!</v>
      </c>
      <c r="J17" s="537" t="str">
        <f t="shared" si="6"/>
        <v/>
      </c>
      <c r="K17" s="538" t="str">
        <f t="shared" si="7"/>
        <v/>
      </c>
      <c r="L17" s="512">
        <f>SUM(L7:L13)</f>
        <v>0</v>
      </c>
      <c r="M17" s="536" t="e">
        <f t="shared" ref="M17:M34" si="16">+L17/$L$17</f>
        <v>#DIV/0!</v>
      </c>
      <c r="N17" s="512">
        <f t="shared" si="12"/>
        <v>0</v>
      </c>
      <c r="O17" s="536" t="e">
        <f t="shared" ref="O17:O30" si="17">+N17/$N$17</f>
        <v>#DIV/0!</v>
      </c>
      <c r="P17" s="512">
        <f>SUM(P7:P16)</f>
        <v>0</v>
      </c>
      <c r="Q17" s="539" t="e">
        <f t="shared" si="13"/>
        <v>#DIV/0!</v>
      </c>
      <c r="R17" s="540" t="str">
        <f t="shared" si="9"/>
        <v/>
      </c>
      <c r="S17" s="540" t="str">
        <f t="shared" si="10"/>
        <v/>
      </c>
      <c r="T17" s="442">
        <v>0</v>
      </c>
      <c r="U17" s="442">
        <v>0</v>
      </c>
      <c r="V17" s="454">
        <v>0</v>
      </c>
      <c r="W17" s="525"/>
      <c r="X17" s="541"/>
      <c r="Y17" s="541"/>
      <c r="Z17" s="541"/>
      <c r="AA17" s="527"/>
      <c r="AB17" s="528"/>
      <c r="AC17" s="528"/>
    </row>
    <row r="18" spans="1:31" x14ac:dyDescent="0.25">
      <c r="B18" s="11" t="s">
        <v>101</v>
      </c>
      <c r="C18" s="542" t="s">
        <v>60</v>
      </c>
      <c r="D18" s="440"/>
      <c r="E18" s="543" t="e">
        <f t="shared" si="14"/>
        <v>#DIV/0!</v>
      </c>
      <c r="F18" s="440"/>
      <c r="G18" s="543" t="e">
        <f t="shared" si="15"/>
        <v>#DIV/0!</v>
      </c>
      <c r="H18" s="544"/>
      <c r="I18" s="545" t="e">
        <f t="shared" si="11"/>
        <v>#DIV/0!</v>
      </c>
      <c r="J18" s="546" t="str">
        <f t="shared" si="6"/>
        <v/>
      </c>
      <c r="K18" s="547" t="str">
        <f t="shared" si="7"/>
        <v/>
      </c>
      <c r="L18" s="440"/>
      <c r="M18" s="543" t="e">
        <f t="shared" si="16"/>
        <v>#DIV/0!</v>
      </c>
      <c r="N18" s="440">
        <f t="shared" si="12"/>
        <v>0</v>
      </c>
      <c r="O18" s="543" t="e">
        <f t="shared" si="17"/>
        <v>#DIV/0!</v>
      </c>
      <c r="P18" s="440"/>
      <c r="Q18" s="548" t="e">
        <f t="shared" si="13"/>
        <v>#DIV/0!</v>
      </c>
      <c r="R18" s="549" t="str">
        <f t="shared" si="9"/>
        <v/>
      </c>
      <c r="S18" s="550" t="str">
        <f t="shared" si="10"/>
        <v/>
      </c>
      <c r="T18" s="442"/>
      <c r="U18" s="442">
        <v>0</v>
      </c>
      <c r="V18" s="454"/>
      <c r="W18" s="525"/>
      <c r="X18" s="526"/>
      <c r="Y18" s="526"/>
      <c r="Z18" s="526"/>
      <c r="AA18" s="527"/>
      <c r="AB18" s="528"/>
      <c r="AC18" s="528"/>
      <c r="AE18" s="301"/>
    </row>
    <row r="19" spans="1:31" ht="15.75" thickBot="1" x14ac:dyDescent="0.3">
      <c r="B19" s="11"/>
      <c r="C19" s="551" t="s">
        <v>62</v>
      </c>
      <c r="D19" s="552">
        <f>+D17-D18</f>
        <v>0</v>
      </c>
      <c r="E19" s="553" t="e">
        <f t="shared" si="14"/>
        <v>#DIV/0!</v>
      </c>
      <c r="F19" s="552">
        <f>+F17-F18</f>
        <v>0</v>
      </c>
      <c r="G19" s="553" t="e">
        <f t="shared" si="15"/>
        <v>#DIV/0!</v>
      </c>
      <c r="H19" s="552">
        <f>+H17-H18</f>
        <v>0</v>
      </c>
      <c r="I19" s="554" t="e">
        <f t="shared" si="11"/>
        <v>#DIV/0!</v>
      </c>
      <c r="J19" s="555" t="str">
        <f t="shared" si="6"/>
        <v/>
      </c>
      <c r="K19" s="556" t="str">
        <f t="shared" si="7"/>
        <v/>
      </c>
      <c r="L19" s="552">
        <f>+L17-L18</f>
        <v>0</v>
      </c>
      <c r="M19" s="553" t="e">
        <f t="shared" si="16"/>
        <v>#DIV/0!</v>
      </c>
      <c r="N19" s="557">
        <f>+N17-N18</f>
        <v>0</v>
      </c>
      <c r="O19" s="553" t="e">
        <f t="shared" si="17"/>
        <v>#DIV/0!</v>
      </c>
      <c r="P19" s="552">
        <f>+P17-P18</f>
        <v>0</v>
      </c>
      <c r="Q19" s="558" t="e">
        <f t="shared" si="13"/>
        <v>#DIV/0!</v>
      </c>
      <c r="R19" s="559" t="str">
        <f t="shared" si="9"/>
        <v/>
      </c>
      <c r="S19" s="559" t="str">
        <f t="shared" si="10"/>
        <v/>
      </c>
      <c r="T19" s="442">
        <v>0</v>
      </c>
      <c r="U19" s="442">
        <v>0</v>
      </c>
      <c r="V19" s="454">
        <v>0</v>
      </c>
      <c r="W19" s="525"/>
      <c r="X19" s="526"/>
      <c r="Y19" s="526"/>
      <c r="Z19" s="526"/>
      <c r="AA19" s="527"/>
      <c r="AB19" s="528"/>
      <c r="AC19" s="528"/>
    </row>
    <row r="20" spans="1:31" x14ac:dyDescent="0.25">
      <c r="B20" s="11" t="s">
        <v>102</v>
      </c>
      <c r="C20" s="560" t="s">
        <v>64</v>
      </c>
      <c r="D20" s="190"/>
      <c r="E20" s="561" t="e">
        <f t="shared" si="14"/>
        <v>#DIV/0!</v>
      </c>
      <c r="F20" s="190"/>
      <c r="G20" s="561" t="e">
        <f t="shared" si="15"/>
        <v>#DIV/0!</v>
      </c>
      <c r="H20" s="190"/>
      <c r="I20" s="562" t="e">
        <f t="shared" si="11"/>
        <v>#DIV/0!</v>
      </c>
      <c r="J20" s="563" t="str">
        <f t="shared" si="6"/>
        <v/>
      </c>
      <c r="K20" s="564" t="str">
        <f t="shared" si="7"/>
        <v/>
      </c>
      <c r="L20" s="190"/>
      <c r="M20" s="561" t="e">
        <f t="shared" si="16"/>
        <v>#DIV/0!</v>
      </c>
      <c r="N20" s="565">
        <f>+T20+F20</f>
        <v>0</v>
      </c>
      <c r="O20" s="561" t="e">
        <f t="shared" si="17"/>
        <v>#DIV/0!</v>
      </c>
      <c r="P20" s="566"/>
      <c r="Q20" s="567" t="e">
        <f t="shared" si="13"/>
        <v>#DIV/0!</v>
      </c>
      <c r="R20" s="568" t="str">
        <f t="shared" si="9"/>
        <v/>
      </c>
      <c r="S20" s="569" t="str">
        <f t="shared" si="10"/>
        <v/>
      </c>
      <c r="T20" s="570"/>
      <c r="U20" s="190">
        <v>0</v>
      </c>
      <c r="V20" s="454"/>
      <c r="W20" s="525"/>
      <c r="X20" s="529"/>
      <c r="Y20" s="529"/>
      <c r="Z20" s="529"/>
      <c r="AA20" s="527"/>
      <c r="AB20" s="528"/>
      <c r="AC20" s="528"/>
      <c r="AE20" s="301"/>
    </row>
    <row r="21" spans="1:31" ht="15.75" thickBot="1" x14ac:dyDescent="0.3">
      <c r="B21" s="11" t="s">
        <v>103</v>
      </c>
      <c r="C21" s="560" t="s">
        <v>66</v>
      </c>
      <c r="D21" s="190"/>
      <c r="E21" s="561" t="e">
        <f t="shared" si="14"/>
        <v>#DIV/0!</v>
      </c>
      <c r="F21" s="190"/>
      <c r="G21" s="561" t="e">
        <f t="shared" si="15"/>
        <v>#DIV/0!</v>
      </c>
      <c r="H21" s="190"/>
      <c r="I21" s="562" t="e">
        <f t="shared" si="11"/>
        <v>#DIV/0!</v>
      </c>
      <c r="J21" s="563" t="str">
        <f t="shared" si="6"/>
        <v/>
      </c>
      <c r="K21" s="564" t="str">
        <f t="shared" si="7"/>
        <v/>
      </c>
      <c r="L21" s="190"/>
      <c r="M21" s="561" t="e">
        <f t="shared" si="16"/>
        <v>#DIV/0!</v>
      </c>
      <c r="N21" s="565">
        <f>+T21+F21</f>
        <v>0</v>
      </c>
      <c r="O21" s="561" t="e">
        <f t="shared" si="17"/>
        <v>#DIV/0!</v>
      </c>
      <c r="P21" s="566"/>
      <c r="Q21" s="567" t="e">
        <f t="shared" si="13"/>
        <v>#DIV/0!</v>
      </c>
      <c r="R21" s="568" t="str">
        <f t="shared" si="9"/>
        <v/>
      </c>
      <c r="S21" s="569" t="str">
        <f t="shared" si="10"/>
        <v/>
      </c>
      <c r="T21" s="570"/>
      <c r="U21" s="570">
        <v>0</v>
      </c>
      <c r="V21" s="454"/>
      <c r="W21" s="525"/>
      <c r="X21" s="526"/>
      <c r="Y21" s="526"/>
      <c r="Z21" s="526"/>
      <c r="AA21" s="527"/>
      <c r="AB21" s="528"/>
      <c r="AC21" s="528"/>
    </row>
    <row r="22" spans="1:31" ht="15.75" thickBot="1" x14ac:dyDescent="0.3">
      <c r="B22" s="11"/>
      <c r="C22" s="542" t="s">
        <v>68</v>
      </c>
      <c r="D22" s="544">
        <f>SUM(D19:D21)</f>
        <v>0</v>
      </c>
      <c r="E22" s="544" t="e">
        <f t="shared" ref="E22:O22" si="18">SUM(E19:E21)</f>
        <v>#DIV/0!</v>
      </c>
      <c r="F22" s="544"/>
      <c r="G22" s="544" t="e">
        <f t="shared" si="18"/>
        <v>#DIV/0!</v>
      </c>
      <c r="H22" s="544">
        <f>SUM(H20:H21)</f>
        <v>0</v>
      </c>
      <c r="I22" s="544" t="e">
        <f t="shared" si="18"/>
        <v>#DIV/0!</v>
      </c>
      <c r="J22" s="544">
        <f t="shared" si="18"/>
        <v>0</v>
      </c>
      <c r="K22" s="544">
        <f t="shared" si="18"/>
        <v>0</v>
      </c>
      <c r="L22" s="544">
        <f t="shared" si="18"/>
        <v>0</v>
      </c>
      <c r="M22" s="544" t="e">
        <f t="shared" si="18"/>
        <v>#DIV/0!</v>
      </c>
      <c r="N22" s="571">
        <f>SUM(N20:N21)</f>
        <v>0</v>
      </c>
      <c r="O22" s="440" t="e">
        <f t="shared" si="18"/>
        <v>#DIV/0!</v>
      </c>
      <c r="P22" s="544">
        <f>SUM(P20:P21)</f>
        <v>0</v>
      </c>
      <c r="Q22" s="548" t="e">
        <f t="shared" si="13"/>
        <v>#DIV/0!</v>
      </c>
      <c r="R22" s="549" t="str">
        <f t="shared" si="9"/>
        <v/>
      </c>
      <c r="S22" s="550" t="str">
        <f t="shared" si="10"/>
        <v/>
      </c>
      <c r="T22" s="570">
        <v>0</v>
      </c>
      <c r="U22" s="570">
        <v>0</v>
      </c>
      <c r="V22" s="570">
        <v>0</v>
      </c>
      <c r="W22" s="519"/>
      <c r="X22" s="520"/>
      <c r="Y22" s="572"/>
      <c r="Z22" s="520"/>
      <c r="AA22" s="522"/>
      <c r="AB22" s="523"/>
      <c r="AC22" s="523"/>
    </row>
    <row r="23" spans="1:31" x14ac:dyDescent="0.25">
      <c r="B23" s="11" t="s">
        <v>104</v>
      </c>
      <c r="C23" s="560" t="s">
        <v>70</v>
      </c>
      <c r="D23" s="190"/>
      <c r="E23" s="561" t="e">
        <f t="shared" si="14"/>
        <v>#DIV/0!</v>
      </c>
      <c r="F23" s="190"/>
      <c r="G23" s="561" t="e">
        <f t="shared" si="15"/>
        <v>#DIV/0!</v>
      </c>
      <c r="H23" s="190"/>
      <c r="I23" s="562" t="e">
        <f t="shared" si="11"/>
        <v>#DIV/0!</v>
      </c>
      <c r="J23" s="563" t="str">
        <f t="shared" si="6"/>
        <v/>
      </c>
      <c r="K23" s="564" t="str">
        <f t="shared" si="7"/>
        <v/>
      </c>
      <c r="L23" s="190">
        <f>+T23+D23</f>
        <v>0</v>
      </c>
      <c r="M23" s="561" t="e">
        <f t="shared" si="16"/>
        <v>#DIV/0!</v>
      </c>
      <c r="N23" s="565">
        <f>+U23+F23</f>
        <v>0</v>
      </c>
      <c r="O23" s="561" t="e">
        <f t="shared" si="17"/>
        <v>#DIV/0!</v>
      </c>
      <c r="P23" s="190">
        <f>+V23+H23</f>
        <v>0</v>
      </c>
      <c r="Q23" s="567" t="e">
        <f t="shared" si="13"/>
        <v>#DIV/0!</v>
      </c>
      <c r="R23" s="568" t="str">
        <f t="shared" si="9"/>
        <v/>
      </c>
      <c r="S23" s="569" t="str">
        <f t="shared" si="10"/>
        <v/>
      </c>
      <c r="T23" s="570"/>
      <c r="U23" s="570">
        <v>0</v>
      </c>
      <c r="V23" s="570"/>
    </row>
    <row r="24" spans="1:31" x14ac:dyDescent="0.25">
      <c r="A24" s="11" t="s">
        <v>105</v>
      </c>
      <c r="B24" s="11" t="s">
        <v>106</v>
      </c>
      <c r="C24" s="560" t="s">
        <v>72</v>
      </c>
      <c r="D24" s="190"/>
      <c r="E24" s="561" t="e">
        <f t="shared" si="14"/>
        <v>#DIV/0!</v>
      </c>
      <c r="F24" s="190"/>
      <c r="G24" s="561" t="e">
        <f t="shared" si="15"/>
        <v>#DIV/0!</v>
      </c>
      <c r="H24" s="190"/>
      <c r="I24" s="562" t="e">
        <f t="shared" si="11"/>
        <v>#DIV/0!</v>
      </c>
      <c r="J24" s="563" t="str">
        <f t="shared" si="6"/>
        <v/>
      </c>
      <c r="K24" s="564" t="str">
        <f t="shared" si="7"/>
        <v/>
      </c>
      <c r="L24" s="190"/>
      <c r="M24" s="561" t="e">
        <f t="shared" si="16"/>
        <v>#DIV/0!</v>
      </c>
      <c r="N24" s="565">
        <f>+T24+F24</f>
        <v>0</v>
      </c>
      <c r="O24" s="561" t="e">
        <f t="shared" si="17"/>
        <v>#DIV/0!</v>
      </c>
      <c r="P24" s="566"/>
      <c r="Q24" s="567" t="e">
        <f t="shared" si="13"/>
        <v>#DIV/0!</v>
      </c>
      <c r="R24" s="568" t="str">
        <f t="shared" si="9"/>
        <v/>
      </c>
      <c r="S24" s="569" t="str">
        <f t="shared" si="10"/>
        <v/>
      </c>
      <c r="T24" s="570"/>
      <c r="U24" s="570">
        <v>0</v>
      </c>
      <c r="V24" s="570"/>
      <c r="Y24" s="454"/>
    </row>
    <row r="25" spans="1:31" x14ac:dyDescent="0.25">
      <c r="B25" s="11"/>
      <c r="C25" s="542" t="s">
        <v>73</v>
      </c>
      <c r="D25" s="544">
        <f>+D23</f>
        <v>0</v>
      </c>
      <c r="E25" s="544" t="e">
        <f t="shared" ref="E25:Q25" si="19">+E23</f>
        <v>#DIV/0!</v>
      </c>
      <c r="F25" s="544">
        <f t="shared" si="19"/>
        <v>0</v>
      </c>
      <c r="G25" s="544" t="e">
        <f t="shared" si="19"/>
        <v>#DIV/0!</v>
      </c>
      <c r="H25" s="544">
        <f t="shared" si="19"/>
        <v>0</v>
      </c>
      <c r="I25" s="544" t="e">
        <f t="shared" si="19"/>
        <v>#DIV/0!</v>
      </c>
      <c r="J25" s="544"/>
      <c r="K25" s="544" t="str">
        <f t="shared" si="19"/>
        <v/>
      </c>
      <c r="L25" s="544">
        <f t="shared" si="19"/>
        <v>0</v>
      </c>
      <c r="M25" s="544" t="e">
        <f t="shared" si="19"/>
        <v>#DIV/0!</v>
      </c>
      <c r="N25" s="544">
        <f t="shared" si="19"/>
        <v>0</v>
      </c>
      <c r="O25" s="544" t="e">
        <f t="shared" si="19"/>
        <v>#DIV/0!</v>
      </c>
      <c r="P25" s="544">
        <f t="shared" si="19"/>
        <v>0</v>
      </c>
      <c r="Q25" s="544" t="e">
        <f t="shared" si="19"/>
        <v>#DIV/0!</v>
      </c>
      <c r="R25" s="544"/>
      <c r="S25" s="550" t="str">
        <f t="shared" si="10"/>
        <v/>
      </c>
      <c r="T25" s="570">
        <v>234906</v>
      </c>
      <c r="U25" s="570">
        <v>0</v>
      </c>
      <c r="V25" s="570">
        <v>235000</v>
      </c>
      <c r="W25" s="573"/>
      <c r="AC25" s="573"/>
    </row>
    <row r="26" spans="1:31" ht="15.75" thickBot="1" x14ac:dyDescent="0.3">
      <c r="B26" s="11"/>
      <c r="C26" s="542" t="s">
        <v>75</v>
      </c>
      <c r="D26" s="544">
        <f>+D22+D25</f>
        <v>0</v>
      </c>
      <c r="E26" s="544" t="e">
        <f t="shared" ref="E26:O26" si="20">+E22+E25</f>
        <v>#DIV/0!</v>
      </c>
      <c r="F26" s="544"/>
      <c r="G26" s="544" t="e">
        <f t="shared" si="20"/>
        <v>#DIV/0!</v>
      </c>
      <c r="H26" s="544">
        <f t="shared" si="20"/>
        <v>0</v>
      </c>
      <c r="I26" s="544" t="e">
        <f t="shared" si="20"/>
        <v>#DIV/0!</v>
      </c>
      <c r="J26" s="544">
        <f t="shared" si="20"/>
        <v>0</v>
      </c>
      <c r="K26" s="544" t="e">
        <f t="shared" si="20"/>
        <v>#VALUE!</v>
      </c>
      <c r="L26" s="544">
        <f t="shared" si="20"/>
        <v>0</v>
      </c>
      <c r="M26" s="544" t="e">
        <f t="shared" si="20"/>
        <v>#DIV/0!</v>
      </c>
      <c r="N26" s="574">
        <f t="shared" si="20"/>
        <v>0</v>
      </c>
      <c r="O26" s="440" t="e">
        <f t="shared" si="20"/>
        <v>#DIV/0!</v>
      </c>
      <c r="P26" s="544">
        <f>+P22+P25</f>
        <v>0</v>
      </c>
      <c r="Q26" s="548" t="e">
        <f t="shared" si="13"/>
        <v>#DIV/0!</v>
      </c>
      <c r="R26" s="549" t="str">
        <f t="shared" si="9"/>
        <v/>
      </c>
      <c r="S26" s="550" t="str">
        <f t="shared" si="10"/>
        <v/>
      </c>
      <c r="T26" s="570">
        <v>234906</v>
      </c>
      <c r="U26" s="570">
        <v>0</v>
      </c>
      <c r="V26" s="570">
        <v>235000</v>
      </c>
    </row>
    <row r="27" spans="1:31" ht="15.75" thickBot="1" x14ac:dyDescent="0.3">
      <c r="B27" s="11"/>
      <c r="C27" s="575" t="s">
        <v>76</v>
      </c>
      <c r="D27" s="576">
        <f>+D17-D25</f>
        <v>0</v>
      </c>
      <c r="E27" s="576" t="e">
        <f t="shared" ref="E27:P27" si="21">E19-E26</f>
        <v>#DIV/0!</v>
      </c>
      <c r="F27" s="576"/>
      <c r="G27" s="576" t="e">
        <f t="shared" si="21"/>
        <v>#DIV/0!</v>
      </c>
      <c r="H27" s="576">
        <f t="shared" si="21"/>
        <v>0</v>
      </c>
      <c r="I27" s="576" t="e">
        <f t="shared" si="21"/>
        <v>#DIV/0!</v>
      </c>
      <c r="J27" s="576"/>
      <c r="K27" s="576" t="e">
        <f t="shared" si="21"/>
        <v>#VALUE!</v>
      </c>
      <c r="L27" s="576">
        <f t="shared" si="21"/>
        <v>0</v>
      </c>
      <c r="M27" s="576" t="e">
        <f t="shared" si="21"/>
        <v>#DIV/0!</v>
      </c>
      <c r="N27" s="576">
        <f t="shared" si="21"/>
        <v>0</v>
      </c>
      <c r="O27" s="576" t="e">
        <f t="shared" si="21"/>
        <v>#DIV/0!</v>
      </c>
      <c r="P27" s="576">
        <f t="shared" si="21"/>
        <v>0</v>
      </c>
      <c r="Q27" s="576" t="e">
        <f t="shared" ref="Q27:S27" si="22">+Q26</f>
        <v>#DIV/0!</v>
      </c>
      <c r="R27" s="576" t="str">
        <f t="shared" si="22"/>
        <v/>
      </c>
      <c r="S27" s="576" t="str">
        <f t="shared" si="22"/>
        <v/>
      </c>
      <c r="T27" s="570">
        <v>-234906</v>
      </c>
      <c r="U27" s="570">
        <v>0</v>
      </c>
      <c r="V27" s="570">
        <v>-235000</v>
      </c>
    </row>
    <row r="28" spans="1:31" x14ac:dyDescent="0.25">
      <c r="B28" s="11" t="s">
        <v>107</v>
      </c>
      <c r="C28" s="560" t="s">
        <v>77</v>
      </c>
      <c r="D28" s="190">
        <v>0</v>
      </c>
      <c r="E28" s="561" t="e">
        <f t="shared" si="14"/>
        <v>#DIV/0!</v>
      </c>
      <c r="F28" s="190"/>
      <c r="G28" s="561" t="e">
        <f t="shared" si="15"/>
        <v>#DIV/0!</v>
      </c>
      <c r="H28" s="190"/>
      <c r="I28" s="562" t="e">
        <f t="shared" si="11"/>
        <v>#DIV/0!</v>
      </c>
      <c r="J28" s="563"/>
      <c r="K28" s="564" t="str">
        <f t="shared" si="7"/>
        <v/>
      </c>
      <c r="L28" s="190">
        <v>0</v>
      </c>
      <c r="M28" s="561" t="e">
        <f t="shared" si="16"/>
        <v>#DIV/0!</v>
      </c>
      <c r="N28" s="565">
        <f>+T28+F28</f>
        <v>0</v>
      </c>
      <c r="O28" s="561" t="e">
        <f t="shared" si="17"/>
        <v>#DIV/0!</v>
      </c>
      <c r="P28" s="566">
        <f>+U28+H28</f>
        <v>0</v>
      </c>
      <c r="Q28" s="567" t="e">
        <f t="shared" si="13"/>
        <v>#DIV/0!</v>
      </c>
      <c r="R28" s="569" t="str">
        <f t="shared" si="9"/>
        <v/>
      </c>
      <c r="S28" s="569" t="str">
        <f t="shared" si="10"/>
        <v/>
      </c>
      <c r="T28" s="570">
        <v>0</v>
      </c>
      <c r="U28" s="570">
        <v>0</v>
      </c>
      <c r="V28" s="570">
        <v>0</v>
      </c>
    </row>
    <row r="29" spans="1:31" ht="15.75" thickBot="1" x14ac:dyDescent="0.3">
      <c r="B29" s="11" t="s">
        <v>108</v>
      </c>
      <c r="C29" s="560" t="s">
        <v>78</v>
      </c>
      <c r="D29" s="190"/>
      <c r="E29" s="561" t="e">
        <f t="shared" si="14"/>
        <v>#DIV/0!</v>
      </c>
      <c r="F29" s="190"/>
      <c r="G29" s="561" t="e">
        <f t="shared" si="15"/>
        <v>#DIV/0!</v>
      </c>
      <c r="H29" s="190"/>
      <c r="I29" s="562" t="e">
        <f t="shared" si="11"/>
        <v>#DIV/0!</v>
      </c>
      <c r="J29" s="563" t="str">
        <f t="shared" si="6"/>
        <v/>
      </c>
      <c r="K29" s="564" t="str">
        <f t="shared" si="7"/>
        <v/>
      </c>
      <c r="L29" s="190">
        <v>0</v>
      </c>
      <c r="M29" s="561" t="e">
        <f t="shared" si="16"/>
        <v>#DIV/0!</v>
      </c>
      <c r="N29" s="190"/>
      <c r="O29" s="561" t="e">
        <f t="shared" si="17"/>
        <v>#DIV/0!</v>
      </c>
      <c r="P29" s="566"/>
      <c r="Q29" s="567" t="e">
        <f t="shared" si="13"/>
        <v>#DIV/0!</v>
      </c>
      <c r="R29" s="569" t="str">
        <f t="shared" si="9"/>
        <v/>
      </c>
      <c r="S29" s="569" t="str">
        <f t="shared" si="10"/>
        <v/>
      </c>
      <c r="T29" s="570">
        <v>0</v>
      </c>
      <c r="U29" s="570">
        <v>1199879</v>
      </c>
      <c r="V29" s="442"/>
    </row>
    <row r="30" spans="1:31" ht="15.75" thickBot="1" x14ac:dyDescent="0.3">
      <c r="B30" s="11"/>
      <c r="C30" s="575" t="s">
        <v>79</v>
      </c>
      <c r="D30" s="576">
        <f>D27+D28-D29</f>
        <v>0</v>
      </c>
      <c r="E30" s="577" t="e">
        <f t="shared" si="14"/>
        <v>#DIV/0!</v>
      </c>
      <c r="F30" s="576">
        <f>+F29</f>
        <v>0</v>
      </c>
      <c r="G30" s="577" t="e">
        <f t="shared" si="15"/>
        <v>#DIV/0!</v>
      </c>
      <c r="H30" s="576">
        <f>H27+H28-H29</f>
        <v>0</v>
      </c>
      <c r="I30" s="578" t="e">
        <f t="shared" si="11"/>
        <v>#DIV/0!</v>
      </c>
      <c r="J30" s="579" t="str">
        <f t="shared" si="6"/>
        <v/>
      </c>
      <c r="K30" s="580" t="str">
        <f t="shared" si="7"/>
        <v/>
      </c>
      <c r="L30" s="576">
        <f>L27+L28-L29</f>
        <v>0</v>
      </c>
      <c r="M30" s="577" t="e">
        <f t="shared" si="16"/>
        <v>#DIV/0!</v>
      </c>
      <c r="N30" s="576">
        <f>N27+N28-N29</f>
        <v>0</v>
      </c>
      <c r="O30" s="577" t="e">
        <f t="shared" si="17"/>
        <v>#DIV/0!</v>
      </c>
      <c r="P30" s="576">
        <f>+P27+P28-P29</f>
        <v>0</v>
      </c>
      <c r="Q30" s="581" t="e">
        <f t="shared" si="13"/>
        <v>#DIV/0!</v>
      </c>
      <c r="R30" s="582" t="str">
        <f t="shared" si="9"/>
        <v/>
      </c>
      <c r="S30" s="583" t="str">
        <f t="shared" si="10"/>
        <v/>
      </c>
      <c r="T30" s="442">
        <v>-234906</v>
      </c>
      <c r="U30" s="442">
        <v>-1199879</v>
      </c>
      <c r="V30" s="584">
        <v>-235000</v>
      </c>
    </row>
    <row r="31" spans="1:31" ht="15.75" thickBot="1" x14ac:dyDescent="0.3">
      <c r="B31" s="11" t="s">
        <v>109</v>
      </c>
      <c r="C31" s="560" t="s">
        <v>63</v>
      </c>
      <c r="D31" s="190"/>
      <c r="E31" s="561" t="e">
        <f t="shared" si="14"/>
        <v>#DIV/0!</v>
      </c>
      <c r="F31" s="190"/>
      <c r="G31" s="561"/>
      <c r="H31" s="190"/>
      <c r="I31" s="562"/>
      <c r="J31" s="563" t="str">
        <f t="shared" si="6"/>
        <v/>
      </c>
      <c r="K31" s="564" t="str">
        <f t="shared" si="7"/>
        <v/>
      </c>
      <c r="L31" s="190"/>
      <c r="M31" s="561" t="e">
        <f t="shared" si="16"/>
        <v>#DIV/0!</v>
      </c>
      <c r="N31" s="565">
        <f>+T31+F31</f>
        <v>0</v>
      </c>
      <c r="O31" s="561"/>
      <c r="P31" s="566"/>
      <c r="Q31" s="567" t="e">
        <f t="shared" si="13"/>
        <v>#DIV/0!</v>
      </c>
      <c r="R31" s="569" t="str">
        <f t="shared" si="9"/>
        <v/>
      </c>
      <c r="S31" s="569"/>
      <c r="T31" s="442"/>
      <c r="U31" s="442">
        <v>0</v>
      </c>
      <c r="V31" s="442"/>
    </row>
    <row r="32" spans="1:31" ht="15.75" thickBot="1" x14ac:dyDescent="0.3">
      <c r="B32" s="11"/>
      <c r="C32" s="575" t="s">
        <v>80</v>
      </c>
      <c r="D32" s="576">
        <f>D30-D31</f>
        <v>0</v>
      </c>
      <c r="E32" s="577" t="e">
        <f t="shared" si="14"/>
        <v>#DIV/0!</v>
      </c>
      <c r="F32" s="576">
        <f>+F30</f>
        <v>0</v>
      </c>
      <c r="G32" s="577" t="e">
        <f t="shared" si="15"/>
        <v>#DIV/0!</v>
      </c>
      <c r="H32" s="576">
        <f>+H30-H31</f>
        <v>0</v>
      </c>
      <c r="I32" s="578" t="e">
        <f t="shared" si="11"/>
        <v>#DIV/0!</v>
      </c>
      <c r="J32" s="579" t="str">
        <f t="shared" si="6"/>
        <v/>
      </c>
      <c r="K32" s="580" t="str">
        <f t="shared" si="7"/>
        <v/>
      </c>
      <c r="L32" s="576">
        <f>L30-L31</f>
        <v>0</v>
      </c>
      <c r="M32" s="577" t="e">
        <f t="shared" si="16"/>
        <v>#DIV/0!</v>
      </c>
      <c r="N32" s="576">
        <f>+N30-N31</f>
        <v>0</v>
      </c>
      <c r="O32" s="577" t="e">
        <f>+N32/$N$17</f>
        <v>#DIV/0!</v>
      </c>
      <c r="P32" s="576">
        <f>P30-P31</f>
        <v>0</v>
      </c>
      <c r="Q32" s="581" t="e">
        <f t="shared" si="13"/>
        <v>#DIV/0!</v>
      </c>
      <c r="R32" s="582" t="str">
        <f t="shared" si="9"/>
        <v/>
      </c>
      <c r="S32" s="583" t="str">
        <f t="shared" si="10"/>
        <v/>
      </c>
      <c r="T32" s="442">
        <v>-234906</v>
      </c>
      <c r="U32" s="442">
        <v>-1199879</v>
      </c>
      <c r="V32" s="442">
        <v>-235000</v>
      </c>
    </row>
    <row r="33" spans="2:31" ht="15.75" thickBot="1" x14ac:dyDescent="0.3">
      <c r="B33" s="11"/>
      <c r="C33" s="575" t="s">
        <v>82</v>
      </c>
      <c r="D33" s="576">
        <f>+D32</f>
        <v>0</v>
      </c>
      <c r="E33" s="577" t="e">
        <f t="shared" si="14"/>
        <v>#DIV/0!</v>
      </c>
      <c r="F33" s="576">
        <f>+F27</f>
        <v>0</v>
      </c>
      <c r="G33" s="577" t="e">
        <f t="shared" si="15"/>
        <v>#DIV/0!</v>
      </c>
      <c r="H33" s="576">
        <f>+H32</f>
        <v>0</v>
      </c>
      <c r="I33" s="576" t="e">
        <f t="shared" ref="I33:Q33" si="23">+I20</f>
        <v>#DIV/0!</v>
      </c>
      <c r="J33" s="576" t="str">
        <f t="shared" si="23"/>
        <v/>
      </c>
      <c r="K33" s="576" t="str">
        <f t="shared" si="23"/>
        <v/>
      </c>
      <c r="L33" s="576">
        <f>-L25</f>
        <v>0</v>
      </c>
      <c r="M33" s="576" t="e">
        <f t="shared" si="23"/>
        <v>#DIV/0!</v>
      </c>
      <c r="N33" s="576"/>
      <c r="O33" s="576" t="e">
        <f t="shared" si="23"/>
        <v>#DIV/0!</v>
      </c>
      <c r="P33" s="576">
        <f>+P32</f>
        <v>0</v>
      </c>
      <c r="Q33" s="576" t="e">
        <f t="shared" si="23"/>
        <v>#DIV/0!</v>
      </c>
      <c r="R33" s="582" t="str">
        <f t="shared" si="9"/>
        <v/>
      </c>
      <c r="S33" s="583" t="str">
        <f t="shared" si="10"/>
        <v/>
      </c>
      <c r="T33" s="442">
        <v>-234906</v>
      </c>
      <c r="U33" s="442"/>
      <c r="V33" s="442">
        <v>-235000</v>
      </c>
    </row>
    <row r="34" spans="2:31" ht="15.75" thickBot="1" x14ac:dyDescent="0.3">
      <c r="B34" s="11" t="s">
        <v>110</v>
      </c>
      <c r="C34" s="379" t="s">
        <v>46</v>
      </c>
      <c r="D34" s="380"/>
      <c r="E34" s="381" t="e">
        <f t="shared" si="14"/>
        <v>#DIV/0!</v>
      </c>
      <c r="F34" s="380"/>
      <c r="G34" s="381" t="e">
        <f t="shared" si="15"/>
        <v>#DIV/0!</v>
      </c>
      <c r="H34" s="380"/>
      <c r="I34" s="585" t="e">
        <f t="shared" si="11"/>
        <v>#DIV/0!</v>
      </c>
      <c r="J34" s="586" t="str">
        <f t="shared" si="6"/>
        <v/>
      </c>
      <c r="K34" s="587" t="str">
        <f t="shared" si="7"/>
        <v/>
      </c>
      <c r="L34" s="380"/>
      <c r="M34" s="381" t="e">
        <f t="shared" si="16"/>
        <v>#DIV/0!</v>
      </c>
      <c r="N34" s="380"/>
      <c r="O34" s="381" t="e">
        <f>+N34/$N$17</f>
        <v>#DIV/0!</v>
      </c>
      <c r="P34" s="380"/>
      <c r="Q34" s="384"/>
      <c r="R34" s="588" t="str">
        <f t="shared" si="9"/>
        <v/>
      </c>
      <c r="S34" s="588" t="str">
        <f t="shared" si="10"/>
        <v/>
      </c>
      <c r="T34" s="442"/>
      <c r="U34" s="442"/>
      <c r="V34" s="442"/>
    </row>
    <row r="35" spans="2:31" x14ac:dyDescent="0.25">
      <c r="C35" s="589"/>
      <c r="H35" s="140"/>
      <c r="P35" s="15">
        <v>-1459992</v>
      </c>
      <c r="S35" s="590"/>
      <c r="T35" s="442"/>
      <c r="U35" s="442"/>
      <c r="V35" s="442">
        <v>-1459992</v>
      </c>
    </row>
    <row r="36" spans="2:31" x14ac:dyDescent="0.25">
      <c r="E36" s="140"/>
      <c r="G36" s="140"/>
      <c r="I36" s="140"/>
      <c r="J36" s="140"/>
      <c r="K36" s="140"/>
      <c r="P36" s="15">
        <v>-477411.68000000005</v>
      </c>
      <c r="T36" s="442"/>
      <c r="U36" s="442"/>
      <c r="V36" s="454"/>
    </row>
    <row r="37" spans="2:31" s="177" customFormat="1" x14ac:dyDescent="0.25">
      <c r="C37" s="192"/>
      <c r="D37" s="192"/>
      <c r="E37" s="192"/>
      <c r="F37" s="192"/>
      <c r="G37" s="440"/>
      <c r="H37" s="228"/>
      <c r="I37" s="440"/>
      <c r="J37" s="440"/>
      <c r="K37" s="440"/>
      <c r="L37" s="192"/>
      <c r="M37" s="192"/>
      <c r="N37" s="192"/>
      <c r="O37" s="192"/>
      <c r="P37" s="15">
        <v>-982580.32</v>
      </c>
      <c r="Q37" s="192"/>
      <c r="R37" s="192"/>
      <c r="S37" s="192"/>
      <c r="T37" s="442"/>
      <c r="U37" s="442"/>
      <c r="V37" s="454"/>
      <c r="W37" s="591"/>
      <c r="X37" s="591"/>
      <c r="Y37" s="591"/>
      <c r="Z37" s="591"/>
      <c r="AA37" s="591"/>
      <c r="AB37" s="591"/>
      <c r="AC37" s="591"/>
      <c r="AD37" s="591"/>
      <c r="AE37" s="591"/>
    </row>
    <row r="38" spans="2:31" s="177" customFormat="1" x14ac:dyDescent="0.25">
      <c r="C38" s="192"/>
      <c r="D38" s="192"/>
      <c r="E38" s="192"/>
      <c r="F38" s="192"/>
      <c r="G38" s="440"/>
      <c r="H38" s="228"/>
      <c r="I38" s="440"/>
      <c r="J38" s="440"/>
      <c r="K38" s="440"/>
      <c r="L38" s="192"/>
      <c r="M38" s="192"/>
      <c r="N38" s="192"/>
      <c r="O38" s="192"/>
      <c r="P38" s="15">
        <v>-904627</v>
      </c>
      <c r="Q38" s="192"/>
      <c r="R38" s="192"/>
      <c r="S38" s="192"/>
      <c r="T38" s="442"/>
      <c r="U38" s="442"/>
      <c r="V38" s="454"/>
      <c r="W38" s="591"/>
      <c r="X38" s="591"/>
      <c r="Y38" s="591"/>
      <c r="Z38" s="591"/>
      <c r="AA38" s="591"/>
      <c r="AB38" s="591"/>
      <c r="AC38" s="591"/>
      <c r="AD38" s="591"/>
      <c r="AE38" s="591"/>
    </row>
    <row r="39" spans="2:31" s="15" customFormat="1" x14ac:dyDescent="0.25">
      <c r="C39" s="20"/>
      <c r="D39" s="20"/>
      <c r="E39" s="20"/>
      <c r="F39" s="440"/>
      <c r="G39" s="440"/>
      <c r="H39" s="440"/>
      <c r="I39" s="440"/>
      <c r="J39" s="440"/>
      <c r="K39" s="440"/>
      <c r="L39" s="20"/>
      <c r="M39" s="20"/>
      <c r="N39" s="20"/>
      <c r="O39" s="20"/>
      <c r="Q39" s="20"/>
      <c r="R39" s="20"/>
      <c r="S39" s="20"/>
      <c r="T39" s="442"/>
      <c r="U39" s="442"/>
      <c r="V39" s="454"/>
      <c r="W39" s="12"/>
      <c r="X39" s="12"/>
      <c r="Y39" s="12"/>
      <c r="Z39" s="12"/>
      <c r="AA39" s="12"/>
      <c r="AB39" s="12"/>
      <c r="AC39" s="12"/>
      <c r="AD39" s="12"/>
      <c r="AE39" s="12"/>
    </row>
    <row r="40" spans="2:31" s="15" customFormat="1" x14ac:dyDescent="0.25">
      <c r="C40" s="20"/>
      <c r="D40" s="20"/>
      <c r="E40" s="20"/>
      <c r="F40" s="14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442"/>
      <c r="U40" s="442"/>
      <c r="V40" s="454"/>
      <c r="W40" s="12"/>
      <c r="X40" s="12"/>
      <c r="Y40" s="12"/>
      <c r="Z40" s="12"/>
      <c r="AA40" s="12"/>
      <c r="AB40" s="12"/>
      <c r="AC40" s="12"/>
      <c r="AD40" s="12"/>
      <c r="AE40" s="12"/>
    </row>
    <row r="41" spans="2:31" s="15" customFormat="1" x14ac:dyDescent="0.25"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4" spans="2:31" x14ac:dyDescent="0.25">
      <c r="B44" s="10" t="s">
        <v>83</v>
      </c>
      <c r="D44" s="592"/>
      <c r="E44" s="592"/>
      <c r="G44" s="592"/>
      <c r="H44" s="78"/>
      <c r="I44" s="592"/>
      <c r="J44" s="592"/>
      <c r="K44" s="592"/>
      <c r="L44" s="78"/>
      <c r="M44" s="592"/>
      <c r="O44" s="592"/>
      <c r="P44" s="592"/>
    </row>
    <row r="46" spans="2:31" x14ac:dyDescent="0.25">
      <c r="N46" s="592"/>
    </row>
    <row r="48" spans="2:31" x14ac:dyDescent="0.25">
      <c r="F48" s="592"/>
    </row>
  </sheetData>
  <mergeCells count="10">
    <mergeCell ref="C3:S3"/>
    <mergeCell ref="W3:AC3"/>
    <mergeCell ref="D4:K4"/>
    <mergeCell ref="L4:S4"/>
    <mergeCell ref="D5:E5"/>
    <mergeCell ref="F5:G5"/>
    <mergeCell ref="H5:I5"/>
    <mergeCell ref="L5:M5"/>
    <mergeCell ref="N5:O5"/>
    <mergeCell ref="P5:Q5"/>
  </mergeCell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5127-EDDE-40A5-840C-3D9777F1D216}">
  <dimension ref="A1:AH48"/>
  <sheetViews>
    <sheetView topLeftCell="E4" zoomScale="84" zoomScaleNormal="84" workbookViewId="0">
      <selection activeCell="N8" sqref="N8"/>
    </sheetView>
  </sheetViews>
  <sheetFormatPr baseColWidth="10" defaultRowHeight="15" x14ac:dyDescent="0.25"/>
  <cols>
    <col min="1" max="2" width="11.42578125" style="10" hidden="1" customWidth="1"/>
    <col min="3" max="3" width="35.7109375" style="10" customWidth="1"/>
    <col min="4" max="4" width="14.28515625" style="10" customWidth="1"/>
    <col min="5" max="5" width="6.140625" style="10" customWidth="1"/>
    <col min="6" max="6" width="11" style="10" customWidth="1"/>
    <col min="7" max="7" width="7.7109375" style="10" customWidth="1"/>
    <col min="8" max="8" width="11" style="10" customWidth="1"/>
    <col min="9" max="9" width="8.42578125" style="10" customWidth="1"/>
    <col min="10" max="11" width="9.42578125" style="10" customWidth="1"/>
    <col min="12" max="12" width="11.7109375" style="10" customWidth="1"/>
    <col min="13" max="13" width="8.42578125" style="10" customWidth="1"/>
    <col min="14" max="14" width="13.28515625" style="20" customWidth="1"/>
    <col min="15" max="15" width="7" style="10" customWidth="1"/>
    <col min="16" max="16" width="15.140625" style="10" customWidth="1"/>
    <col min="17" max="17" width="5.7109375" style="10" customWidth="1"/>
    <col min="18" max="19" width="9.42578125" style="10" customWidth="1"/>
    <col min="20" max="20" width="11.42578125" style="15"/>
    <col min="21" max="21" width="11.42578125" style="15" customWidth="1"/>
    <col min="22" max="22" width="11.42578125" style="178" customWidth="1"/>
    <col min="23" max="23" width="34.140625" style="10" customWidth="1"/>
    <col min="24" max="24" width="11.42578125" style="10"/>
    <col min="25" max="25" width="11.5703125" style="10" customWidth="1"/>
    <col min="26" max="30" width="11.42578125" style="10"/>
    <col min="31" max="31" width="10" style="10" customWidth="1"/>
    <col min="32" max="32" width="9.42578125" style="10" customWidth="1"/>
    <col min="33" max="16384" width="11.42578125" style="10"/>
  </cols>
  <sheetData>
    <row r="1" spans="1:34" s="4" customFormat="1" ht="30.75" hidden="1" thickBot="1" x14ac:dyDescent="0.3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388" t="s">
        <v>6</v>
      </c>
      <c r="P1" s="4" t="s">
        <v>7</v>
      </c>
      <c r="T1" s="8" t="s">
        <v>5</v>
      </c>
      <c r="U1" s="8" t="s">
        <v>6</v>
      </c>
      <c r="V1" s="8" t="s">
        <v>7</v>
      </c>
    </row>
    <row r="2" spans="1:34" ht="31.5" hidden="1" thickBot="1" x14ac:dyDescent="0.35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0">
        <f>B2</f>
        <v>201301</v>
      </c>
      <c r="L2" s="10" t="str">
        <f>CONCATENATE(LEFT(D2,4),"01")</f>
        <v>201301</v>
      </c>
      <c r="N2" s="20" t="str">
        <f>+F2</f>
        <v>201201</v>
      </c>
      <c r="P2" s="11">
        <f>D2</f>
        <v>201301</v>
      </c>
      <c r="T2" s="15" t="s">
        <v>10</v>
      </c>
      <c r="U2" s="15" t="s">
        <v>84</v>
      </c>
      <c r="V2" s="178">
        <v>201301</v>
      </c>
      <c r="Z2" s="14"/>
      <c r="AA2" s="14"/>
      <c r="AB2" s="14"/>
      <c r="AC2" s="14"/>
    </row>
    <row r="3" spans="1:34" ht="19.5" hidden="1" thickBot="1" x14ac:dyDescent="0.35">
      <c r="B3" s="10">
        <v>1000</v>
      </c>
      <c r="C3" s="17" t="s">
        <v>164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444"/>
      <c r="W3" s="19" t="str">
        <f>+C3</f>
        <v>MUSICAR S.A. VENEZUELA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4" ht="20.25" thickTop="1" thickBot="1" x14ac:dyDescent="0.35">
      <c r="A4" s="10" t="s">
        <v>94</v>
      </c>
      <c r="B4" s="10">
        <v>1</v>
      </c>
      <c r="C4" s="21"/>
      <c r="D4" s="182" t="str">
        <f>+'COLOMB$ '!D4:K4</f>
        <v>31/04/2022</v>
      </c>
      <c r="E4" s="26"/>
      <c r="F4" s="26"/>
      <c r="G4" s="26"/>
      <c r="H4" s="27"/>
      <c r="I4" s="27"/>
      <c r="J4" s="393"/>
      <c r="K4" s="394"/>
      <c r="L4" s="25" t="s">
        <v>13</v>
      </c>
      <c r="M4" s="26"/>
      <c r="N4" s="26"/>
      <c r="O4" s="26"/>
      <c r="P4" s="27"/>
      <c r="Q4" s="27"/>
      <c r="R4" s="27"/>
      <c r="S4" s="27"/>
      <c r="T4" s="15" t="s">
        <v>13</v>
      </c>
      <c r="W4" s="14"/>
      <c r="X4" s="201" t="str">
        <f>+'COLOMB$ '!X4:Z4</f>
        <v>ABRIL</v>
      </c>
      <c r="Y4" s="202"/>
      <c r="Z4" s="202"/>
      <c r="AA4" s="593" t="str">
        <f>+'COLOMB$ '!AA4:AC4</f>
        <v>ACUM  ABRIL</v>
      </c>
      <c r="AB4" s="594"/>
      <c r="AC4" s="595"/>
      <c r="AD4" s="10" t="s">
        <v>24</v>
      </c>
      <c r="AE4" s="10" t="s">
        <v>20</v>
      </c>
      <c r="AF4" s="10" t="s">
        <v>21</v>
      </c>
    </row>
    <row r="5" spans="1:34" ht="15.75" customHeight="1" thickBot="1" x14ac:dyDescent="0.3">
      <c r="A5" s="10" t="s">
        <v>95</v>
      </c>
      <c r="B5" s="10" t="s">
        <v>96</v>
      </c>
      <c r="C5" s="36" t="s">
        <v>165</v>
      </c>
      <c r="D5" s="184" t="str">
        <f>+'EL SALVADOR USD'!D5:E5</f>
        <v>Ppto 2022</v>
      </c>
      <c r="E5" s="185"/>
      <c r="F5" s="184" t="str">
        <f>+'EL SALVADOR USD'!F5:G5</f>
        <v>Real 2021</v>
      </c>
      <c r="G5" s="185"/>
      <c r="H5" s="184" t="str">
        <f>+'EL SALVADOR USD'!H5:I5</f>
        <v>real 2022</v>
      </c>
      <c r="I5" s="399"/>
      <c r="J5" s="400" t="s">
        <v>20</v>
      </c>
      <c r="K5" s="400" t="s">
        <v>21</v>
      </c>
      <c r="L5" s="401" t="str">
        <f>+D5</f>
        <v>Ppto 2022</v>
      </c>
      <c r="M5" s="206"/>
      <c r="N5" s="401" t="str">
        <f>+F5</f>
        <v>Real 2021</v>
      </c>
      <c r="O5" s="206"/>
      <c r="P5" s="401" t="str">
        <f>+H5</f>
        <v>real 2022</v>
      </c>
      <c r="Q5" s="206"/>
      <c r="R5" s="402" t="s">
        <v>20</v>
      </c>
      <c r="S5" s="403" t="s">
        <v>21</v>
      </c>
      <c r="T5" s="448" t="s">
        <v>171</v>
      </c>
      <c r="U5" s="449" t="s">
        <v>172</v>
      </c>
      <c r="V5" s="178" t="s">
        <v>88</v>
      </c>
      <c r="W5" s="336" t="s">
        <v>165</v>
      </c>
      <c r="X5" s="43" t="str">
        <f>+D5</f>
        <v>Ppto 2022</v>
      </c>
      <c r="Y5" s="209" t="str">
        <f>+F5</f>
        <v>Real 2021</v>
      </c>
      <c r="Z5" s="210" t="str">
        <f>+P5</f>
        <v>real 2022</v>
      </c>
      <c r="AA5" s="596" t="str">
        <f>+X5</f>
        <v>Ppto 2022</v>
      </c>
      <c r="AB5" s="209" t="str">
        <f>+Y5</f>
        <v>Real 2021</v>
      </c>
      <c r="AC5" s="245" t="str">
        <f>+'VZLA BFS'!AC5</f>
        <v>real 2022</v>
      </c>
      <c r="AD5" s="47" t="s">
        <v>173</v>
      </c>
      <c r="AE5" s="47" t="s">
        <v>20</v>
      </c>
      <c r="AF5" s="47" t="s">
        <v>21</v>
      </c>
    </row>
    <row r="6" spans="1:34" ht="15.75" thickBot="1" x14ac:dyDescent="0.3">
      <c r="C6" s="50" t="s">
        <v>26</v>
      </c>
      <c r="D6" s="51" t="s">
        <v>27</v>
      </c>
      <c r="E6" s="52" t="s">
        <v>28</v>
      </c>
      <c r="F6" s="51" t="s">
        <v>27</v>
      </c>
      <c r="G6" s="53" t="s">
        <v>28</v>
      </c>
      <c r="H6" s="186" t="s">
        <v>27</v>
      </c>
      <c r="I6" s="54" t="s">
        <v>28</v>
      </c>
      <c r="J6" s="410" t="s">
        <v>29</v>
      </c>
      <c r="K6" s="410" t="s">
        <v>29</v>
      </c>
      <c r="L6" s="186" t="s">
        <v>27</v>
      </c>
      <c r="M6" s="52" t="s">
        <v>28</v>
      </c>
      <c r="N6" s="51" t="s">
        <v>27</v>
      </c>
      <c r="O6" s="54" t="s">
        <v>28</v>
      </c>
      <c r="P6" s="186" t="s">
        <v>27</v>
      </c>
      <c r="Q6" s="54" t="s">
        <v>28</v>
      </c>
      <c r="R6" s="55" t="s">
        <v>29</v>
      </c>
      <c r="S6" s="54" t="s">
        <v>29</v>
      </c>
      <c r="T6" s="451" t="s">
        <v>27</v>
      </c>
      <c r="U6" s="452" t="s">
        <v>27</v>
      </c>
      <c r="V6" s="452" t="s">
        <v>27</v>
      </c>
      <c r="W6" s="344" t="str">
        <f>+'COLOMB$ '!W6</f>
        <v xml:space="preserve">Flujo de Caja </v>
      </c>
      <c r="X6" s="58"/>
      <c r="Y6" s="63"/>
      <c r="Z6" s="59"/>
      <c r="AA6" s="252" t="str">
        <f>+'VZLA BFS'!AA6</f>
        <v>ACUM</v>
      </c>
      <c r="AB6" s="253"/>
      <c r="AC6" s="254"/>
      <c r="AD6" s="62"/>
      <c r="AE6" s="63" t="s">
        <v>29</v>
      </c>
      <c r="AF6" s="347" t="s">
        <v>29</v>
      </c>
    </row>
    <row r="7" spans="1:34" ht="15.75" thickBot="1" x14ac:dyDescent="0.3">
      <c r="B7" s="11" t="s">
        <v>97</v>
      </c>
      <c r="C7" s="65" t="str">
        <f>+'COLOMB$ '!C7</f>
        <v>Fact. Musical Experience  (Ambiental)</v>
      </c>
      <c r="D7" s="66">
        <f>+'VZLA BFS'!D7+'VZLA VIT. bls '!D7+'VZLA Otros BLS'!D7</f>
        <v>0</v>
      </c>
      <c r="E7" s="67" t="e">
        <f t="shared" ref="E7:E14" si="0">+D7/$D$17</f>
        <v>#DIV/0!</v>
      </c>
      <c r="F7" s="66">
        <f>+'VZLA BFS'!F7+'VZLA VIT. bls '!F7+'VZLA Otros BLS'!F7</f>
        <v>1629088135</v>
      </c>
      <c r="G7" s="67">
        <f t="shared" ref="G7:G12" si="1">+F7/$F$17</f>
        <v>0.47723403195566999</v>
      </c>
      <c r="H7" s="66">
        <f>+'VZLA BFS'!H7+'VZLA VIT. bls '!H7+'VZLA Otros BLS'!H7</f>
        <v>9519</v>
      </c>
      <c r="I7" s="68">
        <f t="shared" ref="I7:I12" si="2">+H7/$H$17</f>
        <v>0.36169038102689061</v>
      </c>
      <c r="J7" s="412" t="str">
        <f>IF(D7=0,"",(H7-D7)/ABS(D7)+1)</f>
        <v/>
      </c>
      <c r="K7" s="412">
        <f>IF(F7=0,"",(H7-F7)/ABS(F7))</f>
        <v>-0.99999415685388926</v>
      </c>
      <c r="L7" s="66">
        <f>+'VZLA BFS'!L7+'VZLA VIT. bls '!L7+'VZLA Otros BLS'!L7</f>
        <v>0</v>
      </c>
      <c r="M7" s="67" t="e">
        <f t="shared" ref="M7:M12" si="3">+L7/$L$17</f>
        <v>#DIV/0!</v>
      </c>
      <c r="N7" s="66">
        <f>+'VZLA BFS'!N7+'VZLA VIT. bls '!N7+'VZLA Otros BLS'!N7</f>
        <v>5256261314</v>
      </c>
      <c r="O7" s="67">
        <f t="shared" ref="O7:O12" si="4">+N7/$N$17</f>
        <v>0.48265208843882745</v>
      </c>
      <c r="P7" s="66">
        <f>+'VZLA BFS'!P7+'VZLA VIT. bls '!P7+'VZLA Otros BLS'!P7</f>
        <v>29856</v>
      </c>
      <c r="Q7" s="68">
        <f t="shared" ref="Q7:Q12" si="5">+P7/$P$17</f>
        <v>0.24575867495772935</v>
      </c>
      <c r="R7" s="69" t="str">
        <f>IF(L7=0,"",(P7-L7)/ABS(L7)+1)</f>
        <v/>
      </c>
      <c r="S7" s="349">
        <f>IF(N7=0,"",(P7-N7)/ABS(N7))</f>
        <v>-0.99999431991710142</v>
      </c>
      <c r="T7" s="442">
        <v>509719.68399999995</v>
      </c>
      <c r="U7" s="442">
        <v>1038462</v>
      </c>
      <c r="V7" s="442">
        <v>478105.71020000003</v>
      </c>
      <c r="W7" s="73" t="s">
        <v>35</v>
      </c>
      <c r="X7" s="258">
        <f>+'VZLA BFS'!X7</f>
        <v>236652</v>
      </c>
      <c r="Y7" s="258">
        <f>+'VZLA BFS'!Y7</f>
        <v>876442793.87</v>
      </c>
      <c r="Z7" s="74">
        <f>+'VZLA BFS'!Z7</f>
        <v>10685.76</v>
      </c>
      <c r="AA7" s="258">
        <f>+'VZLA BFS'!AA7</f>
        <v>236652</v>
      </c>
      <c r="AB7" s="258">
        <f>+'VZLA BFS'!AB7</f>
        <v>458570656.94</v>
      </c>
      <c r="AC7" s="269">
        <f>+'VZLA BFS'!AC7</f>
        <v>14767</v>
      </c>
      <c r="AD7" s="76">
        <f>+AC7-AA7</f>
        <v>-221885</v>
      </c>
      <c r="AE7" s="77">
        <f>IF(AA7=0,"",(AC7-AA7)/ABS(AA7)+1)</f>
        <v>6.2399641667934325E-2</v>
      </c>
      <c r="AF7" s="77">
        <f>IF(Y7=0,"",(AC7-AB7)/ABS(AB7))</f>
        <v>-0.99996779776512845</v>
      </c>
    </row>
    <row r="8" spans="1:34" x14ac:dyDescent="0.25">
      <c r="B8" s="11" t="s">
        <v>98</v>
      </c>
      <c r="C8" s="65" t="s">
        <v>37</v>
      </c>
      <c r="D8" s="66">
        <f>+'VZLA BFS'!D8+'VZLA VIT. bls '!D8+'VZLA Otros BLS'!D8</f>
        <v>0</v>
      </c>
      <c r="E8" s="67" t="e">
        <f t="shared" si="0"/>
        <v>#DIV/0!</v>
      </c>
      <c r="F8" s="66">
        <f>+'VZLA BFS'!F8+'VZLA VIT. bls '!F8+'VZLA Otros BLS'!F8</f>
        <v>456355434</v>
      </c>
      <c r="G8" s="67">
        <f t="shared" si="1"/>
        <v>0.13368726902716019</v>
      </c>
      <c r="H8" s="66">
        <f>+'VZLA BFS'!H8+'VZLA VIT. bls '!H8+'VZLA Otros BLS'!H8</f>
        <v>5973.2</v>
      </c>
      <c r="I8" s="68">
        <f t="shared" si="2"/>
        <v>0.22696175900302795</v>
      </c>
      <c r="J8" s="412" t="str">
        <f t="shared" ref="J8:J34" si="6">IF(D8=0,"",(H8-D8)/ABS(D8)+1)</f>
        <v/>
      </c>
      <c r="K8" s="412">
        <f t="shared" ref="K8:K34" si="7">IF(F8=0,"",(H8-F8)/ABS(F8))</f>
        <v>-0.99998691107948989</v>
      </c>
      <c r="L8" s="66">
        <f>+'VZLA BFS'!L8+'VZLA VIT. bls '!L8+'VZLA Otros BLS'!L8</f>
        <v>0</v>
      </c>
      <c r="M8" s="67" t="e">
        <f t="shared" si="3"/>
        <v>#DIV/0!</v>
      </c>
      <c r="N8" s="66">
        <f>+'VZLA BFS'!N8+'VZLA VIT. bls '!N8+'VZLA Otros BLS'!N8</f>
        <v>1361746548.7</v>
      </c>
      <c r="O8" s="67">
        <f t="shared" si="4"/>
        <v>0.12504131290121404</v>
      </c>
      <c r="P8" s="66">
        <f>+'VZLA BFS'!P8+'VZLA VIT. bls '!P8+'VZLA Otros BLS'!P8</f>
        <v>9970.5499999999993</v>
      </c>
      <c r="Q8" s="68">
        <f t="shared" si="5"/>
        <v>8.2072252029735671E-2</v>
      </c>
      <c r="R8" s="69" t="str">
        <f t="shared" ref="R8:R34" si="8">IF(L8=0,"",(P8-L8)/ABS(L8)+1)</f>
        <v/>
      </c>
      <c r="S8" s="349">
        <f t="shared" ref="S8:S34" si="9">IF(N8=0,"",(P8-N8)/ABS(N8))</f>
        <v>-0.99999267811619608</v>
      </c>
      <c r="T8" s="442">
        <v>132157.95000000001</v>
      </c>
      <c r="U8" s="442">
        <v>0</v>
      </c>
      <c r="V8" s="442">
        <v>201389.5</v>
      </c>
      <c r="W8" s="81" t="s">
        <v>38</v>
      </c>
      <c r="X8" s="90">
        <f>+'VZLA BFS'!X8</f>
        <v>0</v>
      </c>
      <c r="Y8" s="90">
        <f>+'VZLA BFS'!Y8</f>
        <v>2327816306.1399999</v>
      </c>
      <c r="Z8" s="91">
        <f>+'VZLA BFS'!Z8</f>
        <v>15160.97</v>
      </c>
      <c r="AA8" s="261">
        <f>+'VZLA BFS'!AA8</f>
        <v>0</v>
      </c>
      <c r="AB8" s="90">
        <f>+'VZLA BFS'!AB8</f>
        <v>6695866973.1099987</v>
      </c>
      <c r="AC8" s="262">
        <f>+'VZLA BFS'!AC8</f>
        <v>38174.300000000003</v>
      </c>
      <c r="AD8" s="85">
        <f>+AC8-AA8</f>
        <v>38174.300000000003</v>
      </c>
      <c r="AE8" s="86" t="str">
        <f>IF(AA8=0,"",(AC8-AA8)/ABS(AA8)+1)</f>
        <v/>
      </c>
      <c r="AF8" s="86">
        <f>IF(AB8=0,"",(AC8-AB8)/ABS(AB8))</f>
        <v>-0.99999429882640234</v>
      </c>
    </row>
    <row r="9" spans="1:34" x14ac:dyDescent="0.25">
      <c r="B9" s="11" t="s">
        <v>99</v>
      </c>
      <c r="C9" s="65" t="s">
        <v>174</v>
      </c>
      <c r="D9" s="66">
        <f>+'VZLA BFS'!D9+'VZLA VIT. bls '!D9+'VZLA Otros BLS'!D9</f>
        <v>0</v>
      </c>
      <c r="E9" s="67" t="e">
        <f t="shared" si="0"/>
        <v>#DIV/0!</v>
      </c>
      <c r="F9" s="66">
        <f>+'VZLA BFS'!F9+'VZLA VIT. bls '!F9+'VZLA Otros BLS'!F9</f>
        <v>383526896</v>
      </c>
      <c r="G9" s="67">
        <f t="shared" si="1"/>
        <v>0.11235247682994323</v>
      </c>
      <c r="H9" s="66">
        <f>+'VZLA BFS'!H9+'VZLA VIT. bls '!H9+'VZLA Otros BLS'!H9</f>
        <v>3720.6</v>
      </c>
      <c r="I9" s="68">
        <f t="shared" si="2"/>
        <v>0.14137044139601315</v>
      </c>
      <c r="J9" s="412" t="str">
        <f t="shared" si="6"/>
        <v/>
      </c>
      <c r="K9" s="412">
        <f t="shared" si="7"/>
        <v>-0.99999029898544578</v>
      </c>
      <c r="L9" s="66">
        <f>+'VZLA BFS'!L9+'VZLA VIT. bls '!L9+'VZLA Otros BLS'!L9</f>
        <v>0</v>
      </c>
      <c r="M9" s="67" t="e">
        <f t="shared" si="3"/>
        <v>#DIV/0!</v>
      </c>
      <c r="N9" s="66">
        <f>+'VZLA BFS'!N9+'VZLA VIT. bls '!N9+'VZLA Otros BLS'!N9</f>
        <v>2104157519.6400001</v>
      </c>
      <c r="O9" s="67">
        <f t="shared" si="4"/>
        <v>0.19321262026176902</v>
      </c>
      <c r="P9" s="66">
        <f>+'VZLA BFS'!P9+'VZLA VIT. bls '!P9+'VZLA Otros BLS'!P9</f>
        <v>13121.289999999999</v>
      </c>
      <c r="Q9" s="68">
        <f t="shared" si="5"/>
        <v>0.10800746396490167</v>
      </c>
      <c r="R9" s="69" t="str">
        <f t="shared" si="8"/>
        <v/>
      </c>
      <c r="S9" s="349">
        <f t="shared" si="9"/>
        <v>-0.9999937641122979</v>
      </c>
      <c r="T9" s="442">
        <v>503744.32</v>
      </c>
      <c r="U9" s="442">
        <v>0</v>
      </c>
      <c r="V9" s="442">
        <v>458645.56180000002</v>
      </c>
      <c r="W9" s="81" t="s">
        <v>41</v>
      </c>
      <c r="X9" s="90">
        <f>+'VZLA BFS'!X9</f>
        <v>0</v>
      </c>
      <c r="Y9" s="90">
        <f>+'VZLA BFS'!Y9</f>
        <v>0</v>
      </c>
      <c r="Z9" s="91">
        <f>+'VZLA BFS'!Z9</f>
        <v>0</v>
      </c>
      <c r="AA9" s="261">
        <f>+'VZLA BFS'!AA9</f>
        <v>0</v>
      </c>
      <c r="AB9" s="90">
        <f>+'VZLA BFS'!AB9</f>
        <v>0</v>
      </c>
      <c r="AC9" s="262">
        <f>+'VZLA BFS'!AC9</f>
        <v>0</v>
      </c>
      <c r="AD9" s="85">
        <f>+AA9-AC9</f>
        <v>0</v>
      </c>
      <c r="AE9" s="86" t="str">
        <f>IF(AA9=0,"",(AC9-AA9)/ABS(AA9)+1)</f>
        <v/>
      </c>
      <c r="AF9" s="86" t="str">
        <f t="shared" ref="AF9:AF21" si="10">IF(AB9=0,"",(AC9-AB9)/ABS(AB9))</f>
        <v/>
      </c>
    </row>
    <row r="10" spans="1:34" x14ac:dyDescent="0.25">
      <c r="B10" s="219" t="s">
        <v>100</v>
      </c>
      <c r="C10" s="89" t="s">
        <v>175</v>
      </c>
      <c r="D10" s="66">
        <f>+'VZLA BFS'!D10+'VZLA VIT. bls '!D10+'VZLA Otros BLS'!D10</f>
        <v>0</v>
      </c>
      <c r="E10" s="67" t="e">
        <f t="shared" si="0"/>
        <v>#DIV/0!</v>
      </c>
      <c r="F10" s="66">
        <f>+'VZLA BFS'!F10+'VZLA VIT. bls '!F10+'VZLA Otros BLS'!F10</f>
        <v>308000000</v>
      </c>
      <c r="G10" s="67">
        <f t="shared" si="1"/>
        <v>9.0227212809665669E-2</v>
      </c>
      <c r="H10" s="66">
        <f>+'VZLA BFS'!H10+'VZLA VIT. bls '!H10+'VZLA Otros BLS'!H10</f>
        <v>3320.99</v>
      </c>
      <c r="I10" s="68">
        <f t="shared" si="2"/>
        <v>0.12618658876840985</v>
      </c>
      <c r="J10" s="412" t="str">
        <f>IF(D10=0,"",(H10-D10)/ABS(D10)+1)</f>
        <v/>
      </c>
      <c r="K10" s="412">
        <f>IF(F10=0,"",(H10-F10)/ABS(F10))</f>
        <v>-0.99998921756493508</v>
      </c>
      <c r="L10" s="66">
        <f>+'VZLA BFS'!L10+'VZLA VIT. bls '!L10+'VZLA Otros BLS'!L10</f>
        <v>0</v>
      </c>
      <c r="M10" s="67" t="e">
        <f t="shared" si="3"/>
        <v>#DIV/0!</v>
      </c>
      <c r="N10" s="66">
        <f>+'VZLA BFS'!N10+'VZLA VIT. bls '!N10+'VZLA Otros BLS'!N10</f>
        <v>330235664</v>
      </c>
      <c r="O10" s="67">
        <f t="shared" si="4"/>
        <v>3.0323631833533857E-2</v>
      </c>
      <c r="P10" s="66">
        <f>+'VZLA BFS'!P10+'VZLA VIT. bls '!P10+'VZLA Otros BLS'!P10</f>
        <v>57866.07</v>
      </c>
      <c r="Q10" s="68">
        <f t="shared" si="5"/>
        <v>0.47632263827074001</v>
      </c>
      <c r="R10" s="69" t="str">
        <f>IF(L10=0,"",(P10-L10)/ABS(L10)+1)</f>
        <v/>
      </c>
      <c r="S10" s="349">
        <f>IF(N10=0,"",(P10-N10)/ABS(N10))</f>
        <v>-0.99982477340787757</v>
      </c>
      <c r="T10" s="442">
        <v>62433.930000000008</v>
      </c>
      <c r="U10" s="442">
        <v>0</v>
      </c>
      <c r="V10" s="442">
        <v>217317.54</v>
      </c>
      <c r="W10" s="81" t="s">
        <v>44</v>
      </c>
      <c r="X10" s="90">
        <f>+'VZLA BFS'!X10</f>
        <v>0</v>
      </c>
      <c r="Y10" s="90">
        <f>+'VZLA BFS'!Y10</f>
        <v>0</v>
      </c>
      <c r="Z10" s="91">
        <f>+'VZLA BFS'!Z10</f>
        <v>0</v>
      </c>
      <c r="AA10" s="261">
        <f>+'VZLA BFS'!AA10</f>
        <v>0</v>
      </c>
      <c r="AB10" s="90">
        <f>+'VZLA BFS'!AB10</f>
        <v>0</v>
      </c>
      <c r="AC10" s="262">
        <f>+'VZLA BFS'!AC10</f>
        <v>0</v>
      </c>
      <c r="AD10" s="85">
        <f>+AA10-AC10</f>
        <v>0</v>
      </c>
      <c r="AE10" s="86" t="str">
        <f t="shared" ref="AE10:AE21" si="11">IF(AA10=0,"",(AC10-AA10)/ABS(AA10)+1)</f>
        <v/>
      </c>
      <c r="AF10" s="86" t="str">
        <f t="shared" si="10"/>
        <v/>
      </c>
    </row>
    <row r="11" spans="1:34" x14ac:dyDescent="0.25">
      <c r="B11" s="11">
        <v>4170250500</v>
      </c>
      <c r="C11" s="89" t="s">
        <v>45</v>
      </c>
      <c r="D11" s="66">
        <f>+'VZLA BFS'!D11+'VZLA VIT. bls '!D11+'VZLA Otros BLS'!D11</f>
        <v>0</v>
      </c>
      <c r="E11" s="67" t="e">
        <f t="shared" si="0"/>
        <v>#DIV/0!</v>
      </c>
      <c r="F11" s="66">
        <f>+'VZLA BFS'!F11+'VZLA VIT. bls '!F11+'VZLA Otros BLS'!F11</f>
        <v>0</v>
      </c>
      <c r="G11" s="67">
        <f t="shared" si="1"/>
        <v>0</v>
      </c>
      <c r="H11" s="66">
        <f>+'VZLA BFS'!H11+'VZLA VIT. bls '!H11+'VZLA Otros BLS'!H11</f>
        <v>0</v>
      </c>
      <c r="I11" s="68">
        <f t="shared" si="2"/>
        <v>0</v>
      </c>
      <c r="J11" s="412" t="str">
        <f>IF(D11=0,"",(H11-D11)/ABS(D11)+1)</f>
        <v/>
      </c>
      <c r="K11" s="412" t="str">
        <f>IF(F11=0,"",(H11-F11)/ABS(F11))</f>
        <v/>
      </c>
      <c r="L11" s="66">
        <f>+'VZLA BFS'!L11+'VZLA VIT. bls '!L11+'VZLA Otros BLS'!L11</f>
        <v>0</v>
      </c>
      <c r="M11" s="67" t="e">
        <f t="shared" si="3"/>
        <v>#DIV/0!</v>
      </c>
      <c r="N11" s="66">
        <f>+'VZLA BFS'!N11+'VZLA VIT. bls '!N11+'VZLA Otros BLS'!N11</f>
        <v>0</v>
      </c>
      <c r="O11" s="67">
        <f t="shared" si="4"/>
        <v>0</v>
      </c>
      <c r="P11" s="66">
        <f>+'VZLA BFS'!P11+'VZLA VIT. bls '!P11+'VZLA Otros BLS'!P11</f>
        <v>0</v>
      </c>
      <c r="Q11" s="68">
        <f t="shared" si="5"/>
        <v>0</v>
      </c>
      <c r="R11" s="69" t="str">
        <f>IF(L11=0,"",(P11-L11)/ABS(L11)+1)</f>
        <v/>
      </c>
      <c r="S11" s="349" t="str">
        <f>IF(N11=0,"",(P11-N11)/ABS(N11))</f>
        <v/>
      </c>
      <c r="T11" s="442">
        <v>0</v>
      </c>
      <c r="U11" s="442">
        <v>0</v>
      </c>
      <c r="V11" s="442">
        <v>0</v>
      </c>
      <c r="W11" s="81" t="s">
        <v>46</v>
      </c>
      <c r="X11" s="90">
        <f>+'VZLA BFS'!X11</f>
        <v>0</v>
      </c>
      <c r="Y11" s="90">
        <f>+'VZLA BFS'!Y11</f>
        <v>519480601.99000001</v>
      </c>
      <c r="Z11" s="91">
        <f>+'VZLA BFS'!Z11</f>
        <v>6182.88</v>
      </c>
      <c r="AA11" s="261">
        <f>+'VZLA BFS'!AA11</f>
        <v>0</v>
      </c>
      <c r="AB11" s="90">
        <f>+'VZLA BFS'!AB11</f>
        <v>1277149488.97</v>
      </c>
      <c r="AC11" s="262">
        <f>+'VZLA BFS'!AC11</f>
        <v>15432.260000000002</v>
      </c>
      <c r="AD11" s="85">
        <f>+AA11-AC11</f>
        <v>-15432.260000000002</v>
      </c>
      <c r="AE11" s="86" t="str">
        <f t="shared" si="11"/>
        <v/>
      </c>
      <c r="AF11" s="86">
        <f t="shared" si="10"/>
        <v>-0.99998791663768938</v>
      </c>
      <c r="AH11" s="149"/>
    </row>
    <row r="12" spans="1:34" x14ac:dyDescent="0.25">
      <c r="B12" s="11"/>
      <c r="C12" s="65" t="s">
        <v>176</v>
      </c>
      <c r="D12" s="66">
        <f>+'VZLA BFS'!D12+'VZLA VIT. bls '!D12+'VZLA Otros BLS'!D12</f>
        <v>0</v>
      </c>
      <c r="E12" s="67" t="e">
        <f t="shared" si="0"/>
        <v>#DIV/0!</v>
      </c>
      <c r="F12" s="66">
        <f>+'VZLA BFS'!F12+'VZLA VIT. bls '!F12+'VZLA Otros BLS'!F12</f>
        <v>636633817</v>
      </c>
      <c r="G12" s="67">
        <f t="shared" si="1"/>
        <v>0.18649900937756089</v>
      </c>
      <c r="H12" s="66">
        <f>+'VZLA BFS'!H12+'VZLA VIT. bls '!H12+'VZLA Otros BLS'!H12</f>
        <v>3784.3</v>
      </c>
      <c r="I12" s="68">
        <f t="shared" si="2"/>
        <v>0.14379082980565838</v>
      </c>
      <c r="J12" s="412" t="str">
        <f t="shared" si="6"/>
        <v/>
      </c>
      <c r="K12" s="412">
        <f t="shared" si="7"/>
        <v>-0.99999405576659783</v>
      </c>
      <c r="L12" s="66">
        <f>+'VZLA BFS'!L12+'VZLA VIT. bls '!L12+'VZLA Otros BLS'!L12</f>
        <v>0</v>
      </c>
      <c r="M12" s="67" t="e">
        <f t="shared" si="3"/>
        <v>#DIV/0!</v>
      </c>
      <c r="N12" s="66">
        <f>+'VZLA BFS'!N12+'VZLA VIT. bls '!N12+'VZLA Otros BLS'!N12</f>
        <v>1837972040</v>
      </c>
      <c r="O12" s="67">
        <f t="shared" si="4"/>
        <v>0.16877034656465562</v>
      </c>
      <c r="P12" s="66">
        <f>+'VZLA BFS'!P12+'VZLA VIT. bls '!P12+'VZLA Otros BLS'!P12</f>
        <v>10671.119999999999</v>
      </c>
      <c r="Q12" s="68">
        <f t="shared" si="5"/>
        <v>8.7838970776893247E-2</v>
      </c>
      <c r="R12" s="69"/>
      <c r="S12" s="349">
        <f t="shared" si="9"/>
        <v>-0.99999419407925272</v>
      </c>
      <c r="T12" s="442">
        <v>183738.34</v>
      </c>
      <c r="U12" s="442">
        <v>0</v>
      </c>
      <c r="V12" s="442">
        <v>190063.2</v>
      </c>
      <c r="W12" s="81" t="s">
        <v>49</v>
      </c>
      <c r="X12" s="90">
        <f>+'VZLA BFS'!X12</f>
        <v>0</v>
      </c>
      <c r="Y12" s="90">
        <f>+'VZLA BFS'!Y12</f>
        <v>1263031601.23</v>
      </c>
      <c r="Z12" s="91">
        <f>+'VZLA BFS'!Z12</f>
        <v>6191.68</v>
      </c>
      <c r="AA12" s="261">
        <f>+'VZLA BFS'!AA12</f>
        <v>0</v>
      </c>
      <c r="AB12" s="90">
        <f>+'VZLA BFS'!AB12</f>
        <v>4054174094.0099998</v>
      </c>
      <c r="AC12" s="262">
        <f>+'VZLA BFS'!AC12</f>
        <v>20056.34</v>
      </c>
      <c r="AD12" s="85">
        <f>+AA12-AC12</f>
        <v>-20056.34</v>
      </c>
      <c r="AE12" s="86" t="str">
        <f t="shared" si="11"/>
        <v/>
      </c>
      <c r="AF12" s="86">
        <f t="shared" si="10"/>
        <v>-0.99999505291594903</v>
      </c>
    </row>
    <row r="13" spans="1:34" ht="15.75" thickBot="1" x14ac:dyDescent="0.3">
      <c r="C13" s="65" t="str">
        <f>+'EL SALVADOR USD'!C13</f>
        <v>Fact. Servicio Satelital</v>
      </c>
      <c r="D13" s="66">
        <f>+'VZLA BFS'!D13+'VZLA VIT. bls '!D13+'VZLA Otros BLS'!D13</f>
        <v>0</v>
      </c>
      <c r="E13" s="67" t="e">
        <f t="shared" si="0"/>
        <v>#DIV/0!</v>
      </c>
      <c r="F13" s="66">
        <f>+'VZLA BFS'!F13+'VZLA VIT. bls '!F13+'VZLA Otros BLS'!F13</f>
        <v>0</v>
      </c>
      <c r="G13" s="67"/>
      <c r="H13" s="66">
        <f>+'VZLA BFS'!H13+'VZLA VIT. bls '!H13+'VZLA Otros BLS'!H13</f>
        <v>0</v>
      </c>
      <c r="I13" s="68"/>
      <c r="J13" s="412"/>
      <c r="K13" s="412"/>
      <c r="L13" s="66">
        <f>+'VZLA BFS'!L13+'VZLA VIT. bls '!L13+'VZLA Otros BLS'!L13</f>
        <v>0</v>
      </c>
      <c r="M13" s="67"/>
      <c r="N13" s="66">
        <f>+'VZLA BFS'!N13+'VZLA VIT. bls '!N13+'VZLA Otros BLS'!N13</f>
        <v>0</v>
      </c>
      <c r="O13" s="67"/>
      <c r="P13" s="66">
        <f>+'VZLA BFS'!P13+'VZLA VIT. bls '!P13+'VZLA Otros BLS'!P13</f>
        <v>0</v>
      </c>
      <c r="Q13" s="68"/>
      <c r="R13" s="69"/>
      <c r="S13" s="349"/>
      <c r="T13" s="442"/>
      <c r="U13" s="442">
        <v>0</v>
      </c>
      <c r="V13" s="442"/>
      <c r="W13" s="81" t="s">
        <v>51</v>
      </c>
      <c r="X13" s="90">
        <f>X9+X10+X11+X12</f>
        <v>0</v>
      </c>
      <c r="Y13" s="90">
        <f>Y9+Y10+Y11+Y12</f>
        <v>1782512203.22</v>
      </c>
      <c r="Z13" s="91">
        <f>+'VZLA BFS'!Z13</f>
        <v>12374.560000000001</v>
      </c>
      <c r="AA13" s="261">
        <f>+'VZLA BFS'!AA13</f>
        <v>0</v>
      </c>
      <c r="AB13" s="261">
        <f>+'VZLA BFS'!AB13</f>
        <v>5331323582.9799995</v>
      </c>
      <c r="AC13" s="262">
        <f>+'VZLA BFS'!AC13</f>
        <v>35488.600000000006</v>
      </c>
      <c r="AD13" s="85">
        <f>+AC13-AA13</f>
        <v>35488.600000000006</v>
      </c>
      <c r="AE13" s="86" t="str">
        <f t="shared" si="11"/>
        <v/>
      </c>
      <c r="AF13" s="86">
        <f t="shared" si="10"/>
        <v>-0.99999334337909751</v>
      </c>
    </row>
    <row r="14" spans="1:34" ht="15.75" thickBot="1" x14ac:dyDescent="0.3">
      <c r="C14" s="65" t="str">
        <f>+'EL SALVADOR USD'!C14</f>
        <v>Fact. Visual Experience</v>
      </c>
      <c r="D14" s="66">
        <f>+'VZLA BFS'!D14+'VZLA VIT. bls '!D14+'VZLA Otros BLS'!D14</f>
        <v>0</v>
      </c>
      <c r="E14" s="67" t="e">
        <f t="shared" si="0"/>
        <v>#DIV/0!</v>
      </c>
      <c r="F14" s="66">
        <f>+'VZLA BFS'!F14+'VZLA VIT. bls '!F14+'VZLA Otros BLS'!F14</f>
        <v>0</v>
      </c>
      <c r="G14" s="67"/>
      <c r="H14" s="66">
        <f>+'VZLA BFS'!H14+'VZLA VIT. bls '!H14+'VZLA Otros BLS'!H14</f>
        <v>0</v>
      </c>
      <c r="I14" s="68"/>
      <c r="J14" s="412"/>
      <c r="K14" s="412"/>
      <c r="L14" s="66">
        <f>+'VZLA BFS'!L14+'VZLA VIT. bls '!L14+'VZLA Otros BLS'!L14</f>
        <v>0</v>
      </c>
      <c r="M14" s="67"/>
      <c r="N14" s="66">
        <f>+'VZLA BFS'!N14+'VZLA VIT. bls '!N14+'VZLA Otros BLS'!N14</f>
        <v>0</v>
      </c>
      <c r="O14" s="67"/>
      <c r="P14" s="66">
        <f>+'VZLA BFS'!P14+'VZLA VIT. bls '!P14+'VZLA Otros BLS'!P14</f>
        <v>0</v>
      </c>
      <c r="Q14" s="68"/>
      <c r="R14" s="69"/>
      <c r="S14" s="349"/>
      <c r="T14" s="442"/>
      <c r="U14" s="442"/>
      <c r="V14" s="442"/>
      <c r="W14" s="73" t="s">
        <v>53</v>
      </c>
      <c r="X14" s="75">
        <f t="shared" ref="X14:AC14" si="12">+X8-X13</f>
        <v>0</v>
      </c>
      <c r="Y14" s="75">
        <f t="shared" si="12"/>
        <v>545304102.91999984</v>
      </c>
      <c r="Z14" s="74">
        <f t="shared" si="12"/>
        <v>2786.409999999998</v>
      </c>
      <c r="AA14" s="258">
        <f t="shared" si="12"/>
        <v>0</v>
      </c>
      <c r="AB14" s="75">
        <f t="shared" si="12"/>
        <v>1364543390.1299992</v>
      </c>
      <c r="AC14" s="269">
        <f t="shared" si="12"/>
        <v>2685.6999999999971</v>
      </c>
      <c r="AD14" s="76">
        <f>+AC14-AA14</f>
        <v>2685.6999999999971</v>
      </c>
      <c r="AE14" s="77" t="str">
        <f t="shared" si="11"/>
        <v/>
      </c>
      <c r="AF14" s="77">
        <f t="shared" si="10"/>
        <v>-0.99999803179582303</v>
      </c>
    </row>
    <row r="15" spans="1:34" x14ac:dyDescent="0.25">
      <c r="C15" s="65" t="str">
        <f>+'EL SALVADOR USD'!C15</f>
        <v>Fac.   Olfa Experience</v>
      </c>
      <c r="D15" s="66"/>
      <c r="E15" s="67"/>
      <c r="F15" s="66"/>
      <c r="G15" s="67"/>
      <c r="H15" s="66"/>
      <c r="I15" s="68"/>
      <c r="J15" s="412"/>
      <c r="K15" s="412"/>
      <c r="L15" s="66"/>
      <c r="M15" s="67"/>
      <c r="N15" s="66"/>
      <c r="O15" s="67"/>
      <c r="P15" s="66"/>
      <c r="Q15" s="68"/>
      <c r="R15" s="69"/>
      <c r="S15" s="349"/>
      <c r="T15" s="442"/>
      <c r="U15" s="442"/>
      <c r="V15" s="442"/>
      <c r="W15" s="89"/>
      <c r="X15" s="97"/>
      <c r="Y15" s="97"/>
      <c r="Z15" s="98"/>
      <c r="AA15" s="271"/>
      <c r="AB15" s="97"/>
      <c r="AC15" s="597"/>
      <c r="AD15" s="103"/>
      <c r="AE15" s="102"/>
      <c r="AF15" s="102"/>
    </row>
    <row r="16" spans="1:34" ht="15.75" thickBot="1" x14ac:dyDescent="0.3">
      <c r="C16" s="65" t="s">
        <v>177</v>
      </c>
      <c r="D16" s="66">
        <f>+'VZLA BFS'!D16+'VZLA VIT. bls '!D15+'VZLA Otros BLS'!D16</f>
        <v>0</v>
      </c>
      <c r="E16" s="67" t="e">
        <f>+D16/$D$17</f>
        <v>#DIV/0!</v>
      </c>
      <c r="F16" s="66">
        <f>+'VZLA BFS'!F16+'VZLA VIT. bls '!F15+'VZLA Otros BLS'!F16</f>
        <v>0</v>
      </c>
      <c r="G16" s="67"/>
      <c r="H16" s="66">
        <f>+'VZLA BFS'!H16+'VZLA VIT. bls '!H15+'VZLA Otros BLS'!H16</f>
        <v>0</v>
      </c>
      <c r="I16" s="68"/>
      <c r="J16" s="412"/>
      <c r="K16" s="412"/>
      <c r="L16" s="66">
        <f>+'VZLA BFS'!L16+'VZLA VIT. bls '!L15+'VZLA Otros BLS'!L16</f>
        <v>0</v>
      </c>
      <c r="M16" s="67"/>
      <c r="N16" s="66">
        <f>+'VZLA BFS'!N16+'VZLA VIT. bls '!N15+'VZLA Otros BLS'!N16</f>
        <v>0</v>
      </c>
      <c r="O16" s="67"/>
      <c r="P16" s="66">
        <f>+'VZLA BFS'!P16+'VZLA VIT. bls '!P15+'VZLA Otros BLS'!P16</f>
        <v>0</v>
      </c>
      <c r="Q16" s="68"/>
      <c r="R16" s="69"/>
      <c r="S16" s="349"/>
      <c r="T16" s="442"/>
      <c r="U16" s="442"/>
      <c r="V16" s="442"/>
      <c r="W16" s="89"/>
      <c r="X16" s="97"/>
      <c r="Y16" s="97"/>
      <c r="Z16" s="98"/>
      <c r="AA16" s="271"/>
      <c r="AB16" s="97"/>
      <c r="AC16" s="597"/>
      <c r="AD16" s="103"/>
      <c r="AE16" s="102"/>
      <c r="AF16" s="102" t="str">
        <f t="shared" si="10"/>
        <v/>
      </c>
    </row>
    <row r="17" spans="1:34" x14ac:dyDescent="0.25">
      <c r="B17" s="11"/>
      <c r="C17" s="104" t="s">
        <v>58</v>
      </c>
      <c r="D17" s="105">
        <f>SUM(D7:D13)</f>
        <v>0</v>
      </c>
      <c r="E17" s="106" t="e">
        <f t="shared" ref="E17:E34" si="13">+D17/$D$17</f>
        <v>#DIV/0!</v>
      </c>
      <c r="F17" s="105">
        <f>SUM(F7:F14)</f>
        <v>3413604282</v>
      </c>
      <c r="G17" s="106">
        <f t="shared" ref="G17:G34" si="14">+F17/$F$17</f>
        <v>1</v>
      </c>
      <c r="H17" s="105">
        <f>SUM(H7:H16)</f>
        <v>26318.09</v>
      </c>
      <c r="I17" s="107">
        <f t="shared" ref="I17:I34" si="15">+H17/$H$17</f>
        <v>1</v>
      </c>
      <c r="J17" s="416" t="str">
        <f t="shared" si="6"/>
        <v/>
      </c>
      <c r="K17" s="416">
        <f t="shared" si="7"/>
        <v>-0.99999229023406755</v>
      </c>
      <c r="L17" s="105">
        <f>SUM(L7:L16)</f>
        <v>0</v>
      </c>
      <c r="M17" s="106" t="e">
        <f t="shared" ref="M17:M34" si="16">+L17/$L$17</f>
        <v>#DIV/0!</v>
      </c>
      <c r="N17" s="105">
        <f>SUM(N7:N16)</f>
        <v>10890373086.34</v>
      </c>
      <c r="O17" s="106">
        <f t="shared" ref="O17:O31" si="17">+N17/$N$17</f>
        <v>1</v>
      </c>
      <c r="P17" s="105">
        <f>SUM(P7:P16)</f>
        <v>121485.03</v>
      </c>
      <c r="Q17" s="107">
        <f t="shared" ref="Q17:Q34" si="18">+P17/$P$17</f>
        <v>1</v>
      </c>
      <c r="R17" s="108" t="str">
        <f t="shared" si="8"/>
        <v/>
      </c>
      <c r="S17" s="108">
        <f t="shared" si="9"/>
        <v>-0.99998884473203653</v>
      </c>
      <c r="T17" s="442">
        <v>1391794.2239999999</v>
      </c>
      <c r="U17" s="442">
        <v>1038462</v>
      </c>
      <c r="V17" s="442">
        <v>1545521.5120000001</v>
      </c>
      <c r="W17" s="81" t="s">
        <v>59</v>
      </c>
      <c r="X17" s="82">
        <f>+X7+X14</f>
        <v>236652</v>
      </c>
      <c r="Y17" s="82">
        <f>+Y7+Y14</f>
        <v>1421746896.79</v>
      </c>
      <c r="Z17" s="83">
        <f>+Z7+Z14</f>
        <v>13472.169999999998</v>
      </c>
      <c r="AA17" s="261">
        <f>+'VZLA BFS'!AA17</f>
        <v>236652</v>
      </c>
      <c r="AB17" s="90">
        <f>+'VZLA BFS'!AB17</f>
        <v>1823114047.0699992</v>
      </c>
      <c r="AC17" s="262">
        <f>+'VZLA BFS'!AC17</f>
        <v>17452.699999999997</v>
      </c>
      <c r="AD17" s="85">
        <f>+AC17-AA17</f>
        <v>-219199.3</v>
      </c>
      <c r="AE17" s="86">
        <f t="shared" si="11"/>
        <v>7.374837313861704E-2</v>
      </c>
      <c r="AF17" s="86">
        <f t="shared" si="10"/>
        <v>-0.99999042698396834</v>
      </c>
    </row>
    <row r="18" spans="1:34" x14ac:dyDescent="0.25">
      <c r="B18" s="11" t="s">
        <v>101</v>
      </c>
      <c r="C18" s="112" t="s">
        <v>60</v>
      </c>
      <c r="D18" s="117">
        <f>+'VZLA BFS'!D18+'VZLA VIT. bls '!D17+'VZLA Otros BLS'!D18</f>
        <v>0</v>
      </c>
      <c r="E18" s="113" t="e">
        <f t="shared" si="13"/>
        <v>#DIV/0!</v>
      </c>
      <c r="F18" s="117">
        <f>+'VZLA BFS'!F18+'VZLA VIT. bls '!F17+'VZLA Otros BLS'!F18</f>
        <v>0</v>
      </c>
      <c r="G18" s="113">
        <f t="shared" si="14"/>
        <v>0</v>
      </c>
      <c r="H18" s="117">
        <f>+'VZLA BFS'!H18+'VZLA VIT. bls '!H17+'VZLA Otros BLS'!H18</f>
        <v>54617.06</v>
      </c>
      <c r="I18" s="115">
        <f t="shared" si="15"/>
        <v>2.0752668601710837</v>
      </c>
      <c r="J18" s="419" t="str">
        <f t="shared" si="6"/>
        <v/>
      </c>
      <c r="K18" s="419" t="str">
        <f t="shared" si="7"/>
        <v/>
      </c>
      <c r="L18" s="117">
        <f>+'VZLA BFS'!L18+'VZLA VIT. bls '!L17+'VZLA Otros BLS'!L18</f>
        <v>0</v>
      </c>
      <c r="M18" s="113" t="e">
        <f t="shared" si="16"/>
        <v>#DIV/0!</v>
      </c>
      <c r="N18" s="117">
        <f>+'VZLA BFS'!N18+'VZLA VIT. bls '!N17+'VZLA Otros BLS'!N18</f>
        <v>0</v>
      </c>
      <c r="O18" s="113">
        <f t="shared" si="17"/>
        <v>0</v>
      </c>
      <c r="P18" s="117">
        <f>+'VZLA BFS'!P18+'VZLA VIT. bls '!P17+'VZLA Otros BLS'!P18</f>
        <v>54617.06</v>
      </c>
      <c r="Q18" s="115">
        <f t="shared" si="18"/>
        <v>0.44957852008597271</v>
      </c>
      <c r="R18" s="116" t="str">
        <f t="shared" si="8"/>
        <v/>
      </c>
      <c r="S18" s="370" t="str">
        <f t="shared" si="9"/>
        <v/>
      </c>
      <c r="T18" s="442">
        <v>71074</v>
      </c>
      <c r="U18" s="442">
        <v>38307</v>
      </c>
      <c r="V18" s="442">
        <v>7521</v>
      </c>
      <c r="W18" s="81" t="s">
        <v>61</v>
      </c>
      <c r="X18" s="90">
        <f>+'VZLA BFS'!X18</f>
        <v>0</v>
      </c>
      <c r="Y18" s="90">
        <f>+'VZLA BFS'!Y18</f>
        <v>0</v>
      </c>
      <c r="Z18" s="91">
        <f>+'VZLA BFS'!Z18</f>
        <v>0</v>
      </c>
      <c r="AA18" s="261">
        <f>+'VZLA BFS'!AA18</f>
        <v>0</v>
      </c>
      <c r="AB18" s="90">
        <f>+'VZLA BFS'!AB18</f>
        <v>0</v>
      </c>
      <c r="AC18" s="262">
        <f>+'VZLA BFS'!AC18</f>
        <v>0</v>
      </c>
      <c r="AD18" s="85">
        <f t="shared" ref="AD18:AD21" si="19">+AC18-AA18</f>
        <v>0</v>
      </c>
      <c r="AE18" s="86" t="str">
        <f t="shared" si="11"/>
        <v/>
      </c>
      <c r="AF18" s="86" t="str">
        <f t="shared" si="10"/>
        <v/>
      </c>
      <c r="AH18" s="149"/>
    </row>
    <row r="19" spans="1:34" ht="15.75" thickBot="1" x14ac:dyDescent="0.3">
      <c r="B19" s="11"/>
      <c r="C19" s="119" t="s">
        <v>62</v>
      </c>
      <c r="D19" s="120">
        <f>+D17-D18</f>
        <v>0</v>
      </c>
      <c r="E19" s="121" t="e">
        <f t="shared" si="13"/>
        <v>#DIV/0!</v>
      </c>
      <c r="F19" s="120">
        <f>+F17-F18</f>
        <v>3413604282</v>
      </c>
      <c r="G19" s="121">
        <f t="shared" si="14"/>
        <v>1</v>
      </c>
      <c r="H19" s="120">
        <f>+H17-H18</f>
        <v>-28298.969999999998</v>
      </c>
      <c r="I19" s="122">
        <f t="shared" si="15"/>
        <v>-1.0752668601710837</v>
      </c>
      <c r="J19" s="420" t="str">
        <f t="shared" si="6"/>
        <v/>
      </c>
      <c r="K19" s="420">
        <f t="shared" si="7"/>
        <v>-1.0000082900558067</v>
      </c>
      <c r="L19" s="120">
        <f>+L17-L18</f>
        <v>0</v>
      </c>
      <c r="M19" s="121" t="e">
        <f t="shared" si="16"/>
        <v>#DIV/0!</v>
      </c>
      <c r="N19" s="120">
        <f>+N17-N18</f>
        <v>10890373086.34</v>
      </c>
      <c r="O19" s="121">
        <f t="shared" si="17"/>
        <v>1</v>
      </c>
      <c r="P19" s="120">
        <f>+P17-P18</f>
        <v>66867.97</v>
      </c>
      <c r="Q19" s="122">
        <f t="shared" si="18"/>
        <v>0.55042147991402723</v>
      </c>
      <c r="R19" s="124" t="str">
        <f t="shared" si="8"/>
        <v/>
      </c>
      <c r="S19" s="124">
        <f t="shared" si="9"/>
        <v>-0.99999385990089884</v>
      </c>
      <c r="T19" s="442">
        <v>1299398.1002499999</v>
      </c>
      <c r="U19" s="442">
        <v>1000155</v>
      </c>
      <c r="V19" s="442">
        <v>1538000.5120000001</v>
      </c>
      <c r="W19" s="81" t="s">
        <v>63</v>
      </c>
      <c r="X19" s="90">
        <f>+'VZLA BFS'!X19</f>
        <v>0</v>
      </c>
      <c r="Y19" s="90">
        <f>+'VZLA BFS'!Y19</f>
        <v>245573494.06999999</v>
      </c>
      <c r="Z19" s="91">
        <f>+'VZLA BFS'!Z19</f>
        <v>5884.8</v>
      </c>
      <c r="AA19" s="261">
        <f>+'VZLA BFS'!AA19</f>
        <v>0</v>
      </c>
      <c r="AB19" s="90">
        <f>+'VZLA BFS'!AB19</f>
        <v>646940644.3499999</v>
      </c>
      <c r="AC19" s="262">
        <f>+'VZLA BFS'!AC19</f>
        <v>9865.33</v>
      </c>
      <c r="AD19" s="85">
        <f t="shared" si="19"/>
        <v>9865.33</v>
      </c>
      <c r="AE19" s="86" t="str">
        <f t="shared" si="11"/>
        <v/>
      </c>
      <c r="AF19" s="86">
        <f t="shared" si="10"/>
        <v>-0.99998475079578597</v>
      </c>
    </row>
    <row r="20" spans="1:34" x14ac:dyDescent="0.25">
      <c r="B20" s="11" t="s">
        <v>102</v>
      </c>
      <c r="C20" s="81" t="s">
        <v>64</v>
      </c>
      <c r="D20" s="83">
        <f>+'VZLA BFS'!D20+'VZLA VIT. bls '!D19+'VZLA Otros BLS'!D20</f>
        <v>0</v>
      </c>
      <c r="E20" s="126" t="e">
        <f t="shared" si="13"/>
        <v>#DIV/0!</v>
      </c>
      <c r="F20" s="83">
        <f>+'VZLA BFS'!F20+'VZLA VIT. bls '!F19+'VZLA Otros BLS'!F20</f>
        <v>49338068.460000001</v>
      </c>
      <c r="G20" s="126">
        <f t="shared" si="14"/>
        <v>1.445336494337102E-2</v>
      </c>
      <c r="H20" s="83">
        <f>+'VZLA BFS'!H20+'VZLA VIT. bls '!H19+'VZLA Otros BLS'!H20</f>
        <v>394.24</v>
      </c>
      <c r="I20" s="127">
        <f t="shared" si="15"/>
        <v>1.4979810464969153E-2</v>
      </c>
      <c r="J20" s="421" t="str">
        <f t="shared" si="6"/>
        <v/>
      </c>
      <c r="K20" s="421">
        <f t="shared" si="7"/>
        <v>-0.99999200941560329</v>
      </c>
      <c r="L20" s="83">
        <f>+'VZLA BFS'!L20+'VZLA VIT. bls '!L19+'VZLA Otros BLS'!L20</f>
        <v>0</v>
      </c>
      <c r="M20" s="126" t="e">
        <f t="shared" si="16"/>
        <v>#DIV/0!</v>
      </c>
      <c r="N20" s="83">
        <f>+'VZLA BFS'!N20+'VZLA VIT. bls '!N19+'VZLA Otros BLS'!N20</f>
        <v>154956949.50999999</v>
      </c>
      <c r="O20" s="126">
        <f t="shared" si="17"/>
        <v>1.4228800820824533E-2</v>
      </c>
      <c r="P20" s="83">
        <f>+'VZLA BFS'!P20+'VZLA VIT. bls '!P19+'VZLA Otros BLS'!P20</f>
        <v>1505.3700000000001</v>
      </c>
      <c r="Q20" s="127">
        <f t="shared" si="18"/>
        <v>1.2391403286479002E-2</v>
      </c>
      <c r="R20" s="128" t="str">
        <f t="shared" si="8"/>
        <v/>
      </c>
      <c r="S20" s="148">
        <f t="shared" si="9"/>
        <v>-0.99999028523725608</v>
      </c>
      <c r="T20" s="598">
        <v>409784</v>
      </c>
      <c r="U20" s="442">
        <v>255096</v>
      </c>
      <c r="V20" s="442">
        <v>294014</v>
      </c>
      <c r="W20" s="81" t="s">
        <v>65</v>
      </c>
      <c r="X20" s="90">
        <f>+'VZLA BFS'!X20</f>
        <v>0</v>
      </c>
      <c r="Y20" s="90">
        <f>+'VZLA BFS'!Y20</f>
        <v>0</v>
      </c>
      <c r="Z20" s="91">
        <f>+'VZLA BFS'!Z20</f>
        <v>0</v>
      </c>
      <c r="AA20" s="261">
        <f>+'VZLA BFS'!AA20</f>
        <v>0</v>
      </c>
      <c r="AB20" s="90">
        <f>+'VZLA BFS'!AB20</f>
        <v>0</v>
      </c>
      <c r="AC20" s="262">
        <f>+'VZLA BFS'!AC20</f>
        <v>0</v>
      </c>
      <c r="AD20" s="85">
        <f t="shared" si="19"/>
        <v>0</v>
      </c>
      <c r="AE20" s="86" t="str">
        <f t="shared" si="11"/>
        <v/>
      </c>
      <c r="AF20" s="86" t="str">
        <f t="shared" si="10"/>
        <v/>
      </c>
      <c r="AH20" s="149"/>
    </row>
    <row r="21" spans="1:34" ht="15.75" thickBot="1" x14ac:dyDescent="0.3">
      <c r="B21" s="11" t="s">
        <v>103</v>
      </c>
      <c r="C21" s="81" t="s">
        <v>66</v>
      </c>
      <c r="D21" s="83">
        <f>+'VZLA BFS'!D21+'VZLA VIT. bls '!D20+'VZLA Otros BLS'!D21</f>
        <v>0</v>
      </c>
      <c r="E21" s="126" t="e">
        <f t="shared" si="13"/>
        <v>#DIV/0!</v>
      </c>
      <c r="F21" s="83">
        <f>+'VZLA BFS'!F21+'VZLA VIT. bls '!F20+'VZLA Otros BLS'!F21</f>
        <v>1076255144.6700001</v>
      </c>
      <c r="G21" s="126">
        <f t="shared" si="14"/>
        <v>0.31528409732349877</v>
      </c>
      <c r="H21" s="83">
        <f>+'VZLA BFS'!H21+'VZLA VIT. bls '!H20+'VZLA Otros BLS'!H21</f>
        <v>6365.5399999999991</v>
      </c>
      <c r="I21" s="127">
        <f t="shared" si="15"/>
        <v>0.24186937577916934</v>
      </c>
      <c r="J21" s="421" t="str">
        <f t="shared" si="6"/>
        <v/>
      </c>
      <c r="K21" s="421">
        <f t="shared" si="7"/>
        <v>-0.99999408547310409</v>
      </c>
      <c r="L21" s="83">
        <f>+'VZLA BFS'!L21+'VZLA VIT. bls '!L20+'VZLA Otros BLS'!L21</f>
        <v>0</v>
      </c>
      <c r="M21" s="126" t="e">
        <f t="shared" si="16"/>
        <v>#DIV/0!</v>
      </c>
      <c r="N21" s="83">
        <f>+'VZLA BFS'!N21+'VZLA VIT. bls '!N20+'VZLA Otros BLS'!N21</f>
        <v>2406040982.8800001</v>
      </c>
      <c r="O21" s="126">
        <f t="shared" si="17"/>
        <v>0.22093283341210254</v>
      </c>
      <c r="P21" s="83">
        <f>+'VZLA BFS'!P21+'VZLA VIT. bls '!P20+'VZLA Otros BLS'!P21</f>
        <v>13383.65</v>
      </c>
      <c r="Q21" s="127">
        <f t="shared" si="18"/>
        <v>0.11016707161367947</v>
      </c>
      <c r="R21" s="128" t="str">
        <f t="shared" si="8"/>
        <v/>
      </c>
      <c r="S21" s="148">
        <f t="shared" si="9"/>
        <v>-0.99999443748045225</v>
      </c>
      <c r="T21" s="598">
        <v>274824</v>
      </c>
      <c r="U21" s="442">
        <v>67780</v>
      </c>
      <c r="V21" s="442">
        <v>221142</v>
      </c>
      <c r="W21" s="81" t="s">
        <v>67</v>
      </c>
      <c r="X21" s="90">
        <f>+'VZLA BFS'!X21</f>
        <v>0</v>
      </c>
      <c r="Y21" s="90">
        <f>+'VZLA BFS'!Y21</f>
        <v>0</v>
      </c>
      <c r="Z21" s="91">
        <f>+'VZLA BFS'!Z21</f>
        <v>0</v>
      </c>
      <c r="AA21" s="261">
        <f>+'VZLA BFS'!AA21</f>
        <v>0</v>
      </c>
      <c r="AB21" s="90"/>
      <c r="AC21" s="262">
        <f>+'VZLA BFS'!AC21</f>
        <v>0</v>
      </c>
      <c r="AD21" s="85">
        <f t="shared" si="19"/>
        <v>0</v>
      </c>
      <c r="AE21" s="86" t="str">
        <f t="shared" si="11"/>
        <v/>
      </c>
      <c r="AF21" s="86" t="str">
        <f t="shared" si="10"/>
        <v/>
      </c>
    </row>
    <row r="22" spans="1:34" ht="15.75" thickBot="1" x14ac:dyDescent="0.3">
      <c r="B22" s="11"/>
      <c r="C22" s="112" t="s">
        <v>68</v>
      </c>
      <c r="D22" s="117">
        <f>SUM(D20:D21)</f>
        <v>0</v>
      </c>
      <c r="E22" s="113" t="e">
        <f t="shared" si="13"/>
        <v>#DIV/0!</v>
      </c>
      <c r="F22" s="117">
        <f>SUM(F20:F21)</f>
        <v>1125593213.1300001</v>
      </c>
      <c r="G22" s="113">
        <f t="shared" si="14"/>
        <v>0.32973746226686979</v>
      </c>
      <c r="H22" s="117">
        <f>SUM(H20:H21)</f>
        <v>6759.7799999999988</v>
      </c>
      <c r="I22" s="115">
        <f t="shared" si="15"/>
        <v>0.25684918624413849</v>
      </c>
      <c r="J22" s="419" t="str">
        <f t="shared" si="6"/>
        <v/>
      </c>
      <c r="K22" s="419">
        <f t="shared" si="7"/>
        <v>-0.99999399447338422</v>
      </c>
      <c r="L22" s="117">
        <f>SUM(L20:L21)</f>
        <v>0</v>
      </c>
      <c r="M22" s="113" t="e">
        <f t="shared" si="16"/>
        <v>#DIV/0!</v>
      </c>
      <c r="N22" s="117">
        <f>SUM(N20:N21)</f>
        <v>2560997932.3900003</v>
      </c>
      <c r="O22" s="113">
        <f t="shared" si="17"/>
        <v>0.23516163423292707</v>
      </c>
      <c r="P22" s="117">
        <f>SUM(P20:P21)</f>
        <v>14889.02</v>
      </c>
      <c r="Q22" s="115">
        <f t="shared" si="18"/>
        <v>0.12255847490015849</v>
      </c>
      <c r="R22" s="116" t="str">
        <f t="shared" si="8"/>
        <v/>
      </c>
      <c r="S22" s="370">
        <f t="shared" si="9"/>
        <v>-0.99999418624286585</v>
      </c>
      <c r="T22" s="442">
        <v>684608</v>
      </c>
      <c r="U22" s="442">
        <v>322876</v>
      </c>
      <c r="V22" s="442">
        <v>515156</v>
      </c>
      <c r="W22" s="73" t="s">
        <v>69</v>
      </c>
      <c r="X22" s="75">
        <f>+X17-X19-X18</f>
        <v>236652</v>
      </c>
      <c r="Y22" s="75">
        <f>+Y17-Y19-Y18</f>
        <v>1176173402.72</v>
      </c>
      <c r="Z22" s="74">
        <f>+Z17-Z19-Z18+Z20</f>
        <v>7587.3699999999981</v>
      </c>
      <c r="AA22" s="278">
        <f>+AA17-AA19-AA18-AA20</f>
        <v>236652</v>
      </c>
      <c r="AB22" s="279">
        <f>+AB17-AB19-AB18-AB20</f>
        <v>1176173402.7199993</v>
      </c>
      <c r="AC22" s="599">
        <f>+AC17-AC19-AC18+AC20</f>
        <v>7587.3699999999972</v>
      </c>
      <c r="AD22" s="76">
        <f t="shared" ref="AD22" si="20">Z22-X22</f>
        <v>-229064.63</v>
      </c>
      <c r="AE22" s="77">
        <f t="shared" ref="AE22" si="21">IF(X22=0,"",(Z22-X22)/ABS(X22)+1)</f>
        <v>3.2061296756418667E-2</v>
      </c>
      <c r="AF22" s="77">
        <f t="shared" ref="AF22" si="22">IF(Y22=0,"",(Z22-Y22)/ABS(Y22))</f>
        <v>-0.99999354910595462</v>
      </c>
    </row>
    <row r="23" spans="1:34" x14ac:dyDescent="0.25">
      <c r="B23" s="11" t="s">
        <v>104</v>
      </c>
      <c r="C23" s="81" t="s">
        <v>70</v>
      </c>
      <c r="D23" s="83">
        <f>+'VZLA BFS'!D23+'VZLA VIT. bls '!D22+'VZLA Otros BLS'!D23</f>
        <v>0</v>
      </c>
      <c r="E23" s="126" t="e">
        <f t="shared" si="13"/>
        <v>#DIV/0!</v>
      </c>
      <c r="F23" s="83">
        <f>+'VZLA BFS'!F23+'VZLA VIT. bls '!F22+'VZLA Otros BLS'!F23</f>
        <v>1223875339.3499999</v>
      </c>
      <c r="G23" s="126">
        <f t="shared" si="14"/>
        <v>0.35852876849361764</v>
      </c>
      <c r="H23" s="83">
        <f>+'VZLA BFS'!H23+'VZLA VIT. bls '!H22+'VZLA Otros BLS'!H23</f>
        <v>8975.76</v>
      </c>
      <c r="I23" s="127">
        <f t="shared" si="15"/>
        <v>0.3410490654906948</v>
      </c>
      <c r="J23" s="421" t="str">
        <f t="shared" si="6"/>
        <v/>
      </c>
      <c r="K23" s="421">
        <f t="shared" si="7"/>
        <v>-0.9999926661158115</v>
      </c>
      <c r="L23" s="83">
        <f>+'VZLA BFS'!L23+'VZLA VIT. bls '!L22+'VZLA Otros BLS'!L23</f>
        <v>0</v>
      </c>
      <c r="M23" s="126" t="e">
        <f t="shared" si="16"/>
        <v>#DIV/0!</v>
      </c>
      <c r="N23" s="83">
        <f>+'VZLA BFS'!N23+'VZLA VIT. bls '!N22+'VZLA Otros BLS'!N23</f>
        <v>4241134224.8600006</v>
      </c>
      <c r="O23" s="126">
        <f t="shared" si="17"/>
        <v>0.38943883659777784</v>
      </c>
      <c r="P23" s="83">
        <f>+'VZLA BFS'!P23+'VZLA VIT. bls '!P22+'VZLA Otros BLS'!P23</f>
        <v>42920.42</v>
      </c>
      <c r="Q23" s="127">
        <f t="shared" si="18"/>
        <v>0.35329801540156841</v>
      </c>
      <c r="R23" s="128" t="str">
        <f t="shared" si="8"/>
        <v/>
      </c>
      <c r="S23" s="148">
        <f t="shared" si="9"/>
        <v>-0.99998987996660227</v>
      </c>
      <c r="T23" s="442">
        <v>559344</v>
      </c>
      <c r="U23" s="442">
        <v>465412</v>
      </c>
      <c r="V23" s="442">
        <v>516407</v>
      </c>
    </row>
    <row r="24" spans="1:34" x14ac:dyDescent="0.25">
      <c r="A24" s="11" t="s">
        <v>105</v>
      </c>
      <c r="B24" s="11" t="s">
        <v>106</v>
      </c>
      <c r="C24" s="81" t="s">
        <v>72</v>
      </c>
      <c r="D24" s="83">
        <f>+'VZLA BFS'!D24+'VZLA VIT. bls '!D23+'VZLA Otros BLS'!D24</f>
        <v>0</v>
      </c>
      <c r="E24" s="126" t="e">
        <f t="shared" si="13"/>
        <v>#DIV/0!</v>
      </c>
      <c r="F24" s="83">
        <f>+'VZLA BFS'!F24+'VZLA VIT. bls '!F23+'VZLA Otros BLS'!F24</f>
        <v>692907183.88</v>
      </c>
      <c r="G24" s="126">
        <f t="shared" si="14"/>
        <v>0.20298403875742502</v>
      </c>
      <c r="H24" s="83">
        <f>+'VZLA BFS'!H24+'VZLA VIT. bls '!H23+'VZLA Otros BLS'!H24</f>
        <v>1990.9</v>
      </c>
      <c r="I24" s="127">
        <f t="shared" si="15"/>
        <v>7.5647586887954255E-2</v>
      </c>
      <c r="J24" s="421" t="str">
        <f t="shared" si="6"/>
        <v/>
      </c>
      <c r="K24" s="421">
        <f t="shared" si="7"/>
        <v>-0.99999712674360108</v>
      </c>
      <c r="L24" s="83">
        <f>+'VZLA BFS'!L24+'VZLA VIT. bls '!L23+'VZLA Otros BLS'!L24</f>
        <v>0</v>
      </c>
      <c r="M24" s="126" t="e">
        <f t="shared" si="16"/>
        <v>#DIV/0!</v>
      </c>
      <c r="N24" s="83">
        <f>+'VZLA BFS'!N24+'VZLA VIT. bls '!N23+'VZLA Otros BLS'!N24</f>
        <v>2091198841.6500001</v>
      </c>
      <c r="O24" s="126">
        <f t="shared" si="17"/>
        <v>0.19202269977995798</v>
      </c>
      <c r="P24" s="83">
        <f>+'VZLA BFS'!P24+'VZLA VIT. bls '!P23+'VZLA Otros BLS'!P24</f>
        <v>9321.0399999999991</v>
      </c>
      <c r="Q24" s="127">
        <f t="shared" si="18"/>
        <v>7.6725831981109105E-2</v>
      </c>
      <c r="R24" s="128" t="str">
        <f t="shared" si="8"/>
        <v/>
      </c>
      <c r="S24" s="148">
        <f t="shared" si="9"/>
        <v>-0.99999554272897717</v>
      </c>
      <c r="T24" s="442">
        <f>134499+10</f>
        <v>134509</v>
      </c>
      <c r="U24" s="442">
        <v>112080</v>
      </c>
      <c r="V24" s="442">
        <v>138572</v>
      </c>
      <c r="X24" s="466"/>
      <c r="Y24" s="467"/>
      <c r="Z24" s="466"/>
      <c r="AA24" s="466"/>
      <c r="AB24" s="466"/>
      <c r="AC24" s="466"/>
    </row>
    <row r="25" spans="1:34" x14ac:dyDescent="0.25">
      <c r="B25" s="11"/>
      <c r="C25" s="112" t="s">
        <v>73</v>
      </c>
      <c r="D25" s="117">
        <f>SUM(D23:D24)</f>
        <v>0</v>
      </c>
      <c r="E25" s="113" t="e">
        <f t="shared" si="13"/>
        <v>#DIV/0!</v>
      </c>
      <c r="F25" s="117">
        <f>SUM(F23:F24)</f>
        <v>1916782523.23</v>
      </c>
      <c r="G25" s="113">
        <f t="shared" si="14"/>
        <v>0.56151280725104269</v>
      </c>
      <c r="H25" s="117">
        <f>SUM(H23:H24)</f>
        <v>10966.66</v>
      </c>
      <c r="I25" s="115">
        <f t="shared" si="15"/>
        <v>0.41669665237864906</v>
      </c>
      <c r="J25" s="419" t="str">
        <f t="shared" si="6"/>
        <v/>
      </c>
      <c r="K25" s="419">
        <f t="shared" si="7"/>
        <v>-0.99999427861018808</v>
      </c>
      <c r="L25" s="117">
        <f>SUM(L23:L24)</f>
        <v>0</v>
      </c>
      <c r="M25" s="113" t="e">
        <f t="shared" si="16"/>
        <v>#DIV/0!</v>
      </c>
      <c r="N25" s="117">
        <f>SUM(N23:N24)</f>
        <v>6332333066.5100002</v>
      </c>
      <c r="O25" s="113">
        <f t="shared" si="17"/>
        <v>0.58146153637773579</v>
      </c>
      <c r="P25" s="117">
        <f>SUM(P23:P24)</f>
        <v>52241.46</v>
      </c>
      <c r="Q25" s="115">
        <f t="shared" si="18"/>
        <v>0.43002384738267752</v>
      </c>
      <c r="R25" s="116" t="str">
        <f t="shared" si="8"/>
        <v/>
      </c>
      <c r="S25" s="370">
        <f t="shared" si="9"/>
        <v>-0.99999175004544905</v>
      </c>
      <c r="T25" s="442">
        <v>727464</v>
      </c>
      <c r="U25" s="442">
        <v>577492</v>
      </c>
      <c r="V25" s="442">
        <v>654979</v>
      </c>
      <c r="W25" s="468" t="s">
        <v>74</v>
      </c>
      <c r="X25" s="466"/>
      <c r="Y25" s="466"/>
      <c r="Z25" s="466"/>
      <c r="AA25" s="466"/>
      <c r="AB25" s="466"/>
      <c r="AC25" s="466"/>
      <c r="AF25" s="468"/>
    </row>
    <row r="26" spans="1:34" ht="15.75" thickBot="1" x14ac:dyDescent="0.3">
      <c r="B26" s="11"/>
      <c r="C26" s="112" t="s">
        <v>75</v>
      </c>
      <c r="D26" s="117">
        <f>D22+D25</f>
        <v>0</v>
      </c>
      <c r="E26" s="113" t="e">
        <f t="shared" si="13"/>
        <v>#DIV/0!</v>
      </c>
      <c r="F26" s="117">
        <f>+F22+F25</f>
        <v>3042375736.3600001</v>
      </c>
      <c r="G26" s="113">
        <f t="shared" si="14"/>
        <v>0.89125026951791253</v>
      </c>
      <c r="H26" s="117">
        <f>H22+H25</f>
        <v>17726.439999999999</v>
      </c>
      <c r="I26" s="115">
        <f t="shared" si="15"/>
        <v>0.6735458386227875</v>
      </c>
      <c r="J26" s="419" t="str">
        <f t="shared" si="6"/>
        <v/>
      </c>
      <c r="K26" s="419">
        <f t="shared" si="7"/>
        <v>-0.99999417348758468</v>
      </c>
      <c r="L26" s="117">
        <f>L22+L25</f>
        <v>0</v>
      </c>
      <c r="M26" s="113" t="e">
        <f t="shared" si="16"/>
        <v>#DIV/0!</v>
      </c>
      <c r="N26" s="117">
        <f>N22+N25</f>
        <v>8893330998.9000015</v>
      </c>
      <c r="O26" s="113">
        <f t="shared" si="17"/>
        <v>0.81662317061066292</v>
      </c>
      <c r="P26" s="117">
        <f>P22+P25</f>
        <v>67130.48</v>
      </c>
      <c r="Q26" s="115">
        <f t="shared" si="18"/>
        <v>0.55258232228283599</v>
      </c>
      <c r="R26" s="116" t="str">
        <f t="shared" si="8"/>
        <v/>
      </c>
      <c r="S26" s="370">
        <f t="shared" si="9"/>
        <v>-0.99999245159322103</v>
      </c>
      <c r="T26" s="442">
        <v>1412072</v>
      </c>
      <c r="U26" s="442">
        <v>900368</v>
      </c>
      <c r="V26" s="442">
        <v>1170135</v>
      </c>
      <c r="X26" s="466"/>
      <c r="Y26" s="466"/>
      <c r="Z26" s="466"/>
      <c r="AA26" s="466"/>
      <c r="AB26" s="466"/>
      <c r="AC26" s="466"/>
    </row>
    <row r="27" spans="1:34" ht="15.75" thickBot="1" x14ac:dyDescent="0.3">
      <c r="B27" s="11"/>
      <c r="C27" s="73" t="s">
        <v>76</v>
      </c>
      <c r="D27" s="141">
        <f>D19-D26</f>
        <v>0</v>
      </c>
      <c r="E27" s="142" t="e">
        <f t="shared" si="13"/>
        <v>#DIV/0!</v>
      </c>
      <c r="F27" s="141">
        <f>+F19-F26</f>
        <v>371228545.63999987</v>
      </c>
      <c r="G27" s="142">
        <f t="shared" si="14"/>
        <v>0.10874973048208751</v>
      </c>
      <c r="H27" s="141">
        <f>H19-H26</f>
        <v>-46025.409999999996</v>
      </c>
      <c r="I27" s="143">
        <f t="shared" si="15"/>
        <v>-1.7488126987938712</v>
      </c>
      <c r="J27" s="429" t="str">
        <f t="shared" si="6"/>
        <v/>
      </c>
      <c r="K27" s="429">
        <f t="shared" si="7"/>
        <v>-1.0001239813331722</v>
      </c>
      <c r="L27" s="141">
        <f>L19-L26</f>
        <v>0</v>
      </c>
      <c r="M27" s="142" t="e">
        <f t="shared" si="16"/>
        <v>#DIV/0!</v>
      </c>
      <c r="N27" s="141">
        <f>N19-N26</f>
        <v>1997042087.4399986</v>
      </c>
      <c r="O27" s="142">
        <f t="shared" si="17"/>
        <v>0.18337682938933708</v>
      </c>
      <c r="P27" s="141">
        <f>P19-P26</f>
        <v>-262.50999999999476</v>
      </c>
      <c r="Q27" s="145">
        <f t="shared" si="18"/>
        <v>-2.1608423688086898E-3</v>
      </c>
      <c r="R27" s="146" t="str">
        <f t="shared" si="8"/>
        <v/>
      </c>
      <c r="S27" s="146">
        <f t="shared" si="9"/>
        <v>-1.000000131449408</v>
      </c>
      <c r="T27" s="442">
        <v>-112673.8997500001</v>
      </c>
      <c r="U27" s="442">
        <v>99787</v>
      </c>
      <c r="V27" s="442">
        <v>367865.5120000001</v>
      </c>
    </row>
    <row r="28" spans="1:34" x14ac:dyDescent="0.25">
      <c r="B28" s="11" t="s">
        <v>107</v>
      </c>
      <c r="C28" s="81" t="s">
        <v>77</v>
      </c>
      <c r="D28" s="83"/>
      <c r="E28" s="126" t="e">
        <f t="shared" si="13"/>
        <v>#DIV/0!</v>
      </c>
      <c r="F28" s="83">
        <f>+'VZLA BFS'!F28+'VZLA VIT. bls '!F27+'VZLA Otros BLS'!F28</f>
        <v>0</v>
      </c>
      <c r="G28" s="126">
        <f t="shared" si="14"/>
        <v>0</v>
      </c>
      <c r="H28" s="83">
        <f>+'VZLA BFS'!H28+'VZLA VIT. bls '!H27+'VZLA Otros BLS'!H28</f>
        <v>0</v>
      </c>
      <c r="I28" s="127">
        <f t="shared" si="15"/>
        <v>0</v>
      </c>
      <c r="J28" s="421" t="str">
        <f t="shared" si="6"/>
        <v/>
      </c>
      <c r="K28" s="421"/>
      <c r="L28" s="83">
        <f>+'VZLA BFS'!L28+'VZLA VIT. bls '!L27+'VZLA Otros BLS'!L28</f>
        <v>0</v>
      </c>
      <c r="M28" s="126" t="e">
        <f>+L28/$L$17</f>
        <v>#DIV/0!</v>
      </c>
      <c r="N28" s="83">
        <f>+'VZLA BFS'!N28+'VZLA VIT. bls '!N27+'VZLA Otros BLS'!N28</f>
        <v>0</v>
      </c>
      <c r="O28" s="126">
        <f>+N28/$N$17</f>
        <v>0</v>
      </c>
      <c r="P28" s="83">
        <f>+'VZLA BFS'!P28+'VZLA VIT. bls '!P27+'VZLA Otros BLS'!P28</f>
        <v>0</v>
      </c>
      <c r="Q28" s="127">
        <f t="shared" si="18"/>
        <v>0</v>
      </c>
      <c r="R28" s="148" t="str">
        <f>IF(L28=0,"",(P28-L28)/ABS(L28)+1)</f>
        <v/>
      </c>
      <c r="S28" s="148" t="str">
        <f>IF(N28=0,"",(P28-N28)/ABS(N28))</f>
        <v/>
      </c>
      <c r="T28" s="442">
        <v>0</v>
      </c>
      <c r="U28" s="442">
        <v>-2238</v>
      </c>
      <c r="V28" s="442">
        <v>1940</v>
      </c>
    </row>
    <row r="29" spans="1:34" ht="15.75" thickBot="1" x14ac:dyDescent="0.3">
      <c r="B29" s="11" t="s">
        <v>108</v>
      </c>
      <c r="C29" s="81" t="s">
        <v>78</v>
      </c>
      <c r="D29" s="83"/>
      <c r="E29" s="126" t="e">
        <f t="shared" si="13"/>
        <v>#DIV/0!</v>
      </c>
      <c r="F29" s="83">
        <f>+'VZLA BFS'!F29+'VZLA VIT. bls '!F28+'VZLA Otros BLS'!F29</f>
        <v>54717109.119999997</v>
      </c>
      <c r="G29" s="126">
        <f t="shared" si="14"/>
        <v>1.6029130678246552E-2</v>
      </c>
      <c r="H29" s="83">
        <f>+'VZLA BFS'!H29+'VZLA VIT. bls '!H28+'VZLA Otros BLS'!H29</f>
        <v>1432.13</v>
      </c>
      <c r="I29" s="127">
        <f t="shared" si="15"/>
        <v>5.4416182937287623E-2</v>
      </c>
      <c r="J29" s="421" t="str">
        <f t="shared" si="6"/>
        <v/>
      </c>
      <c r="K29" s="421">
        <f t="shared" si="7"/>
        <v>-0.99997382665087697</v>
      </c>
      <c r="L29" s="83">
        <f>+'VZLA BFS'!L29+'VZLA VIT. bls '!L28+'VZLA Otros BLS'!L29</f>
        <v>0</v>
      </c>
      <c r="M29" s="126" t="e">
        <f>+L29/$L$17</f>
        <v>#DIV/0!</v>
      </c>
      <c r="N29" s="83">
        <f>+'VZLA BFS'!N29+'VZLA VIT. bls '!N28+'VZLA Otros BLS'!N29</f>
        <v>145132664.41</v>
      </c>
      <c r="O29" s="126">
        <f>+N29/$N$17</f>
        <v>1.3326693517235201E-2</v>
      </c>
      <c r="P29" s="83">
        <f>+'VZLA BFS'!P29+'VZLA VIT. bls '!P28+'VZLA Otros BLS'!P29</f>
        <v>2277.4</v>
      </c>
      <c r="Q29" s="127">
        <f t="shared" si="18"/>
        <v>1.874634265637503E-2</v>
      </c>
      <c r="R29" s="148" t="str">
        <f>IF(L29=0,"",(P29-L29)/ABS(L29)+1)</f>
        <v/>
      </c>
      <c r="S29" s="148">
        <f>IF(N29=0,"",(P29-N29)/ABS(N29))</f>
        <v>-0.99998430815000006</v>
      </c>
      <c r="T29" s="442">
        <v>0</v>
      </c>
      <c r="U29" s="442"/>
      <c r="V29" s="442">
        <f>7334-23</f>
        <v>7311</v>
      </c>
    </row>
    <row r="30" spans="1:34" ht="15.75" thickBot="1" x14ac:dyDescent="0.3">
      <c r="B30" s="11"/>
      <c r="C30" s="73" t="s">
        <v>79</v>
      </c>
      <c r="D30" s="141">
        <f>D27+D28-D29</f>
        <v>0</v>
      </c>
      <c r="E30" s="142" t="e">
        <f t="shared" si="13"/>
        <v>#DIV/0!</v>
      </c>
      <c r="F30" s="141">
        <f>+F27+F28-F29</f>
        <v>316511436.51999986</v>
      </c>
      <c r="G30" s="142">
        <f t="shared" si="14"/>
        <v>9.2720599803840967E-2</v>
      </c>
      <c r="H30" s="141">
        <f>H27+H28-H29</f>
        <v>-47457.539999999994</v>
      </c>
      <c r="I30" s="143">
        <f t="shared" si="15"/>
        <v>-1.8032288817311588</v>
      </c>
      <c r="J30" s="429" t="str">
        <f t="shared" si="6"/>
        <v/>
      </c>
      <c r="K30" s="429">
        <f t="shared" si="7"/>
        <v>-1.0001499394161608</v>
      </c>
      <c r="L30" s="141">
        <f>L27+L28-L29</f>
        <v>0</v>
      </c>
      <c r="M30" s="142" t="e">
        <f t="shared" si="16"/>
        <v>#DIV/0!</v>
      </c>
      <c r="N30" s="141">
        <f>N27+N28-N29</f>
        <v>1851909423.0299985</v>
      </c>
      <c r="O30" s="142">
        <f t="shared" si="17"/>
        <v>0.17005013587210188</v>
      </c>
      <c r="P30" s="141">
        <f>P27+P28-P29</f>
        <v>-2539.9099999999949</v>
      </c>
      <c r="Q30" s="143">
        <f t="shared" si="18"/>
        <v>-2.0907185025183718E-2</v>
      </c>
      <c r="R30" s="144" t="str">
        <f t="shared" si="8"/>
        <v/>
      </c>
      <c r="S30" s="146">
        <f t="shared" si="9"/>
        <v>-1.0000013715087619</v>
      </c>
      <c r="T30" s="442">
        <v>-112673.8997500001</v>
      </c>
      <c r="U30" s="442">
        <v>97549</v>
      </c>
      <c r="V30" s="442">
        <v>362481.5120000001</v>
      </c>
    </row>
    <row r="31" spans="1:34" ht="15.75" thickBot="1" x14ac:dyDescent="0.3">
      <c r="B31" s="11" t="s">
        <v>109</v>
      </c>
      <c r="C31" s="81" t="s">
        <v>63</v>
      </c>
      <c r="D31" s="117">
        <f>+'VZLA BFS'!D31+'VZLA VIT. bls '!D30+'VZLA Otros BLS'!D31</f>
        <v>0</v>
      </c>
      <c r="E31" s="430" t="e">
        <f t="shared" si="13"/>
        <v>#DIV/0!</v>
      </c>
      <c r="F31" s="117">
        <f>+'VZLA BFS'!F31+'VZLA VIT. bls '!F30+'VZLA Otros BLS'!F31</f>
        <v>0</v>
      </c>
      <c r="G31" s="430">
        <f t="shared" si="14"/>
        <v>0</v>
      </c>
      <c r="H31" s="117">
        <f>+'VZLA BFS'!H31+'VZLA VIT. bls '!H30+'VZLA Otros BLS'!H31</f>
        <v>0</v>
      </c>
      <c r="I31" s="431">
        <f t="shared" si="15"/>
        <v>0</v>
      </c>
      <c r="J31" s="432" t="str">
        <f t="shared" si="6"/>
        <v/>
      </c>
      <c r="K31" s="432" t="str">
        <f t="shared" si="7"/>
        <v/>
      </c>
      <c r="L31" s="83">
        <f>+'VZLA BFS'!L31+'VZLA VIT. bls '!L30+'VZLA Otros BLS'!L31</f>
        <v>0</v>
      </c>
      <c r="M31" s="430" t="e">
        <f t="shared" si="16"/>
        <v>#DIV/0!</v>
      </c>
      <c r="N31" s="117">
        <f>+'VZLA BFS'!N31+'VZLA VIT. bls '!N30+'VZLA Otros BLS'!N31</f>
        <v>19797676.789999999</v>
      </c>
      <c r="O31" s="430">
        <f t="shared" si="17"/>
        <v>1.8179062033083695E-3</v>
      </c>
      <c r="P31" s="83">
        <f>+'VZLA BFS'!P31+'VZLA VIT. bls '!P30+'VZLA Otros BLS'!P31</f>
        <v>0</v>
      </c>
      <c r="Q31" s="431">
        <f t="shared" si="18"/>
        <v>0</v>
      </c>
      <c r="R31" s="433" t="str">
        <f t="shared" si="8"/>
        <v/>
      </c>
      <c r="S31" s="433">
        <f t="shared" si="9"/>
        <v>-1</v>
      </c>
      <c r="T31" s="442">
        <v>-19632</v>
      </c>
      <c r="U31" s="442">
        <v>33166.660000000003</v>
      </c>
      <c r="V31" s="442"/>
    </row>
    <row r="32" spans="1:34" ht="15.75" thickBot="1" x14ac:dyDescent="0.3">
      <c r="B32" s="11"/>
      <c r="C32" s="73" t="s">
        <v>80</v>
      </c>
      <c r="D32" s="141">
        <f>D30-D31</f>
        <v>0</v>
      </c>
      <c r="E32" s="142" t="e">
        <f t="shared" si="13"/>
        <v>#DIV/0!</v>
      </c>
      <c r="F32" s="141">
        <f>F30-F31</f>
        <v>316511436.51999986</v>
      </c>
      <c r="G32" s="142">
        <f t="shared" si="14"/>
        <v>9.2720599803840967E-2</v>
      </c>
      <c r="H32" s="141">
        <f>+H30-H31</f>
        <v>-47457.539999999994</v>
      </c>
      <c r="I32" s="143">
        <f t="shared" si="15"/>
        <v>-1.8032288817311588</v>
      </c>
      <c r="J32" s="429" t="str">
        <f t="shared" si="6"/>
        <v/>
      </c>
      <c r="K32" s="429">
        <f t="shared" si="7"/>
        <v>-1.0001499394161608</v>
      </c>
      <c r="L32" s="141">
        <f>L30-L31</f>
        <v>0</v>
      </c>
      <c r="M32" s="142" t="e">
        <f t="shared" si="16"/>
        <v>#DIV/0!</v>
      </c>
      <c r="N32" s="141">
        <f>N30-N31</f>
        <v>1832111746.2399986</v>
      </c>
      <c r="O32" s="142">
        <f>+N32/$N$17</f>
        <v>0.1682322296687935</v>
      </c>
      <c r="P32" s="141">
        <f>P30-P31</f>
        <v>-2539.9099999999949</v>
      </c>
      <c r="Q32" s="143">
        <f t="shared" si="18"/>
        <v>-2.0907185025183718E-2</v>
      </c>
      <c r="R32" s="144" t="str">
        <f t="shared" si="8"/>
        <v/>
      </c>
      <c r="S32" s="146">
        <f t="shared" si="9"/>
        <v>-1.0000013863291939</v>
      </c>
      <c r="T32" s="442">
        <v>-74364.773835000058</v>
      </c>
      <c r="U32" s="442">
        <v>64382.34</v>
      </c>
      <c r="V32" s="442">
        <v>239237.79792000004</v>
      </c>
    </row>
    <row r="33" spans="2:22" ht="15.75" thickBot="1" x14ac:dyDescent="0.3">
      <c r="B33" s="11"/>
      <c r="C33" s="73" t="s">
        <v>82</v>
      </c>
      <c r="D33" s="141">
        <f>+'VZLA BFS'!D33+'VZLA VIT. bls '!D32+'VZLA Otros BLS'!D33</f>
        <v>0</v>
      </c>
      <c r="E33" s="142" t="e">
        <f t="shared" si="13"/>
        <v>#DIV/0!</v>
      </c>
      <c r="F33" s="141">
        <f>+'VZLA BFS'!F33+'VZLA VIT. bls '!F32+'VZLA Otros BLS'!F33</f>
        <v>316511436.51999986</v>
      </c>
      <c r="G33" s="142">
        <f t="shared" si="14"/>
        <v>9.2720599803840967E-2</v>
      </c>
      <c r="H33" s="141">
        <f>+'VZLA BFS'!H33+'VZLA VIT. bls '!H32+'VZLA Otros BLS'!H33</f>
        <v>-47457.539999999994</v>
      </c>
      <c r="I33" s="143">
        <f t="shared" si="15"/>
        <v>-1.8032288817311588</v>
      </c>
      <c r="J33" s="429" t="str">
        <f t="shared" si="6"/>
        <v/>
      </c>
      <c r="K33" s="429">
        <f t="shared" si="7"/>
        <v>-1.0001499394161608</v>
      </c>
      <c r="L33" s="141">
        <f>+'VZLA BFS'!L33+'VZLA VIT. bls '!L32+'VZLA Otros BLS'!L33</f>
        <v>0</v>
      </c>
      <c r="M33" s="142" t="e">
        <f t="shared" si="16"/>
        <v>#DIV/0!</v>
      </c>
      <c r="N33" s="141">
        <f>+'VZLA BFS'!N33+'VZLA VIT. bls '!N32+'VZLA Otros BLS'!N33</f>
        <v>1832111746.2399986</v>
      </c>
      <c r="O33" s="142">
        <f>+N33/$N$17</f>
        <v>0.1682322296687935</v>
      </c>
      <c r="P33" s="141">
        <f>+'VZLA BFS'!P33+'VZLA VIT. bls '!P32+'VZLA Otros BLS'!P33</f>
        <v>-2539.9099999999949</v>
      </c>
      <c r="Q33" s="143">
        <f t="shared" si="18"/>
        <v>-2.0907185025183718E-2</v>
      </c>
      <c r="R33" s="144" t="str">
        <f t="shared" si="8"/>
        <v/>
      </c>
      <c r="S33" s="146">
        <f t="shared" si="9"/>
        <v>-1.0000013863291939</v>
      </c>
      <c r="T33" s="442">
        <v>27414</v>
      </c>
      <c r="U33" s="442">
        <f>151353+2238</f>
        <v>153591</v>
      </c>
      <c r="V33" s="442">
        <v>397406</v>
      </c>
    </row>
    <row r="34" spans="2:22" ht="15.75" thickBot="1" x14ac:dyDescent="0.3">
      <c r="B34" s="11" t="s">
        <v>110</v>
      </c>
      <c r="C34" s="153" t="s">
        <v>46</v>
      </c>
      <c r="D34" s="158">
        <f>+'VZLA BFS'!D34+'VZLA VIT. bls '!D33+'VZLA Otros BLS'!D34</f>
        <v>0</v>
      </c>
      <c r="E34" s="155" t="e">
        <f t="shared" si="13"/>
        <v>#DIV/0!</v>
      </c>
      <c r="F34" s="158">
        <f>+'VZLA BFS'!F34+'VZLA VIT. bls '!F33+'VZLA Otros BLS'!F34</f>
        <v>861800783.35000014</v>
      </c>
      <c r="G34" s="155">
        <f t="shared" si="14"/>
        <v>0.25246065804823714</v>
      </c>
      <c r="H34" s="158">
        <f>+'VZLA BFS'!H34+'VZLA VIT. bls '!H33+'VZLA Otros BLS'!H34</f>
        <v>4589.76</v>
      </c>
      <c r="I34" s="156">
        <f t="shared" si="15"/>
        <v>0.17439563433364655</v>
      </c>
      <c r="J34" s="473" t="str">
        <f t="shared" si="6"/>
        <v/>
      </c>
      <c r="K34" s="473">
        <f t="shared" si="7"/>
        <v>-0.9999946742215966</v>
      </c>
      <c r="L34" s="158">
        <f>+'VZLA BFS'!L34+'VZLA VIT. bls '!L33+'VZLA Otros BLS'!L34</f>
        <v>0</v>
      </c>
      <c r="M34" s="155" t="e">
        <f t="shared" si="16"/>
        <v>#DIV/0!</v>
      </c>
      <c r="N34" s="158">
        <f>+'VZLA BFS'!N34+'VZLA VIT. bls '!N33+'VZLA Otros BLS'!N34</f>
        <v>2665482636.0599999</v>
      </c>
      <c r="O34" s="155">
        <f>+N34/$N$17</f>
        <v>0.24475586051348094</v>
      </c>
      <c r="P34" s="158">
        <f>+'VZLA BFS'!P34+'VZLA VIT. bls '!P33+'VZLA Otros BLS'!P34</f>
        <v>30077.54</v>
      </c>
      <c r="Q34" s="159">
        <f t="shared" si="18"/>
        <v>0.2475822741287548</v>
      </c>
      <c r="R34" s="160" t="str">
        <f t="shared" si="8"/>
        <v/>
      </c>
      <c r="S34" s="160">
        <f t="shared" si="9"/>
        <v>-0.99998871591223548</v>
      </c>
      <c r="T34" s="442">
        <v>550333</v>
      </c>
      <c r="U34" s="442">
        <f>285769+15000-789</f>
        <v>299980</v>
      </c>
      <c r="V34" s="442">
        <v>547719</v>
      </c>
    </row>
    <row r="35" spans="2:22" s="600" customFormat="1" x14ac:dyDescent="0.25">
      <c r="C35" s="601"/>
      <c r="D35" s="87">
        <f>+'VZLA BFS'!D32+'VZLA VIT. bls '!D31+'VZLA Otros BLS'!D32</f>
        <v>0</v>
      </c>
      <c r="E35" s="87"/>
      <c r="F35" s="87"/>
      <c r="G35" s="602"/>
      <c r="H35" s="602"/>
      <c r="I35" s="602"/>
      <c r="J35" s="602"/>
      <c r="K35" s="602"/>
      <c r="L35" s="602"/>
      <c r="M35" s="602"/>
      <c r="N35" s="602"/>
      <c r="O35" s="602"/>
      <c r="P35" s="602"/>
      <c r="Q35" s="602"/>
      <c r="S35" s="602"/>
      <c r="T35" s="603"/>
      <c r="U35" s="603"/>
      <c r="V35" s="604"/>
    </row>
    <row r="36" spans="2:22" s="600" customFormat="1" x14ac:dyDescent="0.25">
      <c r="D36" s="87"/>
      <c r="E36" s="87"/>
      <c r="F36" s="87"/>
      <c r="G36" s="602"/>
      <c r="H36" s="602"/>
      <c r="I36" s="602"/>
      <c r="J36" s="602"/>
      <c r="K36" s="602"/>
      <c r="L36" s="602"/>
      <c r="M36" s="602"/>
      <c r="N36" s="602"/>
      <c r="O36" s="602"/>
      <c r="P36" s="602"/>
      <c r="Q36" s="602"/>
      <c r="S36" s="602"/>
      <c r="T36" s="603"/>
      <c r="U36" s="603"/>
      <c r="V36" s="604"/>
    </row>
    <row r="37" spans="2:22" s="600" customFormat="1" x14ac:dyDescent="0.25">
      <c r="C37" s="600" t="s">
        <v>178</v>
      </c>
      <c r="D37" s="87"/>
      <c r="E37" s="87"/>
      <c r="F37" s="87"/>
      <c r="G37" s="602"/>
      <c r="H37" s="602"/>
      <c r="I37" s="602"/>
      <c r="J37" s="602"/>
      <c r="K37" s="602"/>
      <c r="L37" s="602"/>
      <c r="M37" s="602"/>
      <c r="N37" s="602"/>
      <c r="O37" s="602"/>
      <c r="P37" s="602"/>
      <c r="Q37" s="602"/>
      <c r="T37" s="603"/>
      <c r="U37" s="603"/>
      <c r="V37" s="604"/>
    </row>
    <row r="38" spans="2:22" s="600" customFormat="1" x14ac:dyDescent="0.25">
      <c r="D38" s="602"/>
      <c r="E38" s="602"/>
      <c r="F38" s="602"/>
      <c r="G38" s="602"/>
      <c r="H38" s="602"/>
      <c r="I38" s="602"/>
      <c r="J38" s="602"/>
      <c r="K38" s="602"/>
      <c r="L38" s="602"/>
      <c r="N38" s="602"/>
      <c r="P38" s="602"/>
      <c r="T38" s="604"/>
      <c r="U38" s="604"/>
      <c r="V38" s="604"/>
    </row>
    <row r="39" spans="2:22" s="600" customFormat="1" x14ac:dyDescent="0.25">
      <c r="D39" s="602"/>
      <c r="E39" s="602"/>
      <c r="F39" s="602"/>
      <c r="G39" s="602"/>
      <c r="H39" s="602"/>
      <c r="I39" s="602"/>
      <c r="J39" s="602"/>
      <c r="K39" s="602"/>
      <c r="L39" s="602"/>
      <c r="N39" s="602"/>
      <c r="P39" s="602"/>
      <c r="T39" s="604"/>
      <c r="U39" s="604"/>
      <c r="V39" s="604"/>
    </row>
    <row r="40" spans="2:22" s="600" customFormat="1" x14ac:dyDescent="0.25">
      <c r="D40" s="602"/>
      <c r="E40" s="602"/>
      <c r="F40" s="602"/>
      <c r="G40" s="602"/>
      <c r="H40" s="602"/>
      <c r="I40" s="602"/>
      <c r="J40" s="602"/>
      <c r="K40" s="602"/>
      <c r="L40" s="602"/>
      <c r="M40" s="602"/>
      <c r="N40" s="602"/>
      <c r="P40" s="602"/>
      <c r="T40" s="604"/>
      <c r="U40" s="604"/>
      <c r="V40" s="604"/>
    </row>
    <row r="41" spans="2:22" s="392" customFormat="1" x14ac:dyDescent="0.25">
      <c r="D41" s="605"/>
      <c r="E41" s="605"/>
      <c r="F41" s="605"/>
      <c r="G41" s="605"/>
      <c r="H41" s="605"/>
      <c r="I41" s="605"/>
      <c r="J41" s="605"/>
      <c r="K41" s="605"/>
      <c r="L41" s="605"/>
      <c r="M41" s="605"/>
      <c r="N41" s="140"/>
      <c r="P41" s="605"/>
      <c r="V41" s="606"/>
    </row>
    <row r="42" spans="2:22" s="392" customFormat="1" x14ac:dyDescent="0.25">
      <c r="D42" s="605"/>
      <c r="E42" s="605"/>
      <c r="F42" s="605"/>
      <c r="G42" s="605"/>
      <c r="H42" s="605"/>
      <c r="I42" s="605"/>
      <c r="J42" s="605"/>
      <c r="K42" s="605"/>
      <c r="L42" s="605"/>
      <c r="M42" s="605"/>
      <c r="N42" s="140"/>
      <c r="P42" s="605"/>
      <c r="V42" s="606"/>
    </row>
    <row r="43" spans="2:22" s="392" customFormat="1" x14ac:dyDescent="0.25">
      <c r="D43" s="605"/>
      <c r="E43" s="605"/>
      <c r="F43" s="605"/>
      <c r="G43" s="605"/>
      <c r="H43" s="605"/>
      <c r="I43" s="605"/>
      <c r="J43" s="605"/>
      <c r="K43" s="605"/>
      <c r="L43" s="605"/>
      <c r="M43" s="605"/>
      <c r="N43" s="140"/>
      <c r="P43" s="605"/>
      <c r="V43" s="606"/>
    </row>
    <row r="44" spans="2:22" s="15" customFormat="1" x14ac:dyDescent="0.25">
      <c r="B44" s="15" t="s">
        <v>83</v>
      </c>
      <c r="D44" s="232"/>
      <c r="E44" s="232"/>
      <c r="G44" s="232"/>
      <c r="H44" s="79"/>
      <c r="I44" s="232"/>
      <c r="J44" s="232"/>
      <c r="K44" s="232"/>
      <c r="L44" s="79"/>
      <c r="M44" s="232"/>
      <c r="N44" s="140"/>
      <c r="O44" s="232"/>
      <c r="P44" s="232"/>
      <c r="V44" s="178"/>
    </row>
    <row r="46" spans="2:22" x14ac:dyDescent="0.25">
      <c r="N46" s="78"/>
    </row>
    <row r="48" spans="2:22" x14ac:dyDescent="0.25">
      <c r="F48" s="304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</vt:i4>
      </vt:variant>
    </vt:vector>
  </HeadingPairs>
  <TitlesOfParts>
    <vt:vector size="14" baseType="lpstr">
      <vt:lpstr>COLOMB$ </vt:lpstr>
      <vt:lpstr>PROY SAT$</vt:lpstr>
      <vt:lpstr>COL. CONS.$</vt:lpstr>
      <vt:lpstr>COLOMBIA USD</vt:lpstr>
      <vt:lpstr>EL SALVADOR USD</vt:lpstr>
      <vt:lpstr>VZLA BFS</vt:lpstr>
      <vt:lpstr>VZLA VIT. bls </vt:lpstr>
      <vt:lpstr>VZLA Otros BLS</vt:lpstr>
      <vt:lpstr>VZLA CONS .BL </vt:lpstr>
      <vt:lpstr>VENEZUELA USD</vt:lpstr>
      <vt:lpstr>PANAMA USD</vt:lpstr>
      <vt:lpstr>CONSOLIDADO</vt:lpstr>
      <vt:lpstr>ctas</vt:lpstr>
      <vt:lpstr>b2w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Gutierrez Rodriguez</dc:creator>
  <cp:lastModifiedBy>Robert Gutierrez</cp:lastModifiedBy>
  <dcterms:created xsi:type="dcterms:W3CDTF">2022-05-23T14:05:09Z</dcterms:created>
  <dcterms:modified xsi:type="dcterms:W3CDTF">2022-05-23T14:07:12Z</dcterms:modified>
</cp:coreProperties>
</file>