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Informes de Junta/2022/Consolidados/"/>
    </mc:Choice>
  </mc:AlternateContent>
  <xr:revisionPtr revIDLastSave="0" documentId="8_{0B8043E3-CEE8-4AC7-ADA3-7DADD9199B9F}" xr6:coauthVersionLast="47" xr6:coauthVersionMax="47" xr10:uidLastSave="{00000000-0000-0000-0000-000000000000}"/>
  <bookViews>
    <workbookView xWindow="-28920" yWindow="-120" windowWidth="29040" windowHeight="15840" activeTab="5" xr2:uid="{3D98DBB0-C77E-487C-B495-4D878DAE54B8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"-"</definedName>
    <definedName name="__BIA_8159523" localSheetId="10" hidden="1">[1]!Consulta(4,"Presupuesto por flujo de efectivo","Zoom","Periodo","=",201909,"Cpto Flujo de Efectivo","IN",ctas!$A$544:$A$552)</definedName>
    <definedName name="b2w">'COLOMB$ '!$H$2</definedName>
  </definedNames>
  <calcPr calcId="191029"/>
  <pivotCaches>
    <pivotCache cacheId="7" r:id="rId13"/>
    <pivotCache cacheId="9" r:id="rId14"/>
    <pivotCache cacheId="8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9" i="12" l="1"/>
  <c r="AK25" i="11"/>
  <c r="AK17" i="11"/>
  <c r="AE17" i="11"/>
  <c r="V7" i="11"/>
  <c r="P7" i="11"/>
  <c r="N7" i="11"/>
  <c r="L7" i="11"/>
  <c r="AB6" i="11"/>
  <c r="Z6" i="11"/>
  <c r="Y6" i="11"/>
  <c r="X6" i="11"/>
  <c r="AA6" i="11" s="1"/>
  <c r="W6" i="1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I28" i="10"/>
  <c r="H28" i="10"/>
  <c r="J28" i="10" s="1"/>
  <c r="E28" i="10"/>
  <c r="AC27" i="10"/>
  <c r="Y27" i="10"/>
  <c r="X27" i="10"/>
  <c r="AA27" i="10" s="1"/>
  <c r="R27" i="10"/>
  <c r="K27" i="10"/>
  <c r="O27" i="10" s="1"/>
  <c r="J27" i="10"/>
  <c r="I27" i="10"/>
  <c r="G27" i="10"/>
  <c r="C27" i="10"/>
  <c r="R26" i="10"/>
  <c r="J26" i="10"/>
  <c r="I26" i="10"/>
  <c r="C26" i="10"/>
  <c r="C28" i="10" s="1"/>
  <c r="AC25" i="10"/>
  <c r="Y25" i="10"/>
  <c r="X25" i="10"/>
  <c r="R25" i="10"/>
  <c r="I25" i="10"/>
  <c r="G25" i="10"/>
  <c r="AC23" i="10"/>
  <c r="Y23" i="10"/>
  <c r="X23" i="10"/>
  <c r="Z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O13" i="10"/>
  <c r="K13" i="10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U7" i="10"/>
  <c r="H7" i="10"/>
  <c r="P7" i="10" s="1"/>
  <c r="E7" i="10"/>
  <c r="M7" i="10" s="1"/>
  <c r="V7" i="10" s="1"/>
  <c r="Y7" i="10" s="1"/>
  <c r="C7" i="10"/>
  <c r="K7" i="10" s="1"/>
  <c r="X7" i="10" s="1"/>
  <c r="A7" i="10"/>
  <c r="A6" i="10"/>
  <c r="A5" i="10"/>
  <c r="A4" i="10"/>
  <c r="AU47" i="9"/>
  <c r="AV47" i="9" s="1"/>
  <c r="AY47" i="9" s="1"/>
  <c r="AM47" i="9"/>
  <c r="AN47" i="9" s="1"/>
  <c r="AQ47" i="9" s="1"/>
  <c r="AV46" i="9"/>
  <c r="AY46" i="9" s="1"/>
  <c r="AN46" i="9"/>
  <c r="AQ46" i="9" s="1"/>
  <c r="D46" i="9"/>
  <c r="D45" i="9"/>
  <c r="D43" i="9"/>
  <c r="D42" i="9"/>
  <c r="D41" i="9"/>
  <c r="D39" i="9"/>
  <c r="D38" i="9"/>
  <c r="D36" i="9"/>
  <c r="D34" i="9"/>
  <c r="P33" i="9"/>
  <c r="D32" i="9"/>
  <c r="H31" i="9"/>
  <c r="D31" i="9"/>
  <c r="D30" i="9"/>
  <c r="AA28" i="9"/>
  <c r="D28" i="9"/>
  <c r="D27" i="9"/>
  <c r="D26" i="9"/>
  <c r="D24" i="9"/>
  <c r="AC23" i="9"/>
  <c r="AA23" i="9"/>
  <c r="Z23" i="9"/>
  <c r="D22" i="9"/>
  <c r="O21" i="9"/>
  <c r="G21" i="9"/>
  <c r="AC20" i="9"/>
  <c r="D20" i="9"/>
  <c r="D19" i="9"/>
  <c r="D18" i="9"/>
  <c r="P17" i="9"/>
  <c r="D17" i="9"/>
  <c r="D16" i="9"/>
  <c r="D15" i="9"/>
  <c r="D14" i="9"/>
  <c r="H13" i="9"/>
  <c r="D13" i="9"/>
  <c r="D12" i="9"/>
  <c r="P11" i="9"/>
  <c r="D11" i="9"/>
  <c r="D10" i="9"/>
  <c r="H7" i="9"/>
  <c r="W7" i="9" s="1"/>
  <c r="AB7" i="9" s="1"/>
  <c r="G7" i="9"/>
  <c r="O7" i="9" s="1"/>
  <c r="E7" i="9"/>
  <c r="M7" i="9" s="1"/>
  <c r="V7" i="9" s="1"/>
  <c r="Y7" i="9" s="1"/>
  <c r="AH4" i="9"/>
  <c r="H33" i="9" s="1"/>
  <c r="AH3" i="9"/>
  <c r="K43" i="9" s="1"/>
  <c r="O43" i="9" s="1"/>
  <c r="R46" i="8"/>
  <c r="O46" i="8"/>
  <c r="R42" i="8"/>
  <c r="O42" i="8"/>
  <c r="K42" i="8"/>
  <c r="J42" i="8"/>
  <c r="G42" i="8"/>
  <c r="Q39" i="8"/>
  <c r="O39" i="8"/>
  <c r="M39" i="8"/>
  <c r="R39" i="8" s="1"/>
  <c r="J39" i="8"/>
  <c r="G39" i="8"/>
  <c r="R38" i="8"/>
  <c r="K38" i="8"/>
  <c r="O38" i="8" s="1"/>
  <c r="J38" i="8"/>
  <c r="G38" i="8"/>
  <c r="P32" i="8"/>
  <c r="M32" i="8"/>
  <c r="K32" i="8"/>
  <c r="H32" i="8"/>
  <c r="J32" i="8" s="1"/>
  <c r="E32" i="8"/>
  <c r="C32" i="8"/>
  <c r="R31" i="8"/>
  <c r="O31" i="8"/>
  <c r="J31" i="8"/>
  <c r="G31" i="8"/>
  <c r="R30" i="8"/>
  <c r="O30" i="8"/>
  <c r="J30" i="8"/>
  <c r="G30" i="8"/>
  <c r="AC28" i="8"/>
  <c r="AA28" i="8"/>
  <c r="Y28" i="8"/>
  <c r="P28" i="8"/>
  <c r="M28" i="8"/>
  <c r="K28" i="8"/>
  <c r="H28" i="8"/>
  <c r="E28" i="8"/>
  <c r="E34" i="8" s="1"/>
  <c r="C28" i="8"/>
  <c r="G28" i="8" s="1"/>
  <c r="AC27" i="8"/>
  <c r="Y27" i="8"/>
  <c r="X27" i="8"/>
  <c r="AA27" i="8" s="1"/>
  <c r="R27" i="8"/>
  <c r="O27" i="8"/>
  <c r="J27" i="8"/>
  <c r="G27" i="8"/>
  <c r="R26" i="8"/>
  <c r="O26" i="8"/>
  <c r="J26" i="8"/>
  <c r="G26" i="8"/>
  <c r="AA25" i="8"/>
  <c r="Y25" i="8"/>
  <c r="Z25" i="8" s="1"/>
  <c r="X25" i="8"/>
  <c r="L24" i="8"/>
  <c r="AC23" i="8"/>
  <c r="AA23" i="8"/>
  <c r="Z23" i="8"/>
  <c r="R22" i="8"/>
  <c r="Q22" i="8"/>
  <c r="K22" i="8"/>
  <c r="O22" i="8" s="1"/>
  <c r="J22" i="8"/>
  <c r="G22" i="8"/>
  <c r="AC20" i="8"/>
  <c r="Q20" i="8"/>
  <c r="P20" i="8"/>
  <c r="Q15" i="8" s="1"/>
  <c r="M20" i="8"/>
  <c r="N28" i="8" s="1"/>
  <c r="L20" i="8"/>
  <c r="K20" i="8"/>
  <c r="L31" i="8" s="1"/>
  <c r="H20" i="8"/>
  <c r="I13" i="8" s="1"/>
  <c r="G20" i="8"/>
  <c r="E20" i="8"/>
  <c r="F11" i="8" s="1"/>
  <c r="C20" i="8"/>
  <c r="D19" i="8" s="1"/>
  <c r="L19" i="8"/>
  <c r="B19" i="8"/>
  <c r="AB17" i="8"/>
  <c r="W17" i="8"/>
  <c r="V17" i="8"/>
  <c r="V19" i="8" s="1"/>
  <c r="V21" i="8" s="1"/>
  <c r="V30" i="8" s="1"/>
  <c r="U17" i="8"/>
  <c r="L17" i="8"/>
  <c r="B17" i="8"/>
  <c r="AC16" i="8"/>
  <c r="Z16" i="8"/>
  <c r="Y16" i="8"/>
  <c r="X16" i="8"/>
  <c r="AA16" i="8" s="1"/>
  <c r="L16" i="8"/>
  <c r="D16" i="8"/>
  <c r="B16" i="8"/>
  <c r="Y15" i="8"/>
  <c r="X15" i="8"/>
  <c r="X17" i="8" s="1"/>
  <c r="AA17" i="8" s="1"/>
  <c r="R15" i="8"/>
  <c r="N15" i="8"/>
  <c r="L15" i="8"/>
  <c r="J15" i="8"/>
  <c r="G15" i="8"/>
  <c r="F15" i="8"/>
  <c r="B15" i="8"/>
  <c r="AC14" i="8"/>
  <c r="AA14" i="8"/>
  <c r="Y14" i="8"/>
  <c r="X14" i="8"/>
  <c r="R14" i="8"/>
  <c r="Q14" i="8"/>
  <c r="O14" i="8"/>
  <c r="L14" i="8"/>
  <c r="J14" i="8"/>
  <c r="G14" i="8"/>
  <c r="F14" i="8"/>
  <c r="B14" i="8"/>
  <c r="AC13" i="8"/>
  <c r="AA13" i="8"/>
  <c r="Y13" i="8"/>
  <c r="X13" i="8"/>
  <c r="R13" i="8"/>
  <c r="Q13" i="8"/>
  <c r="O13" i="8"/>
  <c r="L13" i="8"/>
  <c r="J13" i="8"/>
  <c r="G13" i="8"/>
  <c r="F13" i="8"/>
  <c r="D13" i="8"/>
  <c r="B13" i="8"/>
  <c r="R12" i="8"/>
  <c r="Q12" i="8"/>
  <c r="O12" i="8"/>
  <c r="L12" i="8"/>
  <c r="J12" i="8"/>
  <c r="I12" i="8"/>
  <c r="G12" i="8"/>
  <c r="B12" i="8"/>
  <c r="AC11" i="8"/>
  <c r="Y11" i="8"/>
  <c r="X11" i="8"/>
  <c r="R11" i="8"/>
  <c r="O11" i="8"/>
  <c r="L11" i="8"/>
  <c r="J11" i="8"/>
  <c r="I11" i="8"/>
  <c r="G11" i="8"/>
  <c r="B11" i="8"/>
  <c r="AC10" i="8"/>
  <c r="AA10" i="8"/>
  <c r="Z10" i="8"/>
  <c r="R10" i="8"/>
  <c r="Q10" i="8"/>
  <c r="O10" i="8"/>
  <c r="L10" i="8"/>
  <c r="J10" i="8"/>
  <c r="I10" i="8"/>
  <c r="G10" i="8"/>
  <c r="D10" i="8"/>
  <c r="B10" i="8"/>
  <c r="W7" i="8"/>
  <c r="AB7" i="8" s="1"/>
  <c r="P7" i="8"/>
  <c r="M7" i="8"/>
  <c r="V7" i="8" s="1"/>
  <c r="Y7" i="8" s="1"/>
  <c r="W39" i="7"/>
  <c r="V39" i="7"/>
  <c r="AD28" i="7"/>
  <c r="Z28" i="7"/>
  <c r="Y28" i="7"/>
  <c r="AB28" i="7" s="1"/>
  <c r="AD27" i="7"/>
  <c r="Z27" i="7"/>
  <c r="Y27" i="7"/>
  <c r="AB27" i="7" s="1"/>
  <c r="AA25" i="7"/>
  <c r="Z25" i="7"/>
  <c r="AD25" i="7" s="1"/>
  <c r="Y25" i="7"/>
  <c r="AD23" i="7"/>
  <c r="Z23" i="7"/>
  <c r="Y23" i="7"/>
  <c r="AB23" i="7" s="1"/>
  <c r="AC19" i="7"/>
  <c r="AC21" i="7" s="1"/>
  <c r="V19" i="7"/>
  <c r="V21" i="7" s="1"/>
  <c r="V30" i="7" s="1"/>
  <c r="B19" i="7"/>
  <c r="AC17" i="7"/>
  <c r="X17" i="7"/>
  <c r="X19" i="7" s="1"/>
  <c r="X21" i="7" s="1"/>
  <c r="X30" i="7" s="1"/>
  <c r="W17" i="7"/>
  <c r="W19" i="7" s="1"/>
  <c r="W21" i="7" s="1"/>
  <c r="W30" i="7" s="1"/>
  <c r="W38" i="7" s="1"/>
  <c r="V17" i="7"/>
  <c r="R17" i="7"/>
  <c r="O17" i="7"/>
  <c r="K17" i="7"/>
  <c r="J17" i="7"/>
  <c r="G17" i="7"/>
  <c r="B17" i="7"/>
  <c r="Z16" i="7"/>
  <c r="AD16" i="7" s="1"/>
  <c r="Y16" i="7"/>
  <c r="R16" i="7"/>
  <c r="K16" i="7"/>
  <c r="B16" i="7"/>
  <c r="Z15" i="7"/>
  <c r="AD15" i="7" s="1"/>
  <c r="Y15" i="7"/>
  <c r="B15" i="7"/>
  <c r="AD14" i="7"/>
  <c r="Z14" i="7"/>
  <c r="Y14" i="7"/>
  <c r="AB14" i="7" s="1"/>
  <c r="R14" i="7"/>
  <c r="B14" i="7"/>
  <c r="Z13" i="7"/>
  <c r="Y13" i="7"/>
  <c r="Y17" i="7" s="1"/>
  <c r="B13" i="7"/>
  <c r="B12" i="7"/>
  <c r="Z11" i="7"/>
  <c r="AD11" i="7" s="1"/>
  <c r="Y11" i="7"/>
  <c r="AB11" i="7" s="1"/>
  <c r="B11" i="7"/>
  <c r="AD10" i="7"/>
  <c r="AB10" i="7"/>
  <c r="AA10" i="7"/>
  <c r="B10" i="7"/>
  <c r="H7" i="7"/>
  <c r="P7" i="7" s="1"/>
  <c r="E7" i="7"/>
  <c r="M7" i="7" s="1"/>
  <c r="W7" i="7" s="1"/>
  <c r="Z7" i="7" s="1"/>
  <c r="C7" i="7"/>
  <c r="K7" i="7" s="1"/>
  <c r="U3" i="7"/>
  <c r="AE20" i="6"/>
  <c r="B19" i="6"/>
  <c r="B17" i="6"/>
  <c r="B16" i="6"/>
  <c r="B15" i="6"/>
  <c r="B14" i="6"/>
  <c r="B13" i="6"/>
  <c r="B12" i="6"/>
  <c r="B11" i="6"/>
  <c r="AD10" i="6"/>
  <c r="Z10" i="6"/>
  <c r="Y10" i="6"/>
  <c r="X10" i="6"/>
  <c r="B10" i="6"/>
  <c r="W7" i="6"/>
  <c r="Z7" i="6" s="1"/>
  <c r="K7" i="6"/>
  <c r="H7" i="6"/>
  <c r="Y7" i="6" s="1"/>
  <c r="AD7" i="6" s="1"/>
  <c r="E7" i="6"/>
  <c r="M7" i="6" s="1"/>
  <c r="X7" i="6" s="1"/>
  <c r="AA7" i="6" s="1"/>
  <c r="C7" i="6"/>
  <c r="B6" i="6"/>
  <c r="V6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A8" i="5"/>
  <c r="P7" i="5"/>
  <c r="H7" i="5"/>
  <c r="E7" i="5"/>
  <c r="M7" i="5" s="1"/>
  <c r="C7" i="5"/>
  <c r="K7" i="5" s="1"/>
  <c r="A7" i="5"/>
  <c r="B6" i="5"/>
  <c r="A6" i="5"/>
  <c r="A5" i="5"/>
  <c r="AC20" i="4"/>
  <c r="AC10" i="4"/>
  <c r="AA10" i="4"/>
  <c r="Z10" i="4"/>
  <c r="AB7" i="4"/>
  <c r="W7" i="4"/>
  <c r="U7" i="4"/>
  <c r="X7" i="4" s="1"/>
  <c r="P7" i="4"/>
  <c r="N7" i="4"/>
  <c r="V7" i="4" s="1"/>
  <c r="Y7" i="4" s="1"/>
  <c r="L7" i="4"/>
  <c r="B6" i="4"/>
  <c r="T3" i="4"/>
  <c r="AC20" i="3"/>
  <c r="B19" i="3"/>
  <c r="B18" i="3"/>
  <c r="B18" i="7" s="1"/>
  <c r="B17" i="3"/>
  <c r="B16" i="3"/>
  <c r="B15" i="3"/>
  <c r="B14" i="3"/>
  <c r="B13" i="3"/>
  <c r="B12" i="3"/>
  <c r="B11" i="3"/>
  <c r="AB10" i="3"/>
  <c r="Y10" i="3"/>
  <c r="AA10" i="6" s="1"/>
  <c r="X10" i="3"/>
  <c r="AA10" i="3" s="1"/>
  <c r="W10" i="3"/>
  <c r="AC10" i="3" s="1"/>
  <c r="V10" i="3"/>
  <c r="U10" i="3"/>
  <c r="W10" i="6" s="1"/>
  <c r="B10" i="3"/>
  <c r="H7" i="3"/>
  <c r="W7" i="3" s="1"/>
  <c r="AB7" i="3" s="1"/>
  <c r="E7" i="3"/>
  <c r="M7" i="3" s="1"/>
  <c r="V7" i="3" s="1"/>
  <c r="Y7" i="3" s="1"/>
  <c r="C7" i="3"/>
  <c r="B6" i="3"/>
  <c r="T3" i="3"/>
  <c r="C9" i="2"/>
  <c r="B9" i="2"/>
  <c r="A8" i="2" a="1"/>
  <c r="A8" i="2" s="1"/>
  <c r="B5" i="2"/>
  <c r="C16" i="3" l="1"/>
  <c r="X13" i="3"/>
  <c r="Z13" i="6"/>
  <c r="E14" i="3"/>
  <c r="X16" i="6"/>
  <c r="V16" i="3"/>
  <c r="M14" i="3"/>
  <c r="C17" i="3"/>
  <c r="C17" i="6" s="1"/>
  <c r="AA11" i="6"/>
  <c r="Y11" i="3"/>
  <c r="Y14" i="6"/>
  <c r="W14" i="3"/>
  <c r="K17" i="3"/>
  <c r="K17" i="6" s="1"/>
  <c r="X15" i="6"/>
  <c r="V15" i="3"/>
  <c r="H10" i="3"/>
  <c r="P10" i="3"/>
  <c r="E11" i="3"/>
  <c r="E11" i="6" s="1"/>
  <c r="M11" i="3"/>
  <c r="M11" i="6" s="1"/>
  <c r="Y11" i="6"/>
  <c r="W11" i="3"/>
  <c r="X13" i="6"/>
  <c r="V13" i="3"/>
  <c r="C14" i="3"/>
  <c r="K14" i="3"/>
  <c r="W14" i="6"/>
  <c r="W11" i="11" s="1"/>
  <c r="U14" i="3"/>
  <c r="AD15" i="6"/>
  <c r="AB15" i="3"/>
  <c r="AD16" i="6"/>
  <c r="AB16" i="3"/>
  <c r="H18" i="3"/>
  <c r="P18" i="3"/>
  <c r="H19" i="3"/>
  <c r="H22" i="3"/>
  <c r="P22" i="3"/>
  <c r="Y25" i="3"/>
  <c r="AA25" i="6"/>
  <c r="Z27" i="6"/>
  <c r="X27" i="3"/>
  <c r="W28" i="3"/>
  <c r="Y28" i="6"/>
  <c r="C31" i="3"/>
  <c r="K31" i="3"/>
  <c r="C38" i="3"/>
  <c r="K38" i="3"/>
  <c r="C39" i="3"/>
  <c r="K39" i="3"/>
  <c r="C42" i="3"/>
  <c r="K42" i="3"/>
  <c r="C46" i="3"/>
  <c r="K46" i="3"/>
  <c r="Z11" i="6"/>
  <c r="X11" i="3"/>
  <c r="E12" i="3"/>
  <c r="E12" i="6" s="1"/>
  <c r="M12" i="3"/>
  <c r="M12" i="6" s="1"/>
  <c r="E13" i="3"/>
  <c r="E13" i="6" s="1"/>
  <c r="M13" i="3"/>
  <c r="M13" i="6" s="1"/>
  <c r="W13" i="3"/>
  <c r="Y13" i="6"/>
  <c r="X14" i="6"/>
  <c r="V14" i="3"/>
  <c r="C15" i="3"/>
  <c r="K15" i="3"/>
  <c r="U15" i="3"/>
  <c r="W15" i="6"/>
  <c r="K16" i="3"/>
  <c r="W16" i="6"/>
  <c r="U16" i="3"/>
  <c r="Y27" i="3"/>
  <c r="AA27" i="6"/>
  <c r="X28" i="3"/>
  <c r="Z28" i="6"/>
  <c r="E30" i="3"/>
  <c r="E30" i="6" s="1"/>
  <c r="M30" i="3"/>
  <c r="M30" i="6" s="1"/>
  <c r="M46" i="3"/>
  <c r="M46" i="6" s="1"/>
  <c r="H26" i="3"/>
  <c r="H27" i="3"/>
  <c r="M31" i="3"/>
  <c r="E38" i="3"/>
  <c r="E38" i="6" s="1"/>
  <c r="M39" i="3"/>
  <c r="M39" i="6" s="1"/>
  <c r="E46" i="3"/>
  <c r="E46" i="6" s="1"/>
  <c r="C10" i="3"/>
  <c r="K10" i="3"/>
  <c r="H11" i="3"/>
  <c r="P11" i="3"/>
  <c r="AA13" i="6"/>
  <c r="Y13" i="3"/>
  <c r="Z14" i="6"/>
  <c r="X14" i="3"/>
  <c r="E15" i="3"/>
  <c r="E15" i="6" s="1"/>
  <c r="M15" i="3"/>
  <c r="M15" i="6" s="1"/>
  <c r="W15" i="3"/>
  <c r="Y15" i="6"/>
  <c r="E16" i="3"/>
  <c r="E16" i="6" s="1"/>
  <c r="M16" i="3"/>
  <c r="Y16" i="6"/>
  <c r="W16" i="3"/>
  <c r="C18" i="3"/>
  <c r="K18" i="3"/>
  <c r="C19" i="3"/>
  <c r="C22" i="3"/>
  <c r="C22" i="6" s="1"/>
  <c r="K22" i="3"/>
  <c r="K22" i="6" s="1"/>
  <c r="W23" i="6"/>
  <c r="U23" i="3"/>
  <c r="AB25" i="3"/>
  <c r="AD25" i="6"/>
  <c r="H12" i="3"/>
  <c r="P12" i="3"/>
  <c r="H13" i="3"/>
  <c r="P13" i="3"/>
  <c r="AA14" i="6"/>
  <c r="Y14" i="3"/>
  <c r="X15" i="3"/>
  <c r="Z15" i="3" s="1"/>
  <c r="Z15" i="6"/>
  <c r="Z16" i="6"/>
  <c r="X16" i="3"/>
  <c r="E17" i="3"/>
  <c r="E17" i="6" s="1"/>
  <c r="M17" i="3"/>
  <c r="M17" i="6" s="1"/>
  <c r="M19" i="3"/>
  <c r="X23" i="6"/>
  <c r="V23" i="3"/>
  <c r="W25" i="6"/>
  <c r="U25" i="3"/>
  <c r="AB27" i="3"/>
  <c r="AC27" i="3" s="1"/>
  <c r="AD27" i="6"/>
  <c r="H30" i="3"/>
  <c r="P30" i="3"/>
  <c r="E10" i="3"/>
  <c r="M10" i="3"/>
  <c r="AB11" i="3"/>
  <c r="AD11" i="6"/>
  <c r="H14" i="3"/>
  <c r="P14" i="3"/>
  <c r="Y15" i="3"/>
  <c r="AA15" i="6"/>
  <c r="Y16" i="3"/>
  <c r="AA16" i="6"/>
  <c r="E18" i="3"/>
  <c r="M18" i="3"/>
  <c r="E19" i="3"/>
  <c r="E22" i="3"/>
  <c r="M22" i="3"/>
  <c r="Y23" i="6"/>
  <c r="W23" i="3"/>
  <c r="X25" i="6"/>
  <c r="V25" i="3"/>
  <c r="C26" i="3"/>
  <c r="K26" i="3"/>
  <c r="C27" i="3"/>
  <c r="C27" i="6" s="1"/>
  <c r="K27" i="3"/>
  <c r="K27" i="6" s="1"/>
  <c r="W27" i="6"/>
  <c r="W21" i="11" s="1"/>
  <c r="U27" i="3"/>
  <c r="AD28" i="6"/>
  <c r="AB28" i="3"/>
  <c r="AC28" i="3" s="1"/>
  <c r="H31" i="3"/>
  <c r="P31" i="3"/>
  <c r="H38" i="3"/>
  <c r="P38" i="3"/>
  <c r="H39" i="3"/>
  <c r="P39" i="3"/>
  <c r="H42" i="3"/>
  <c r="P42" i="3"/>
  <c r="H46" i="3"/>
  <c r="P46" i="3"/>
  <c r="P27" i="3"/>
  <c r="E31" i="3"/>
  <c r="E32" i="6" s="1"/>
  <c r="E39" i="3"/>
  <c r="E39" i="6" s="1"/>
  <c r="E42" i="3"/>
  <c r="E42" i="6" s="1"/>
  <c r="C11" i="3"/>
  <c r="K11" i="3"/>
  <c r="W11" i="6"/>
  <c r="U11" i="3"/>
  <c r="AD13" i="6"/>
  <c r="AB13" i="3"/>
  <c r="H15" i="3"/>
  <c r="P15" i="3"/>
  <c r="H16" i="3"/>
  <c r="P16" i="3"/>
  <c r="P19" i="3"/>
  <c r="R19" i="3" s="1"/>
  <c r="Z23" i="6"/>
  <c r="X23" i="3"/>
  <c r="Y25" i="6"/>
  <c r="W25" i="3"/>
  <c r="X27" i="6"/>
  <c r="V27" i="3"/>
  <c r="W28" i="6"/>
  <c r="U28" i="3"/>
  <c r="K19" i="3"/>
  <c r="O19" i="3" s="1"/>
  <c r="AB23" i="3"/>
  <c r="AD23" i="6"/>
  <c r="P26" i="3"/>
  <c r="AA28" i="6"/>
  <c r="Y28" i="3"/>
  <c r="Z28" i="3" s="1"/>
  <c r="M38" i="3"/>
  <c r="M38" i="6" s="1"/>
  <c r="M42" i="3"/>
  <c r="M42" i="6" s="1"/>
  <c r="X11" i="6"/>
  <c r="V11" i="3"/>
  <c r="C12" i="3"/>
  <c r="K12" i="3"/>
  <c r="C13" i="3"/>
  <c r="C13" i="6" s="1"/>
  <c r="K13" i="3"/>
  <c r="K13" i="6" s="1"/>
  <c r="U13" i="3"/>
  <c r="U17" i="3" s="1"/>
  <c r="U19" i="3" s="1"/>
  <c r="W13" i="6"/>
  <c r="AB14" i="3"/>
  <c r="AC14" i="3" s="1"/>
  <c r="AD14" i="6"/>
  <c r="H17" i="3"/>
  <c r="P17" i="3"/>
  <c r="AA23" i="6"/>
  <c r="Y23" i="3"/>
  <c r="Z23" i="3" s="1"/>
  <c r="X25" i="3"/>
  <c r="Z25" i="6"/>
  <c r="E26" i="3"/>
  <c r="M26" i="3"/>
  <c r="E27" i="3"/>
  <c r="E27" i="6" s="1"/>
  <c r="M27" i="3"/>
  <c r="M27" i="6" s="1"/>
  <c r="W27" i="3"/>
  <c r="Y27" i="6"/>
  <c r="X28" i="6"/>
  <c r="V28" i="3"/>
  <c r="C30" i="3"/>
  <c r="K30" i="3"/>
  <c r="H31" i="11"/>
  <c r="C438" i="12"/>
  <c r="AC10" i="6"/>
  <c r="AB8" i="11"/>
  <c r="AK8" i="11"/>
  <c r="Y17" i="8"/>
  <c r="Y17" i="9" s="1"/>
  <c r="Y13" i="9"/>
  <c r="D20" i="8"/>
  <c r="N20" i="8"/>
  <c r="F34" i="8"/>
  <c r="E34" i="9"/>
  <c r="J34" i="9" s="1"/>
  <c r="N31" i="8"/>
  <c r="R32" i="8"/>
  <c r="C11" i="9"/>
  <c r="G11" i="9" s="1"/>
  <c r="W11" i="9"/>
  <c r="C13" i="9"/>
  <c r="G13" i="9" s="1"/>
  <c r="C14" i="9"/>
  <c r="G14" i="9" s="1"/>
  <c r="W15" i="9"/>
  <c r="H18" i="9"/>
  <c r="K20" i="9"/>
  <c r="C26" i="9"/>
  <c r="G26" i="9" s="1"/>
  <c r="H27" i="9"/>
  <c r="P32" i="9"/>
  <c r="K38" i="9"/>
  <c r="O38" i="9" s="1"/>
  <c r="E46" i="9"/>
  <c r="J46" i="9" s="1"/>
  <c r="T6" i="3"/>
  <c r="B6" i="11"/>
  <c r="Z10" i="3"/>
  <c r="P7" i="6"/>
  <c r="AH8" i="11"/>
  <c r="V7" i="7"/>
  <c r="Y7" i="7" s="1"/>
  <c r="AA14" i="7"/>
  <c r="AB16" i="7"/>
  <c r="Y11" i="9"/>
  <c r="Y19" i="9" s="1"/>
  <c r="Z11" i="8"/>
  <c r="N12" i="8"/>
  <c r="N14" i="8"/>
  <c r="Y16" i="9"/>
  <c r="W19" i="8"/>
  <c r="W17" i="9"/>
  <c r="E24" i="8"/>
  <c r="E24" i="9" s="1"/>
  <c r="J24" i="9" s="1"/>
  <c r="E20" i="9"/>
  <c r="F30" i="8"/>
  <c r="F22" i="8"/>
  <c r="F12" i="8"/>
  <c r="F20" i="8"/>
  <c r="Q30" i="8"/>
  <c r="Q11" i="8"/>
  <c r="F26" i="8"/>
  <c r="F28" i="8"/>
  <c r="M10" i="9"/>
  <c r="X11" i="9"/>
  <c r="AA11" i="9" s="1"/>
  <c r="C15" i="9"/>
  <c r="G15" i="9" s="1"/>
  <c r="X15" i="9"/>
  <c r="U16" i="9"/>
  <c r="M17" i="9"/>
  <c r="R17" i="9" s="1"/>
  <c r="K18" i="9"/>
  <c r="O18" i="9" s="1"/>
  <c r="P20" i="9"/>
  <c r="E22" i="9"/>
  <c r="J22" i="9" s="1"/>
  <c r="P28" i="9"/>
  <c r="K41" i="9"/>
  <c r="O41" i="9" s="1"/>
  <c r="K7" i="3"/>
  <c r="C7" i="8"/>
  <c r="AE10" i="6"/>
  <c r="X8" i="11"/>
  <c r="AB17" i="9"/>
  <c r="AC17" i="9" s="1"/>
  <c r="AB19" i="8"/>
  <c r="E40" i="9"/>
  <c r="E38" i="9"/>
  <c r="J38" i="9" s="1"/>
  <c r="E33" i="9"/>
  <c r="E31" i="9"/>
  <c r="E29" i="9"/>
  <c r="K28" i="9"/>
  <c r="O28" i="9" s="1"/>
  <c r="E26" i="9"/>
  <c r="W25" i="9"/>
  <c r="E15" i="9"/>
  <c r="U13" i="9"/>
  <c r="E13" i="9"/>
  <c r="J13" i="9" s="1"/>
  <c r="E44" i="9"/>
  <c r="E42" i="9"/>
  <c r="C46" i="9"/>
  <c r="G46" i="9" s="1"/>
  <c r="C41" i="9"/>
  <c r="G41" i="9" s="1"/>
  <c r="M38" i="9"/>
  <c r="M37" i="9"/>
  <c r="C34" i="9"/>
  <c r="G34" i="9" s="1"/>
  <c r="M31" i="9"/>
  <c r="M31" i="11" s="1"/>
  <c r="U29" i="9"/>
  <c r="U28" i="9"/>
  <c r="E27" i="9"/>
  <c r="K26" i="9"/>
  <c r="O26" i="9" s="1"/>
  <c r="M23" i="9"/>
  <c r="U20" i="9"/>
  <c r="M19" i="9"/>
  <c r="E19" i="9"/>
  <c r="M18" i="9"/>
  <c r="R18" i="9" s="1"/>
  <c r="E18" i="9"/>
  <c r="V16" i="9"/>
  <c r="K16" i="9"/>
  <c r="O16" i="9" s="1"/>
  <c r="C16" i="9"/>
  <c r="G16" i="9" s="1"/>
  <c r="U15" i="9"/>
  <c r="AB14" i="9"/>
  <c r="AC14" i="9" s="1"/>
  <c r="K46" i="9"/>
  <c r="O46" i="9" s="1"/>
  <c r="C43" i="9"/>
  <c r="C36" i="9"/>
  <c r="E30" i="9"/>
  <c r="J30" i="9" s="1"/>
  <c r="C28" i="9"/>
  <c r="G28" i="9" s="1"/>
  <c r="M27" i="9"/>
  <c r="K22" i="9"/>
  <c r="O22" i="9" s="1"/>
  <c r="M21" i="9"/>
  <c r="R21" i="9" s="1"/>
  <c r="K19" i="9"/>
  <c r="X16" i="9"/>
  <c r="M14" i="9"/>
  <c r="K13" i="9"/>
  <c r="O13" i="9" s="1"/>
  <c r="E11" i="9"/>
  <c r="E35" i="9"/>
  <c r="M33" i="9"/>
  <c r="C31" i="9"/>
  <c r="G31" i="9" s="1"/>
  <c r="U25" i="9"/>
  <c r="C22" i="9"/>
  <c r="G22" i="9" s="1"/>
  <c r="E21" i="9"/>
  <c r="V15" i="9"/>
  <c r="W14" i="9"/>
  <c r="W13" i="9"/>
  <c r="V11" i="9"/>
  <c r="K11" i="9"/>
  <c r="O11" i="9" s="1"/>
  <c r="AB10" i="9"/>
  <c r="E39" i="9"/>
  <c r="J39" i="9" s="1"/>
  <c r="M30" i="9"/>
  <c r="U27" i="9"/>
  <c r="M25" i="9"/>
  <c r="C24" i="9"/>
  <c r="G24" i="9" s="1"/>
  <c r="U22" i="9"/>
  <c r="K17" i="9"/>
  <c r="O17" i="9" s="1"/>
  <c r="AB16" i="9"/>
  <c r="AC16" i="9" s="1"/>
  <c r="U14" i="9"/>
  <c r="U12" i="9"/>
  <c r="M46" i="9"/>
  <c r="K31" i="9"/>
  <c r="O31" i="9" s="1"/>
  <c r="K30" i="9"/>
  <c r="O30" i="9" s="1"/>
  <c r="AB25" i="9"/>
  <c r="U24" i="9"/>
  <c r="U18" i="9"/>
  <c r="M15" i="9"/>
  <c r="AB13" i="9"/>
  <c r="AC13" i="9" s="1"/>
  <c r="M13" i="9"/>
  <c r="M12" i="9"/>
  <c r="AB11" i="9"/>
  <c r="V10" i="9"/>
  <c r="C10" i="9"/>
  <c r="G10" i="9" s="1"/>
  <c r="C12" i="9"/>
  <c r="G12" i="9" s="1"/>
  <c r="E14" i="9"/>
  <c r="AB15" i="9"/>
  <c r="W16" i="9"/>
  <c r="M22" i="9"/>
  <c r="K24" i="9"/>
  <c r="O24" i="9" s="1"/>
  <c r="X27" i="9"/>
  <c r="AA27" i="9" s="1"/>
  <c r="K36" i="9"/>
  <c r="Y15" i="9"/>
  <c r="AC15" i="8"/>
  <c r="D18" i="8"/>
  <c r="I38" i="8"/>
  <c r="H20" i="9"/>
  <c r="I14" i="8"/>
  <c r="O28" i="8"/>
  <c r="K32" i="9"/>
  <c r="O32" i="9" s="1"/>
  <c r="C39" i="9"/>
  <c r="G39" i="9" s="1"/>
  <c r="G32" i="8"/>
  <c r="AH9" i="9"/>
  <c r="P45" i="9"/>
  <c r="P47" i="9"/>
  <c r="H46" i="9"/>
  <c r="H44" i="9"/>
  <c r="H42" i="9"/>
  <c r="P35" i="9"/>
  <c r="H30" i="9"/>
  <c r="P26" i="9"/>
  <c r="P22" i="9"/>
  <c r="H21" i="9"/>
  <c r="H17" i="9"/>
  <c r="P16" i="9"/>
  <c r="H45" i="9"/>
  <c r="P46" i="9"/>
  <c r="P42" i="9"/>
  <c r="P30" i="9"/>
  <c r="P27" i="9"/>
  <c r="H25" i="9"/>
  <c r="H22" i="9"/>
  <c r="P21" i="9"/>
  <c r="H14" i="9"/>
  <c r="P44" i="9"/>
  <c r="P39" i="9"/>
  <c r="P38" i="9"/>
  <c r="H37" i="9"/>
  <c r="H39" i="9"/>
  <c r="H38" i="9"/>
  <c r="P29" i="9"/>
  <c r="H23" i="9"/>
  <c r="H15" i="9"/>
  <c r="H12" i="9"/>
  <c r="P40" i="9"/>
  <c r="H29" i="9"/>
  <c r="P19" i="9"/>
  <c r="P19" i="11" s="1"/>
  <c r="H11" i="9"/>
  <c r="H40" i="9"/>
  <c r="P37" i="9"/>
  <c r="P14" i="9"/>
  <c r="H10" i="9"/>
  <c r="I10" i="9" s="1"/>
  <c r="P10" i="9"/>
  <c r="Q10" i="9" s="1"/>
  <c r="P18" i="9"/>
  <c r="E23" i="9"/>
  <c r="H26" i="9"/>
  <c r="AB28" i="9"/>
  <c r="AC28" i="9" s="1"/>
  <c r="P31" i="9"/>
  <c r="P31" i="11" s="1"/>
  <c r="M44" i="9"/>
  <c r="U21" i="3"/>
  <c r="T6" i="4"/>
  <c r="B6" i="10"/>
  <c r="T6" i="10" s="1"/>
  <c r="AA23" i="7"/>
  <c r="F10" i="8"/>
  <c r="D12" i="8"/>
  <c r="D14" i="8"/>
  <c r="I15" i="8"/>
  <c r="Z15" i="8"/>
  <c r="I20" i="8"/>
  <c r="D24" i="8"/>
  <c r="N26" i="8"/>
  <c r="Y27" i="9"/>
  <c r="Z27" i="9" s="1"/>
  <c r="M34" i="8"/>
  <c r="M28" i="9"/>
  <c r="R28" i="9" s="1"/>
  <c r="F32" i="8"/>
  <c r="E10" i="9"/>
  <c r="U10" i="9"/>
  <c r="E12" i="9"/>
  <c r="J12" i="9" s="1"/>
  <c r="P13" i="9"/>
  <c r="K14" i="9"/>
  <c r="O14" i="9" s="1"/>
  <c r="E16" i="9"/>
  <c r="C17" i="9"/>
  <c r="G17" i="9" s="1"/>
  <c r="X17" i="9"/>
  <c r="AA17" i="9" s="1"/>
  <c r="C19" i="9"/>
  <c r="P23" i="9"/>
  <c r="E25" i="9"/>
  <c r="M26" i="9"/>
  <c r="AB27" i="9"/>
  <c r="M29" i="9"/>
  <c r="C32" i="9"/>
  <c r="G32" i="9" s="1"/>
  <c r="K34" i="9"/>
  <c r="O34" i="9" s="1"/>
  <c r="E37" i="9"/>
  <c r="M39" i="9"/>
  <c r="R39" i="9" s="1"/>
  <c r="AA8" i="11"/>
  <c r="AJ8" i="11"/>
  <c r="B18" i="6"/>
  <c r="B6" i="7"/>
  <c r="U6" i="7" s="1"/>
  <c r="B6" i="8"/>
  <c r="N11" i="8"/>
  <c r="X14" i="9"/>
  <c r="D17" i="8"/>
  <c r="Z27" i="8"/>
  <c r="F39" i="8"/>
  <c r="W10" i="9"/>
  <c r="M11" i="9"/>
  <c r="V13" i="9"/>
  <c r="K15" i="9"/>
  <c r="O15" i="9" s="1"/>
  <c r="H16" i="9"/>
  <c r="U23" i="9"/>
  <c r="P25" i="9"/>
  <c r="U26" i="9"/>
  <c r="C30" i="9"/>
  <c r="G30" i="9" s="1"/>
  <c r="C38" i="9"/>
  <c r="G38" i="9" s="1"/>
  <c r="M42" i="9"/>
  <c r="K39" i="9"/>
  <c r="O39" i="9" s="1"/>
  <c r="O32" i="8"/>
  <c r="X10" i="9"/>
  <c r="K12" i="9"/>
  <c r="O12" i="9" s="1"/>
  <c r="X13" i="9"/>
  <c r="V14" i="9"/>
  <c r="P15" i="9"/>
  <c r="E17" i="9"/>
  <c r="C18" i="9"/>
  <c r="G18" i="9" s="1"/>
  <c r="X25" i="9"/>
  <c r="AA25" i="9" s="1"/>
  <c r="E28" i="9"/>
  <c r="J28" i="9" s="1"/>
  <c r="E32" i="9"/>
  <c r="H35" i="9"/>
  <c r="M40" i="9"/>
  <c r="Y8" i="11"/>
  <c r="U19" i="8"/>
  <c r="U17" i="9"/>
  <c r="D39" i="8"/>
  <c r="D15" i="8"/>
  <c r="D11" i="8"/>
  <c r="C20" i="9"/>
  <c r="G20" i="9" s="1"/>
  <c r="M24" i="8"/>
  <c r="M24" i="9" s="1"/>
  <c r="M20" i="9"/>
  <c r="N13" i="8"/>
  <c r="N10" i="8"/>
  <c r="N22" i="8"/>
  <c r="Z28" i="8"/>
  <c r="Y28" i="9"/>
  <c r="Z28" i="9" s="1"/>
  <c r="N32" i="8"/>
  <c r="M32" i="9"/>
  <c r="K10" i="9"/>
  <c r="O10" i="9" s="1"/>
  <c r="Y10" i="9"/>
  <c r="Y21" i="9" s="1"/>
  <c r="U11" i="9"/>
  <c r="P12" i="9"/>
  <c r="Y14" i="9"/>
  <c r="M16" i="9"/>
  <c r="R16" i="9" s="1"/>
  <c r="H19" i="9"/>
  <c r="Y25" i="9"/>
  <c r="Z25" i="9" s="1"/>
  <c r="H28" i="9"/>
  <c r="H32" i="9"/>
  <c r="M35" i="9"/>
  <c r="AG8" i="11"/>
  <c r="Z17" i="7"/>
  <c r="AA17" i="7" s="1"/>
  <c r="AB15" i="7"/>
  <c r="AA27" i="7"/>
  <c r="Z14" i="8"/>
  <c r="L18" i="8"/>
  <c r="O20" i="8"/>
  <c r="R28" i="8"/>
  <c r="V17" i="9"/>
  <c r="AB25" i="7"/>
  <c r="AA28" i="7"/>
  <c r="J28" i="8"/>
  <c r="L42" i="8"/>
  <c r="Z27" i="10"/>
  <c r="G26" i="10"/>
  <c r="Z25" i="10"/>
  <c r="E20" i="10"/>
  <c r="C10" i="10"/>
  <c r="I10" i="10"/>
  <c r="K10" i="10"/>
  <c r="M20" i="10"/>
  <c r="K19" i="10"/>
  <c r="K24" i="10" s="1"/>
  <c r="M24" i="10"/>
  <c r="J31" i="10"/>
  <c r="H32" i="10"/>
  <c r="J32" i="10" s="1"/>
  <c r="R31" i="10"/>
  <c r="P32" i="10"/>
  <c r="J38" i="10"/>
  <c r="R38" i="10"/>
  <c r="J39" i="10"/>
  <c r="R39" i="10"/>
  <c r="AC10" i="10"/>
  <c r="Z10" i="10"/>
  <c r="X10" i="10"/>
  <c r="AI8" i="11" s="1"/>
  <c r="V19" i="10"/>
  <c r="U11" i="10"/>
  <c r="U19" i="10" s="1"/>
  <c r="C19" i="10"/>
  <c r="I19" i="10"/>
  <c r="E24" i="10"/>
  <c r="AC28" i="10"/>
  <c r="X28" i="10"/>
  <c r="AA28" i="10" s="1"/>
  <c r="P24" i="10"/>
  <c r="R19" i="10"/>
  <c r="R10" i="10"/>
  <c r="P20" i="10"/>
  <c r="Q38" i="10" s="1"/>
  <c r="AC11" i="10"/>
  <c r="X11" i="10"/>
  <c r="Y19" i="10"/>
  <c r="Y21" i="10" s="1"/>
  <c r="U16" i="10"/>
  <c r="U17" i="10" s="1"/>
  <c r="V17" i="10"/>
  <c r="H24" i="10"/>
  <c r="E32" i="10"/>
  <c r="I32" i="10" s="1"/>
  <c r="C31" i="10"/>
  <c r="G31" i="10" s="1"/>
  <c r="I31" i="10"/>
  <c r="M32" i="10"/>
  <c r="M34" i="10" s="1"/>
  <c r="C39" i="10"/>
  <c r="G39" i="10" s="1"/>
  <c r="I39" i="10"/>
  <c r="X16" i="10"/>
  <c r="Y17" i="10"/>
  <c r="AC16" i="10"/>
  <c r="U10" i="10"/>
  <c r="W8" i="11" s="1"/>
  <c r="V21" i="10"/>
  <c r="V30" i="10" s="1"/>
  <c r="W40" i="7" s="1"/>
  <c r="U28" i="10"/>
  <c r="C34" i="10"/>
  <c r="G34" i="10" s="1"/>
  <c r="C32" i="10"/>
  <c r="G32" i="10" s="1"/>
  <c r="AA23" i="10"/>
  <c r="AA25" i="10"/>
  <c r="W7" i="10"/>
  <c r="AB7" i="10" s="1"/>
  <c r="G28" i="10"/>
  <c r="G30" i="10"/>
  <c r="K31" i="10"/>
  <c r="H34" i="10"/>
  <c r="J34" i="10" s="1"/>
  <c r="Y30" i="9"/>
  <c r="F28" i="9"/>
  <c r="N28" i="9"/>
  <c r="F34" i="9"/>
  <c r="F38" i="9"/>
  <c r="N38" i="9"/>
  <c r="F39" i="9"/>
  <c r="N39" i="9"/>
  <c r="AI7" i="9"/>
  <c r="AI8" i="9" s="1"/>
  <c r="Z10" i="9"/>
  <c r="F12" i="9"/>
  <c r="N12" i="9"/>
  <c r="R20" i="9"/>
  <c r="F22" i="9"/>
  <c r="N22" i="9"/>
  <c r="L31" i="9"/>
  <c r="L32" i="9"/>
  <c r="L36" i="9"/>
  <c r="L41" i="9"/>
  <c r="L42" i="9"/>
  <c r="L43" i="9"/>
  <c r="P7" i="9"/>
  <c r="Z11" i="9"/>
  <c r="F13" i="9"/>
  <c r="N13" i="9"/>
  <c r="F24" i="9"/>
  <c r="N24" i="9"/>
  <c r="I26" i="9"/>
  <c r="Q26" i="9"/>
  <c r="I28" i="9"/>
  <c r="Q28" i="9"/>
  <c r="F30" i="9"/>
  <c r="N30" i="9"/>
  <c r="I38" i="9"/>
  <c r="Q38" i="9"/>
  <c r="I39" i="9"/>
  <c r="Q39" i="9"/>
  <c r="I45" i="9"/>
  <c r="Q45" i="9"/>
  <c r="I46" i="9"/>
  <c r="Q46" i="9"/>
  <c r="L20" i="9"/>
  <c r="Q21" i="9"/>
  <c r="I27" i="9"/>
  <c r="Q27" i="9"/>
  <c r="I22" i="9"/>
  <c r="Q22" i="9"/>
  <c r="AC11" i="9"/>
  <c r="L26" i="9"/>
  <c r="L28" i="9"/>
  <c r="I30" i="9"/>
  <c r="Q30" i="9"/>
  <c r="L34" i="9"/>
  <c r="L38" i="9"/>
  <c r="L39" i="9"/>
  <c r="L45" i="9"/>
  <c r="L46" i="9"/>
  <c r="I31" i="9"/>
  <c r="Q31" i="9"/>
  <c r="I32" i="9"/>
  <c r="Q32" i="9"/>
  <c r="I42" i="9"/>
  <c r="Q42" i="9"/>
  <c r="AC17" i="8"/>
  <c r="Z17" i="8"/>
  <c r="Y19" i="8"/>
  <c r="X19" i="8"/>
  <c r="X19" i="9" s="1"/>
  <c r="AA19" i="9" s="1"/>
  <c r="M36" i="8"/>
  <c r="M36" i="9" s="1"/>
  <c r="N24" i="8"/>
  <c r="E36" i="8"/>
  <c r="E36" i="9" s="1"/>
  <c r="F24" i="8"/>
  <c r="Z13" i="8"/>
  <c r="AA15" i="8"/>
  <c r="AC25" i="8"/>
  <c r="L27" i="8"/>
  <c r="I28" i="8"/>
  <c r="Q28" i="8"/>
  <c r="H34" i="8"/>
  <c r="H34" i="9" s="1"/>
  <c r="I34" i="9" s="1"/>
  <c r="P34" i="8"/>
  <c r="P34" i="9" s="1"/>
  <c r="Q34" i="9" s="1"/>
  <c r="N42" i="8"/>
  <c r="Q45" i="8"/>
  <c r="K7" i="8"/>
  <c r="I22" i="8"/>
  <c r="H24" i="8"/>
  <c r="H24" i="9" s="1"/>
  <c r="I24" i="9" s="1"/>
  <c r="P24" i="8"/>
  <c r="P24" i="9" s="1"/>
  <c r="Q24" i="9" s="1"/>
  <c r="D26" i="8"/>
  <c r="Q26" i="8"/>
  <c r="N27" i="8"/>
  <c r="I30" i="8"/>
  <c r="D31" i="8"/>
  <c r="Q31" i="8"/>
  <c r="I32" i="8"/>
  <c r="Q32" i="8"/>
  <c r="L38" i="8"/>
  <c r="I39" i="8"/>
  <c r="D42" i="8"/>
  <c r="I45" i="8"/>
  <c r="F31" i="8"/>
  <c r="N38" i="8"/>
  <c r="D41" i="8"/>
  <c r="L41" i="8"/>
  <c r="F42" i="8"/>
  <c r="Q42" i="8"/>
  <c r="F46" i="8"/>
  <c r="AC19" i="8"/>
  <c r="J20" i="8"/>
  <c r="R20" i="8"/>
  <c r="D27" i="8"/>
  <c r="Q27" i="8"/>
  <c r="D28" i="8"/>
  <c r="L28" i="8"/>
  <c r="L30" i="8"/>
  <c r="C34" i="8"/>
  <c r="K34" i="8"/>
  <c r="D38" i="8"/>
  <c r="L39" i="8"/>
  <c r="I46" i="8"/>
  <c r="L22" i="8"/>
  <c r="C24" i="8"/>
  <c r="C27" i="9" s="1"/>
  <c r="G27" i="9" s="1"/>
  <c r="K24" i="8"/>
  <c r="K27" i="9" s="1"/>
  <c r="O27" i="9" s="1"/>
  <c r="I26" i="8"/>
  <c r="F27" i="8"/>
  <c r="N30" i="8"/>
  <c r="I31" i="8"/>
  <c r="D32" i="8"/>
  <c r="L32" i="8"/>
  <c r="D34" i="8"/>
  <c r="L34" i="8"/>
  <c r="D36" i="8"/>
  <c r="L36" i="8"/>
  <c r="F38" i="8"/>
  <c r="Q38" i="8"/>
  <c r="I42" i="8"/>
  <c r="L45" i="8"/>
  <c r="N46" i="8"/>
  <c r="N39" i="8"/>
  <c r="D43" i="8"/>
  <c r="L43" i="8"/>
  <c r="D45" i="8"/>
  <c r="AA11" i="8"/>
  <c r="D22" i="8"/>
  <c r="L26" i="8"/>
  <c r="I27" i="8"/>
  <c r="D30" i="8"/>
  <c r="E20" i="7"/>
  <c r="F10" i="7"/>
  <c r="M20" i="7"/>
  <c r="N10" i="7" s="1"/>
  <c r="G12" i="7"/>
  <c r="O12" i="7"/>
  <c r="G22" i="7"/>
  <c r="O22" i="7"/>
  <c r="G39" i="7"/>
  <c r="O39" i="7"/>
  <c r="F42" i="7"/>
  <c r="N42" i="7"/>
  <c r="J27" i="7"/>
  <c r="G13" i="7"/>
  <c r="N13" i="7"/>
  <c r="O15" i="7"/>
  <c r="J30" i="7"/>
  <c r="H32" i="7"/>
  <c r="R30" i="7"/>
  <c r="P32" i="7"/>
  <c r="G46" i="7"/>
  <c r="O46" i="7"/>
  <c r="J15" i="7"/>
  <c r="P28" i="7"/>
  <c r="R26" i="7"/>
  <c r="N31" i="7"/>
  <c r="G11" i="7"/>
  <c r="O11" i="7"/>
  <c r="F12" i="7"/>
  <c r="F22" i="7"/>
  <c r="N22" i="7"/>
  <c r="G26" i="7"/>
  <c r="C28" i="7"/>
  <c r="O26" i="7"/>
  <c r="K28" i="7"/>
  <c r="G27" i="7"/>
  <c r="O27" i="7"/>
  <c r="J31" i="7"/>
  <c r="R31" i="7"/>
  <c r="J38" i="7"/>
  <c r="R38" i="7"/>
  <c r="F39" i="7"/>
  <c r="N39" i="7"/>
  <c r="O13" i="7"/>
  <c r="F38" i="7"/>
  <c r="J10" i="7"/>
  <c r="H20" i="7"/>
  <c r="I38" i="7" s="1"/>
  <c r="R10" i="7"/>
  <c r="P20" i="7"/>
  <c r="Q10" i="7" s="1"/>
  <c r="G15" i="7"/>
  <c r="J42" i="7"/>
  <c r="R42" i="7"/>
  <c r="F46" i="7"/>
  <c r="J11" i="7"/>
  <c r="H28" i="7"/>
  <c r="J26" i="7"/>
  <c r="I26" i="7"/>
  <c r="F31" i="7"/>
  <c r="F11" i="7"/>
  <c r="R13" i="7"/>
  <c r="R15" i="7"/>
  <c r="F26" i="7"/>
  <c r="E28" i="7"/>
  <c r="M28" i="7"/>
  <c r="F27" i="7"/>
  <c r="C32" i="7"/>
  <c r="G30" i="7"/>
  <c r="K32" i="7"/>
  <c r="O30" i="7"/>
  <c r="I12" i="7"/>
  <c r="J12" i="7"/>
  <c r="R12" i="7"/>
  <c r="J13" i="7"/>
  <c r="J22" i="7"/>
  <c r="Q22" i="7"/>
  <c r="R22" i="7"/>
  <c r="G31" i="7"/>
  <c r="O31" i="7"/>
  <c r="G38" i="7"/>
  <c r="O38" i="7"/>
  <c r="I39" i="7"/>
  <c r="J39" i="7"/>
  <c r="Q39" i="7"/>
  <c r="R39" i="7"/>
  <c r="R11" i="7"/>
  <c r="R27" i="7"/>
  <c r="Q27" i="7"/>
  <c r="C20" i="7"/>
  <c r="D46" i="7" s="1"/>
  <c r="G10" i="7"/>
  <c r="D10" i="7"/>
  <c r="O10" i="7"/>
  <c r="K20" i="7"/>
  <c r="L22" i="7" s="1"/>
  <c r="L10" i="7"/>
  <c r="E32" i="7"/>
  <c r="F32" i="7" s="1"/>
  <c r="F30" i="7"/>
  <c r="M32" i="7"/>
  <c r="N32" i="7" s="1"/>
  <c r="G42" i="7"/>
  <c r="O42" i="7"/>
  <c r="I46" i="7"/>
  <c r="J46" i="7"/>
  <c r="R46" i="7"/>
  <c r="AB17" i="7"/>
  <c r="AD17" i="7"/>
  <c r="W41" i="7"/>
  <c r="W42" i="7" s="1"/>
  <c r="V38" i="7"/>
  <c r="AB30" i="7"/>
  <c r="AC30" i="7"/>
  <c r="AA13" i="7"/>
  <c r="AA15" i="7"/>
  <c r="AA16" i="7"/>
  <c r="X7" i="7"/>
  <c r="AC7" i="7" s="1"/>
  <c r="AB13" i="7"/>
  <c r="Y19" i="7"/>
  <c r="AD13" i="7"/>
  <c r="Z19" i="7"/>
  <c r="AD19" i="7" s="1"/>
  <c r="AA11" i="7"/>
  <c r="AB11" i="6"/>
  <c r="AC11" i="6"/>
  <c r="AB15" i="6"/>
  <c r="AI12" i="11" s="1"/>
  <c r="AB25" i="6"/>
  <c r="AB16" i="6"/>
  <c r="G27" i="6"/>
  <c r="O27" i="6"/>
  <c r="AB10" i="6"/>
  <c r="AB13" i="6"/>
  <c r="AI10" i="11" s="1"/>
  <c r="R39" i="5"/>
  <c r="H32" i="5"/>
  <c r="J30" i="5"/>
  <c r="J13" i="5"/>
  <c r="I13" i="5"/>
  <c r="H20" i="5"/>
  <c r="R13" i="5"/>
  <c r="G26" i="5"/>
  <c r="C28" i="5"/>
  <c r="O26" i="5"/>
  <c r="K28" i="5"/>
  <c r="G27" i="5"/>
  <c r="O27" i="5"/>
  <c r="R31" i="5"/>
  <c r="J39" i="5"/>
  <c r="O46" i="5"/>
  <c r="M32" i="5"/>
  <c r="O42" i="5"/>
  <c r="J22" i="5"/>
  <c r="I22" i="5"/>
  <c r="I20" i="5"/>
  <c r="R22" i="5"/>
  <c r="E28" i="5"/>
  <c r="M28" i="5"/>
  <c r="M34" i="5" s="1"/>
  <c r="J31" i="5"/>
  <c r="R38" i="5"/>
  <c r="G46" i="5"/>
  <c r="G13" i="5"/>
  <c r="L13" i="5"/>
  <c r="K20" i="5"/>
  <c r="L27" i="5" s="1"/>
  <c r="O13" i="5"/>
  <c r="E32" i="5"/>
  <c r="J38" i="5"/>
  <c r="I38" i="5"/>
  <c r="G42" i="5"/>
  <c r="M20" i="5"/>
  <c r="R30" i="5"/>
  <c r="P32" i="5"/>
  <c r="C20" i="5"/>
  <c r="D13" i="5" s="1"/>
  <c r="G10" i="5"/>
  <c r="E20" i="5"/>
  <c r="G22" i="5"/>
  <c r="D22" i="5"/>
  <c r="O22" i="5"/>
  <c r="H28" i="5"/>
  <c r="I26" i="5"/>
  <c r="J26" i="5"/>
  <c r="P28" i="5"/>
  <c r="R26" i="5"/>
  <c r="I27" i="5"/>
  <c r="J27" i="5"/>
  <c r="R27" i="5"/>
  <c r="L32" i="5"/>
  <c r="G32" i="5"/>
  <c r="O32" i="5"/>
  <c r="P20" i="5"/>
  <c r="Q13" i="5" s="1"/>
  <c r="G16" i="4"/>
  <c r="X17" i="4"/>
  <c r="AA13" i="4"/>
  <c r="Z13" i="4"/>
  <c r="G17" i="4"/>
  <c r="Z11" i="4"/>
  <c r="O17" i="4"/>
  <c r="H20" i="4"/>
  <c r="I10" i="4" s="1"/>
  <c r="J10" i="4"/>
  <c r="P20" i="4"/>
  <c r="Q10" i="4" s="1"/>
  <c r="R10" i="4"/>
  <c r="V17" i="4"/>
  <c r="G14" i="4"/>
  <c r="O14" i="4"/>
  <c r="AC15" i="4"/>
  <c r="AC16" i="4"/>
  <c r="J18" i="4"/>
  <c r="R18" i="4"/>
  <c r="Q18" i="4"/>
  <c r="J19" i="4"/>
  <c r="I20" i="4"/>
  <c r="J22" i="4"/>
  <c r="R22" i="4"/>
  <c r="Q22" i="4"/>
  <c r="Z25" i="4"/>
  <c r="AA27" i="4"/>
  <c r="G31" i="4"/>
  <c r="O31" i="4"/>
  <c r="G38" i="4"/>
  <c r="O38" i="4"/>
  <c r="G39" i="4"/>
  <c r="O39" i="4"/>
  <c r="G42" i="4"/>
  <c r="O42" i="4"/>
  <c r="G46" i="4"/>
  <c r="D46" i="4"/>
  <c r="O46" i="4"/>
  <c r="AA11" i="4"/>
  <c r="X19" i="4"/>
  <c r="W17" i="4"/>
  <c r="G15" i="4"/>
  <c r="D15" i="4"/>
  <c r="O15" i="4"/>
  <c r="O16" i="4"/>
  <c r="Z27" i="4"/>
  <c r="AA28" i="4"/>
  <c r="E32" i="4"/>
  <c r="M32" i="4"/>
  <c r="J26" i="4"/>
  <c r="H28" i="4"/>
  <c r="I26" i="4"/>
  <c r="J27" i="4"/>
  <c r="I27" i="4"/>
  <c r="G10" i="4"/>
  <c r="C20" i="4"/>
  <c r="D17" i="4" s="1"/>
  <c r="O10" i="4"/>
  <c r="K20" i="4"/>
  <c r="L38" i="4" s="1"/>
  <c r="J11" i="4"/>
  <c r="I11" i="4"/>
  <c r="R11" i="4"/>
  <c r="Q11" i="4"/>
  <c r="Y17" i="4"/>
  <c r="AA17" i="6" s="1"/>
  <c r="AA14" i="4"/>
  <c r="Z14" i="4"/>
  <c r="G18" i="4"/>
  <c r="D18" i="4"/>
  <c r="O18" i="4"/>
  <c r="G19" i="4"/>
  <c r="D19" i="4"/>
  <c r="G22" i="4"/>
  <c r="D22" i="4"/>
  <c r="O22" i="4"/>
  <c r="AC25" i="4"/>
  <c r="J12" i="4"/>
  <c r="I12" i="4"/>
  <c r="R12" i="4"/>
  <c r="Q12" i="4"/>
  <c r="J13" i="4"/>
  <c r="I13" i="4"/>
  <c r="R13" i="4"/>
  <c r="Q13" i="4"/>
  <c r="AA15" i="4"/>
  <c r="Z15" i="4"/>
  <c r="AA16" i="4"/>
  <c r="Z16" i="4"/>
  <c r="AC27" i="4"/>
  <c r="J30" i="4"/>
  <c r="H32" i="4"/>
  <c r="R30" i="4"/>
  <c r="P32" i="4"/>
  <c r="Q30" i="4"/>
  <c r="E20" i="4"/>
  <c r="F18" i="4" s="1"/>
  <c r="M20" i="4"/>
  <c r="N12" i="4" s="1"/>
  <c r="AC11" i="4"/>
  <c r="J14" i="4"/>
  <c r="I14" i="4"/>
  <c r="R14" i="4"/>
  <c r="Q14" i="4"/>
  <c r="N18" i="4"/>
  <c r="C28" i="4"/>
  <c r="D26" i="4"/>
  <c r="G26" i="4"/>
  <c r="K28" i="4"/>
  <c r="L26" i="4"/>
  <c r="O26" i="4"/>
  <c r="D27" i="4"/>
  <c r="G27" i="4"/>
  <c r="O27" i="4"/>
  <c r="AC28" i="4"/>
  <c r="J31" i="4"/>
  <c r="I31" i="4"/>
  <c r="R31" i="4"/>
  <c r="Q31" i="4"/>
  <c r="J38" i="4"/>
  <c r="I38" i="4"/>
  <c r="R38" i="4"/>
  <c r="Q38" i="4"/>
  <c r="J39" i="4"/>
  <c r="I39" i="4"/>
  <c r="R39" i="4"/>
  <c r="Q39" i="4"/>
  <c r="J42" i="4"/>
  <c r="I42" i="4"/>
  <c r="R42" i="4"/>
  <c r="Q42" i="4"/>
  <c r="J46" i="4"/>
  <c r="I46" i="4"/>
  <c r="R46" i="4"/>
  <c r="Q46" i="4"/>
  <c r="R27" i="4"/>
  <c r="Q27" i="4"/>
  <c r="F39" i="4"/>
  <c r="D11" i="4"/>
  <c r="G11" i="4"/>
  <c r="L11" i="4"/>
  <c r="O11" i="4"/>
  <c r="AC13" i="4"/>
  <c r="AB17" i="4"/>
  <c r="J15" i="4"/>
  <c r="Q15" i="4"/>
  <c r="R15" i="4"/>
  <c r="I16" i="4"/>
  <c r="J16" i="4"/>
  <c r="Q16" i="4"/>
  <c r="R16" i="4"/>
  <c r="Q19" i="4"/>
  <c r="AA23" i="4"/>
  <c r="AC23" i="4"/>
  <c r="R26" i="4"/>
  <c r="P28" i="4"/>
  <c r="Q26" i="4"/>
  <c r="Z28" i="4"/>
  <c r="N42" i="4"/>
  <c r="G12" i="4"/>
  <c r="D12" i="4"/>
  <c r="O12" i="4"/>
  <c r="G13" i="4"/>
  <c r="D13" i="4"/>
  <c r="O13" i="4"/>
  <c r="U17" i="4"/>
  <c r="AC14" i="4"/>
  <c r="J17" i="4"/>
  <c r="R17" i="4"/>
  <c r="Q17" i="4"/>
  <c r="Z23" i="4"/>
  <c r="AA25" i="4"/>
  <c r="E28" i="4"/>
  <c r="M28" i="4"/>
  <c r="F27" i="4"/>
  <c r="G30" i="4"/>
  <c r="C32" i="4"/>
  <c r="D30" i="4"/>
  <c r="O30" i="4"/>
  <c r="K32" i="4"/>
  <c r="P7" i="3"/>
  <c r="X17" i="3"/>
  <c r="C32" i="3"/>
  <c r="K32" i="3"/>
  <c r="U7" i="3"/>
  <c r="X7" i="3" s="1"/>
  <c r="G13" i="3"/>
  <c r="O13" i="3"/>
  <c r="G17" i="3"/>
  <c r="O17" i="3"/>
  <c r="Y17" i="3"/>
  <c r="Y19" i="3" s="1"/>
  <c r="C20" i="3"/>
  <c r="D13" i="3" s="1"/>
  <c r="K20" i="3"/>
  <c r="L42" i="3" s="1"/>
  <c r="Z25" i="3"/>
  <c r="G26" i="3"/>
  <c r="O26" i="3"/>
  <c r="G27" i="3"/>
  <c r="O27" i="3"/>
  <c r="AC11" i="3"/>
  <c r="Z13" i="3"/>
  <c r="J22" i="3"/>
  <c r="AA25" i="3"/>
  <c r="Z27" i="3"/>
  <c r="E32" i="3"/>
  <c r="M32" i="3"/>
  <c r="D11" i="3"/>
  <c r="X19" i="3"/>
  <c r="X21" i="3" s="1"/>
  <c r="H28" i="3"/>
  <c r="H28" i="6" s="1"/>
  <c r="P28" i="3"/>
  <c r="H32" i="3"/>
  <c r="P32" i="3"/>
  <c r="H20" i="3"/>
  <c r="I42" i="3" s="1"/>
  <c r="P20" i="3"/>
  <c r="Q16" i="3" s="1"/>
  <c r="I39" i="3"/>
  <c r="R31" i="11" l="1"/>
  <c r="D39" i="3"/>
  <c r="I22" i="3"/>
  <c r="AA17" i="4"/>
  <c r="Z17" i="6"/>
  <c r="Q30" i="5"/>
  <c r="D39" i="7"/>
  <c r="AA13" i="9"/>
  <c r="AA12" i="11" s="1"/>
  <c r="AE12" i="11" s="1"/>
  <c r="Z13" i="9"/>
  <c r="R26" i="9"/>
  <c r="N26" i="9"/>
  <c r="I19" i="9"/>
  <c r="I18" i="9"/>
  <c r="I20" i="9"/>
  <c r="I14" i="9"/>
  <c r="I17" i="9"/>
  <c r="I16" i="9"/>
  <c r="I12" i="9"/>
  <c r="I15" i="9"/>
  <c r="I13" i="9"/>
  <c r="I11" i="9"/>
  <c r="AC25" i="9"/>
  <c r="AK24" i="11"/>
  <c r="V19" i="9"/>
  <c r="V21" i="9" s="1"/>
  <c r="V30" i="9" s="1"/>
  <c r="J15" i="9"/>
  <c r="F15" i="9"/>
  <c r="L27" i="9"/>
  <c r="L14" i="9"/>
  <c r="L17" i="9"/>
  <c r="L13" i="9"/>
  <c r="L15" i="9"/>
  <c r="L12" i="9"/>
  <c r="L18" i="9"/>
  <c r="L22" i="9"/>
  <c r="O20" i="9"/>
  <c r="L19" i="9"/>
  <c r="L16" i="9"/>
  <c r="L30" i="9"/>
  <c r="L21" i="9"/>
  <c r="L11" i="9"/>
  <c r="L24" i="9"/>
  <c r="L10" i="9"/>
  <c r="R27" i="6"/>
  <c r="M27" i="11"/>
  <c r="R17" i="3"/>
  <c r="P17" i="6"/>
  <c r="K12" i="6"/>
  <c r="O12" i="3"/>
  <c r="R26" i="3"/>
  <c r="P26" i="6"/>
  <c r="H15" i="6"/>
  <c r="J15" i="3"/>
  <c r="E39" i="11"/>
  <c r="J39" i="3"/>
  <c r="H39" i="6"/>
  <c r="AG19" i="11"/>
  <c r="X19" i="11"/>
  <c r="AK12" i="11"/>
  <c r="AB12" i="11"/>
  <c r="R30" i="3"/>
  <c r="P30" i="6"/>
  <c r="AK11" i="11"/>
  <c r="AB11" i="11"/>
  <c r="W19" i="11"/>
  <c r="M16" i="6"/>
  <c r="AC13" i="3"/>
  <c r="E38" i="11"/>
  <c r="AA28" i="3"/>
  <c r="O15" i="3"/>
  <c r="K15" i="6"/>
  <c r="M12" i="11"/>
  <c r="O39" i="3"/>
  <c r="K39" i="6"/>
  <c r="AA27" i="3"/>
  <c r="J18" i="3"/>
  <c r="H18" i="6"/>
  <c r="G14" i="3"/>
  <c r="C14" i="6"/>
  <c r="J10" i="3"/>
  <c r="H10" i="6"/>
  <c r="G17" i="6"/>
  <c r="C17" i="11"/>
  <c r="U19" i="4"/>
  <c r="U21" i="4" s="1"/>
  <c r="U30" i="4" s="1"/>
  <c r="W17" i="6"/>
  <c r="D38" i="4"/>
  <c r="L31" i="7"/>
  <c r="I42" i="7"/>
  <c r="D11" i="7"/>
  <c r="D13" i="7"/>
  <c r="O34" i="8"/>
  <c r="K42" i="9"/>
  <c r="O42" i="9" s="1"/>
  <c r="F32" i="9"/>
  <c r="J32" i="9"/>
  <c r="R27" i="9"/>
  <c r="N27" i="9"/>
  <c r="R38" i="9"/>
  <c r="AB21" i="8"/>
  <c r="AB19" i="9"/>
  <c r="AC19" i="9" s="1"/>
  <c r="R10" i="9"/>
  <c r="N10" i="9"/>
  <c r="E27" i="11"/>
  <c r="T19" i="6"/>
  <c r="J17" i="3"/>
  <c r="H17" i="6"/>
  <c r="G12" i="3"/>
  <c r="C12" i="6"/>
  <c r="AA19" i="11"/>
  <c r="AE23" i="6"/>
  <c r="G32" i="6"/>
  <c r="R38" i="3"/>
  <c r="P38" i="6"/>
  <c r="K27" i="11"/>
  <c r="O22" i="3"/>
  <c r="M22" i="6"/>
  <c r="AA15" i="3"/>
  <c r="J30" i="3"/>
  <c r="H30" i="6"/>
  <c r="O17" i="6"/>
  <c r="M17" i="11"/>
  <c r="R13" i="3"/>
  <c r="P13" i="6"/>
  <c r="O22" i="6"/>
  <c r="K22" i="11"/>
  <c r="E16" i="11"/>
  <c r="AC13" i="6"/>
  <c r="AK10" i="11"/>
  <c r="AB10" i="11"/>
  <c r="M32" i="6"/>
  <c r="AB21" i="11"/>
  <c r="AC21" i="11" s="1"/>
  <c r="AK21" i="11"/>
  <c r="AB27" i="6"/>
  <c r="AI21" i="11" s="1"/>
  <c r="G15" i="3"/>
  <c r="C15" i="6"/>
  <c r="J12" i="6"/>
  <c r="E12" i="11"/>
  <c r="G39" i="3"/>
  <c r="C39" i="6"/>
  <c r="AC27" i="6"/>
  <c r="Z21" i="11"/>
  <c r="AC16" i="3"/>
  <c r="V17" i="3"/>
  <c r="M14" i="6"/>
  <c r="I16" i="3"/>
  <c r="H20" i="6"/>
  <c r="I13" i="3"/>
  <c r="L42" i="7"/>
  <c r="I31" i="7"/>
  <c r="D26" i="7"/>
  <c r="G34" i="8"/>
  <c r="C42" i="9"/>
  <c r="G42" i="9" s="1"/>
  <c r="AA10" i="9"/>
  <c r="R22" i="9"/>
  <c r="R12" i="9"/>
  <c r="J11" i="9"/>
  <c r="F11" i="9"/>
  <c r="J26" i="9"/>
  <c r="F26" i="9"/>
  <c r="Q17" i="9"/>
  <c r="Q12" i="9"/>
  <c r="Q18" i="9"/>
  <c r="Q20" i="9"/>
  <c r="Q15" i="9"/>
  <c r="Q13" i="9"/>
  <c r="Q11" i="9"/>
  <c r="Q14" i="9"/>
  <c r="Q19" i="9"/>
  <c r="Q16" i="9"/>
  <c r="F46" i="9"/>
  <c r="F20" i="9"/>
  <c r="J20" i="9"/>
  <c r="Z19" i="9"/>
  <c r="O30" i="3"/>
  <c r="K30" i="6"/>
  <c r="M28" i="3"/>
  <c r="M26" i="6"/>
  <c r="AE14" i="6"/>
  <c r="AA11" i="11"/>
  <c r="AE11" i="11" s="1"/>
  <c r="V19" i="3"/>
  <c r="V21" i="3" s="1"/>
  <c r="V30" i="3" s="1"/>
  <c r="AC23" i="3"/>
  <c r="AA23" i="3"/>
  <c r="AE13" i="6"/>
  <c r="AA10" i="11"/>
  <c r="AE10" i="11" s="1"/>
  <c r="R27" i="3"/>
  <c r="P27" i="6"/>
  <c r="J38" i="3"/>
  <c r="H38" i="6"/>
  <c r="C27" i="11"/>
  <c r="G22" i="3"/>
  <c r="E22" i="6"/>
  <c r="R14" i="3"/>
  <c r="P14" i="6"/>
  <c r="AA21" i="11"/>
  <c r="AE27" i="6"/>
  <c r="E17" i="11"/>
  <c r="J13" i="3"/>
  <c r="H13" i="6"/>
  <c r="G22" i="6"/>
  <c r="C22" i="11"/>
  <c r="AG12" i="11"/>
  <c r="X12" i="11"/>
  <c r="P11" i="6"/>
  <c r="R11" i="3"/>
  <c r="J27" i="3"/>
  <c r="H27" i="6"/>
  <c r="Z11" i="3"/>
  <c r="AA11" i="3"/>
  <c r="O38" i="3"/>
  <c r="K38" i="6"/>
  <c r="AE16" i="6"/>
  <c r="Y10" i="11"/>
  <c r="Y14" i="11" s="1"/>
  <c r="AH10" i="11"/>
  <c r="Y12" i="11"/>
  <c r="AH12" i="11"/>
  <c r="Q38" i="3"/>
  <c r="I19" i="3"/>
  <c r="D15" i="3"/>
  <c r="D42" i="4"/>
  <c r="Q26" i="5"/>
  <c r="L42" i="5"/>
  <c r="D31" i="7"/>
  <c r="D15" i="7"/>
  <c r="I27" i="7"/>
  <c r="D22" i="7"/>
  <c r="Q10" i="10"/>
  <c r="AA14" i="9"/>
  <c r="AA13" i="11" s="1"/>
  <c r="AE13" i="11" s="1"/>
  <c r="Z14" i="9"/>
  <c r="Z13" i="11" s="1"/>
  <c r="C19" i="11"/>
  <c r="G19" i="9"/>
  <c r="J10" i="9"/>
  <c r="F10" i="9"/>
  <c r="U30" i="3"/>
  <c r="W21" i="6"/>
  <c r="W30" i="6" s="1"/>
  <c r="R13" i="9"/>
  <c r="R46" i="9"/>
  <c r="J27" i="9"/>
  <c r="F27" i="9"/>
  <c r="AE8" i="11"/>
  <c r="G30" i="3"/>
  <c r="C30" i="6"/>
  <c r="E26" i="6"/>
  <c r="E28" i="3"/>
  <c r="AH9" i="11"/>
  <c r="Y9" i="11"/>
  <c r="Z19" i="11"/>
  <c r="AC23" i="6"/>
  <c r="R46" i="3"/>
  <c r="P46" i="6"/>
  <c r="R31" i="3"/>
  <c r="P32" i="6"/>
  <c r="K28" i="3"/>
  <c r="O28" i="3" s="1"/>
  <c r="K26" i="6"/>
  <c r="J14" i="3"/>
  <c r="H14" i="6"/>
  <c r="AA16" i="3"/>
  <c r="Z16" i="3"/>
  <c r="R12" i="3"/>
  <c r="P12" i="6"/>
  <c r="G19" i="3"/>
  <c r="H11" i="6"/>
  <c r="J11" i="3"/>
  <c r="J26" i="3"/>
  <c r="H26" i="6"/>
  <c r="AH11" i="11"/>
  <c r="Y11" i="11"/>
  <c r="Z19" i="6"/>
  <c r="AC19" i="6" s="1"/>
  <c r="Z9" i="11"/>
  <c r="G38" i="3"/>
  <c r="C38" i="6"/>
  <c r="AC25" i="3"/>
  <c r="AC15" i="3"/>
  <c r="K17" i="11"/>
  <c r="Y13" i="11"/>
  <c r="AH13" i="11"/>
  <c r="I38" i="3"/>
  <c r="I10" i="3"/>
  <c r="AA17" i="3"/>
  <c r="W19" i="4"/>
  <c r="W21" i="4" s="1"/>
  <c r="Y17" i="6"/>
  <c r="AG14" i="11" s="1"/>
  <c r="D31" i="4"/>
  <c r="V19" i="4"/>
  <c r="V21" i="4" s="1"/>
  <c r="V30" i="4" s="1"/>
  <c r="X17" i="6"/>
  <c r="AH14" i="11" s="1"/>
  <c r="Y19" i="4"/>
  <c r="D42" i="7"/>
  <c r="I11" i="7"/>
  <c r="I30" i="7"/>
  <c r="AC15" i="9"/>
  <c r="R30" i="9"/>
  <c r="N14" i="9"/>
  <c r="R14" i="9"/>
  <c r="G36" i="9"/>
  <c r="C58" i="7"/>
  <c r="F18" i="9"/>
  <c r="J18" i="9"/>
  <c r="F42" i="9"/>
  <c r="J42" i="9"/>
  <c r="K31" i="11"/>
  <c r="AC25" i="6"/>
  <c r="W10" i="11"/>
  <c r="M42" i="11"/>
  <c r="W19" i="6"/>
  <c r="W9" i="11"/>
  <c r="W15" i="11" s="1"/>
  <c r="W18" i="11" s="1"/>
  <c r="J46" i="3"/>
  <c r="H46" i="6"/>
  <c r="J31" i="3"/>
  <c r="H32" i="6"/>
  <c r="J32" i="6" s="1"/>
  <c r="C28" i="3"/>
  <c r="G28" i="3" s="1"/>
  <c r="C26" i="6"/>
  <c r="N18" i="3"/>
  <c r="M18" i="6"/>
  <c r="AE11" i="6"/>
  <c r="AA9" i="11"/>
  <c r="AC16" i="6"/>
  <c r="J12" i="3"/>
  <c r="H12" i="6"/>
  <c r="O18" i="3"/>
  <c r="K18" i="6"/>
  <c r="M15" i="11"/>
  <c r="O10" i="3"/>
  <c r="K10" i="6"/>
  <c r="M46" i="11"/>
  <c r="W13" i="11"/>
  <c r="AG10" i="11"/>
  <c r="X10" i="11"/>
  <c r="O46" i="3"/>
  <c r="K46" i="6"/>
  <c r="O31" i="3"/>
  <c r="K32" i="6"/>
  <c r="R22" i="3"/>
  <c r="P22" i="6"/>
  <c r="AE15" i="6"/>
  <c r="AG9" i="11"/>
  <c r="X9" i="11"/>
  <c r="Y19" i="6"/>
  <c r="AG15" i="11" s="1"/>
  <c r="E14" i="6"/>
  <c r="I31" i="3"/>
  <c r="N17" i="4"/>
  <c r="AB17" i="6"/>
  <c r="AB14" i="11"/>
  <c r="AK14" i="11"/>
  <c r="D10" i="4"/>
  <c r="D27" i="7"/>
  <c r="F36" i="9"/>
  <c r="J36" i="9"/>
  <c r="E58" i="7"/>
  <c r="U21" i="8"/>
  <c r="U19" i="9"/>
  <c r="F17" i="9"/>
  <c r="J17" i="9"/>
  <c r="N42" i="9"/>
  <c r="R42" i="9"/>
  <c r="T6" i="8"/>
  <c r="B6" i="9"/>
  <c r="Z8" i="11"/>
  <c r="AC8" i="11" s="1"/>
  <c r="F14" i="9"/>
  <c r="J14" i="9"/>
  <c r="N15" i="9"/>
  <c r="R15" i="9"/>
  <c r="Z16" i="9"/>
  <c r="AA16" i="9"/>
  <c r="G43" i="9"/>
  <c r="C64" i="7"/>
  <c r="F31" i="9"/>
  <c r="J31" i="9"/>
  <c r="U7" i="8"/>
  <c r="X7" i="8" s="1"/>
  <c r="C7" i="9"/>
  <c r="W21" i="8"/>
  <c r="W19" i="9"/>
  <c r="C31" i="11"/>
  <c r="Y22" i="11"/>
  <c r="AH22" i="11"/>
  <c r="M38" i="11"/>
  <c r="W22" i="11"/>
  <c r="R16" i="3"/>
  <c r="P16" i="6"/>
  <c r="O11" i="3"/>
  <c r="K11" i="6"/>
  <c r="R42" i="3"/>
  <c r="P42" i="6"/>
  <c r="E18" i="6"/>
  <c r="AB19" i="3"/>
  <c r="AC15" i="6"/>
  <c r="Z12" i="11"/>
  <c r="AE25" i="6"/>
  <c r="G18" i="3"/>
  <c r="C18" i="6"/>
  <c r="E15" i="11"/>
  <c r="G10" i="3"/>
  <c r="C10" i="6"/>
  <c r="M30" i="11"/>
  <c r="M33" i="6"/>
  <c r="K16" i="6"/>
  <c r="O16" i="3"/>
  <c r="W17" i="3"/>
  <c r="W19" i="3" s="1"/>
  <c r="G46" i="3"/>
  <c r="C46" i="6"/>
  <c r="G31" i="3"/>
  <c r="C32" i="6"/>
  <c r="I20" i="3"/>
  <c r="H22" i="6"/>
  <c r="M11" i="11"/>
  <c r="AG11" i="11"/>
  <c r="X11" i="11"/>
  <c r="Z10" i="11"/>
  <c r="Q46" i="3"/>
  <c r="D26" i="3"/>
  <c r="N32" i="3"/>
  <c r="L27" i="4"/>
  <c r="D39" i="4"/>
  <c r="Q39" i="5"/>
  <c r="L38" i="7"/>
  <c r="D12" i="7"/>
  <c r="N46" i="9"/>
  <c r="N20" i="9"/>
  <c r="R11" i="9"/>
  <c r="N11" i="9"/>
  <c r="J16" i="9"/>
  <c r="F16" i="9"/>
  <c r="N34" i="8"/>
  <c r="M34" i="9"/>
  <c r="K19" i="11"/>
  <c r="O19" i="9"/>
  <c r="E19" i="11"/>
  <c r="F19" i="9"/>
  <c r="J19" i="9"/>
  <c r="N31" i="9"/>
  <c r="R31" i="9"/>
  <c r="Z15" i="9"/>
  <c r="AA15" i="9"/>
  <c r="Z17" i="9"/>
  <c r="E31" i="11"/>
  <c r="J31" i="11" s="1"/>
  <c r="AG21" i="11"/>
  <c r="X21" i="11"/>
  <c r="O13" i="6"/>
  <c r="K13" i="11"/>
  <c r="J16" i="3"/>
  <c r="H16" i="6"/>
  <c r="G11" i="3"/>
  <c r="C11" i="6"/>
  <c r="J42" i="3"/>
  <c r="H42" i="6"/>
  <c r="AA22" i="11"/>
  <c r="AE22" i="11" s="1"/>
  <c r="AE28" i="6"/>
  <c r="Y20" i="11"/>
  <c r="AH20" i="11"/>
  <c r="AK13" i="11"/>
  <c r="AB13" i="11"/>
  <c r="M20" i="3"/>
  <c r="N19" i="3" s="1"/>
  <c r="M10" i="6"/>
  <c r="Z14" i="3"/>
  <c r="AA14" i="3"/>
  <c r="T32" i="6"/>
  <c r="E46" i="11"/>
  <c r="E30" i="11"/>
  <c r="T21" i="6"/>
  <c r="E33" i="6"/>
  <c r="W12" i="11"/>
  <c r="W14" i="11" s="1"/>
  <c r="M13" i="11"/>
  <c r="O13" i="11" s="1"/>
  <c r="O42" i="3"/>
  <c r="K42" i="6"/>
  <c r="X22" i="11"/>
  <c r="AG22" i="11"/>
  <c r="J19" i="3"/>
  <c r="H19" i="6"/>
  <c r="H19" i="11" s="1"/>
  <c r="E11" i="11"/>
  <c r="AA13" i="3"/>
  <c r="I46" i="3"/>
  <c r="D42" i="3"/>
  <c r="AC17" i="4"/>
  <c r="AD17" i="6"/>
  <c r="AB17" i="3"/>
  <c r="Q27" i="5"/>
  <c r="I22" i="7"/>
  <c r="D30" i="7"/>
  <c r="Q42" i="7"/>
  <c r="I10" i="7"/>
  <c r="L11" i="7"/>
  <c r="L46" i="7"/>
  <c r="N36" i="9"/>
  <c r="R36" i="9"/>
  <c r="N32" i="9"/>
  <c r="R32" i="9"/>
  <c r="R24" i="9"/>
  <c r="AC10" i="9"/>
  <c r="AI9" i="11" s="1"/>
  <c r="AC27" i="9"/>
  <c r="AK26" i="11"/>
  <c r="O36" i="9"/>
  <c r="R58" i="7" s="1"/>
  <c r="N58" i="7"/>
  <c r="M19" i="11"/>
  <c r="R19" i="9"/>
  <c r="AB23" i="6"/>
  <c r="AI19" i="11" s="1"/>
  <c r="AB19" i="11"/>
  <c r="AK19" i="11"/>
  <c r="G13" i="6"/>
  <c r="C13" i="11"/>
  <c r="AK22" i="11"/>
  <c r="AB22" i="11"/>
  <c r="AC22" i="11" s="1"/>
  <c r="Y21" i="11"/>
  <c r="AH21" i="11"/>
  <c r="P15" i="6"/>
  <c r="R15" i="3"/>
  <c r="E42" i="11"/>
  <c r="R39" i="3"/>
  <c r="P39" i="6"/>
  <c r="E20" i="3"/>
  <c r="F32" i="3" s="1"/>
  <c r="E10" i="6"/>
  <c r="AH19" i="11"/>
  <c r="Y19" i="11"/>
  <c r="X13" i="11"/>
  <c r="AG13" i="11"/>
  <c r="Z11" i="11"/>
  <c r="AD11" i="11" s="1"/>
  <c r="AB14" i="6"/>
  <c r="AI11" i="11" s="1"/>
  <c r="AC14" i="6"/>
  <c r="M39" i="11"/>
  <c r="AB28" i="6"/>
  <c r="Z22" i="11"/>
  <c r="AC28" i="6"/>
  <c r="E13" i="11"/>
  <c r="G13" i="11" s="1"/>
  <c r="G42" i="3"/>
  <c r="C42" i="6"/>
  <c r="R18" i="3"/>
  <c r="P18" i="6"/>
  <c r="O14" i="3"/>
  <c r="K14" i="6"/>
  <c r="R10" i="3"/>
  <c r="P10" i="6"/>
  <c r="AA19" i="6"/>
  <c r="AB9" i="11"/>
  <c r="AK9" i="11"/>
  <c r="C16" i="6"/>
  <c r="G16" i="3"/>
  <c r="Y30" i="10"/>
  <c r="AC21" i="10"/>
  <c r="X19" i="10"/>
  <c r="AA19" i="10" s="1"/>
  <c r="AA11" i="10"/>
  <c r="R24" i="10"/>
  <c r="Q24" i="10"/>
  <c r="M36" i="10"/>
  <c r="R59" i="7" s="1"/>
  <c r="AC30" i="10"/>
  <c r="Z11" i="10"/>
  <c r="AA10" i="10"/>
  <c r="K28" i="10"/>
  <c r="O24" i="10"/>
  <c r="O31" i="10"/>
  <c r="K36" i="10"/>
  <c r="N59" i="7" s="1"/>
  <c r="U21" i="10"/>
  <c r="U30" i="10" s="1"/>
  <c r="Z28" i="10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1" i="10"/>
  <c r="N34" i="10"/>
  <c r="N28" i="10"/>
  <c r="N19" i="10"/>
  <c r="N16" i="10"/>
  <c r="N13" i="10"/>
  <c r="N10" i="10"/>
  <c r="N45" i="10"/>
  <c r="N30" i="10"/>
  <c r="Q22" i="10"/>
  <c r="Q15" i="10"/>
  <c r="Q46" i="10"/>
  <c r="Q11" i="10"/>
  <c r="Q28" i="10"/>
  <c r="Q26" i="10"/>
  <c r="Q13" i="10"/>
  <c r="Q30" i="10"/>
  <c r="R20" i="10"/>
  <c r="Q20" i="10"/>
  <c r="Q14" i="10"/>
  <c r="Q42" i="10"/>
  <c r="Q27" i="10"/>
  <c r="Q12" i="10"/>
  <c r="P34" i="10"/>
  <c r="P36" i="10" s="1"/>
  <c r="R32" i="10"/>
  <c r="Q32" i="10"/>
  <c r="K20" i="10"/>
  <c r="O10" i="10"/>
  <c r="AC19" i="10"/>
  <c r="AC17" i="10"/>
  <c r="H36" i="10"/>
  <c r="J24" i="10"/>
  <c r="E36" i="10"/>
  <c r="E59" i="7" s="1"/>
  <c r="I24" i="10"/>
  <c r="Q31" i="10"/>
  <c r="Z16" i="10"/>
  <c r="AI13" i="11" s="1"/>
  <c r="X17" i="10"/>
  <c r="AA17" i="10" s="1"/>
  <c r="AA16" i="10"/>
  <c r="Q39" i="10"/>
  <c r="C20" i="10"/>
  <c r="G10" i="10"/>
  <c r="E34" i="10"/>
  <c r="I34" i="10" s="1"/>
  <c r="Q19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J24" i="8"/>
  <c r="I24" i="8"/>
  <c r="H36" i="8"/>
  <c r="H36" i="9" s="1"/>
  <c r="I36" i="9" s="1"/>
  <c r="N36" i="8"/>
  <c r="M41" i="8"/>
  <c r="M41" i="9" s="1"/>
  <c r="AA19" i="8"/>
  <c r="X21" i="8"/>
  <c r="X21" i="9" s="1"/>
  <c r="X20" i="11" s="1"/>
  <c r="K36" i="8"/>
  <c r="K45" i="9" s="1"/>
  <c r="O45" i="9" s="1"/>
  <c r="O24" i="8"/>
  <c r="C36" i="8"/>
  <c r="C45" i="9" s="1"/>
  <c r="G45" i="9" s="1"/>
  <c r="G24" i="8"/>
  <c r="R34" i="8"/>
  <c r="Q34" i="8"/>
  <c r="Y21" i="8"/>
  <c r="Z19" i="8"/>
  <c r="J34" i="8"/>
  <c r="I34" i="8"/>
  <c r="F36" i="8"/>
  <c r="E41" i="8"/>
  <c r="E41" i="9" s="1"/>
  <c r="R24" i="8"/>
  <c r="Q24" i="8"/>
  <c r="P36" i="8"/>
  <c r="P36" i="9" s="1"/>
  <c r="Q36" i="9" s="1"/>
  <c r="D38" i="7"/>
  <c r="L32" i="7"/>
  <c r="O32" i="7"/>
  <c r="F28" i="7"/>
  <c r="E34" i="7"/>
  <c r="F34" i="7" s="1"/>
  <c r="J20" i="7"/>
  <c r="I20" i="7"/>
  <c r="H24" i="7"/>
  <c r="L39" i="7"/>
  <c r="L12" i="7"/>
  <c r="J28" i="7"/>
  <c r="I28" i="7"/>
  <c r="H34" i="7"/>
  <c r="Z21" i="7"/>
  <c r="AA19" i="7"/>
  <c r="Q26" i="7"/>
  <c r="Q30" i="7"/>
  <c r="Q46" i="7"/>
  <c r="N30" i="7"/>
  <c r="C24" i="7"/>
  <c r="G20" i="7"/>
  <c r="D20" i="7"/>
  <c r="Q12" i="7"/>
  <c r="D32" i="7"/>
  <c r="G32" i="7"/>
  <c r="L13" i="7"/>
  <c r="Q31" i="7"/>
  <c r="K34" i="7"/>
  <c r="O28" i="7"/>
  <c r="L28" i="7"/>
  <c r="N12" i="7"/>
  <c r="R32" i="7"/>
  <c r="Q32" i="7"/>
  <c r="AB19" i="7"/>
  <c r="Y21" i="7"/>
  <c r="N38" i="7"/>
  <c r="N27" i="7"/>
  <c r="N11" i="7"/>
  <c r="N46" i="7"/>
  <c r="L26" i="7"/>
  <c r="R28" i="7"/>
  <c r="Q28" i="7"/>
  <c r="P34" i="7"/>
  <c r="R20" i="7"/>
  <c r="Q20" i="7"/>
  <c r="P24" i="7"/>
  <c r="N20" i="7"/>
  <c r="M24" i="7"/>
  <c r="X38" i="7"/>
  <c r="M34" i="7"/>
  <c r="N34" i="7" s="1"/>
  <c r="N28" i="7"/>
  <c r="C34" i="7"/>
  <c r="G28" i="7"/>
  <c r="D28" i="7"/>
  <c r="J32" i="7"/>
  <c r="I32" i="7"/>
  <c r="K24" i="7"/>
  <c r="O20" i="7"/>
  <c r="L20" i="7"/>
  <c r="Q11" i="7"/>
  <c r="L30" i="7"/>
  <c r="N26" i="7"/>
  <c r="Q38" i="7"/>
  <c r="L27" i="7"/>
  <c r="F20" i="7"/>
  <c r="E24" i="7"/>
  <c r="F45" i="5"/>
  <c r="F42" i="5"/>
  <c r="F14" i="5"/>
  <c r="F34" i="5"/>
  <c r="F19" i="5"/>
  <c r="F16" i="5"/>
  <c r="F46" i="5"/>
  <c r="F30" i="5"/>
  <c r="F43" i="5"/>
  <c r="F28" i="5"/>
  <c r="F27" i="5"/>
  <c r="F26" i="5"/>
  <c r="F11" i="5"/>
  <c r="F18" i="5"/>
  <c r="F17" i="5"/>
  <c r="F15" i="5"/>
  <c r="F38" i="5"/>
  <c r="F24" i="5"/>
  <c r="F39" i="5"/>
  <c r="F36" i="5"/>
  <c r="F31" i="5"/>
  <c r="E24" i="5"/>
  <c r="F22" i="5"/>
  <c r="F32" i="5"/>
  <c r="F20" i="5"/>
  <c r="F12" i="5"/>
  <c r="F10" i="5"/>
  <c r="F41" i="5"/>
  <c r="F13" i="5"/>
  <c r="D10" i="5"/>
  <c r="D42" i="5"/>
  <c r="L26" i="5"/>
  <c r="I11" i="5"/>
  <c r="I15" i="5"/>
  <c r="H24" i="5"/>
  <c r="J20" i="5"/>
  <c r="I12" i="5"/>
  <c r="I10" i="5"/>
  <c r="I16" i="5"/>
  <c r="I14" i="5"/>
  <c r="I46" i="5"/>
  <c r="D16" i="5"/>
  <c r="D20" i="5"/>
  <c r="D14" i="5"/>
  <c r="D30" i="5"/>
  <c r="D11" i="5"/>
  <c r="D17" i="5"/>
  <c r="D15" i="5"/>
  <c r="D12" i="5"/>
  <c r="C24" i="5"/>
  <c r="D38" i="5"/>
  <c r="G20" i="5"/>
  <c r="D46" i="5"/>
  <c r="R32" i="5"/>
  <c r="Q32" i="5"/>
  <c r="G28" i="5"/>
  <c r="C34" i="5"/>
  <c r="D28" i="5"/>
  <c r="I28" i="5"/>
  <c r="J28" i="5"/>
  <c r="Q42" i="5"/>
  <c r="Q46" i="5"/>
  <c r="P24" i="5"/>
  <c r="Q11" i="5"/>
  <c r="R20" i="5"/>
  <c r="Q15" i="5"/>
  <c r="Q20" i="5"/>
  <c r="Q17" i="5"/>
  <c r="Q16" i="5"/>
  <c r="Q14" i="5"/>
  <c r="Q12" i="5"/>
  <c r="Q10" i="5"/>
  <c r="L22" i="5"/>
  <c r="Q38" i="5"/>
  <c r="D26" i="5"/>
  <c r="J32" i="5"/>
  <c r="I32" i="5"/>
  <c r="H34" i="5"/>
  <c r="D18" i="5"/>
  <c r="L17" i="5"/>
  <c r="L31" i="5"/>
  <c r="L20" i="5"/>
  <c r="L12" i="5"/>
  <c r="L10" i="5"/>
  <c r="L39" i="5"/>
  <c r="L16" i="5"/>
  <c r="L14" i="5"/>
  <c r="K24" i="5"/>
  <c r="L30" i="5"/>
  <c r="L19" i="5"/>
  <c r="O20" i="5"/>
  <c r="L11" i="5"/>
  <c r="L38" i="5"/>
  <c r="L15" i="5"/>
  <c r="D27" i="5"/>
  <c r="L18" i="5"/>
  <c r="N12" i="5"/>
  <c r="N10" i="5"/>
  <c r="N13" i="5"/>
  <c r="N42" i="5"/>
  <c r="N39" i="5"/>
  <c r="N16" i="5"/>
  <c r="N28" i="5"/>
  <c r="N27" i="5"/>
  <c r="N26" i="5"/>
  <c r="N18" i="5"/>
  <c r="N14" i="5"/>
  <c r="N46" i="5"/>
  <c r="N30" i="5"/>
  <c r="N19" i="5"/>
  <c r="N11" i="5"/>
  <c r="N20" i="5"/>
  <c r="N38" i="5"/>
  <c r="M24" i="5"/>
  <c r="M36" i="5" s="1"/>
  <c r="N36" i="5" s="1"/>
  <c r="N22" i="5"/>
  <c r="N15" i="5"/>
  <c r="N17" i="5"/>
  <c r="N34" i="5"/>
  <c r="N32" i="5"/>
  <c r="N31" i="5"/>
  <c r="Q28" i="5"/>
  <c r="P34" i="5"/>
  <c r="R28" i="5"/>
  <c r="D32" i="5"/>
  <c r="E34" i="5"/>
  <c r="L46" i="5"/>
  <c r="O28" i="5"/>
  <c r="K34" i="5"/>
  <c r="L28" i="5"/>
  <c r="Q31" i="5"/>
  <c r="AA30" i="4"/>
  <c r="G32" i="4"/>
  <c r="D32" i="4"/>
  <c r="L13" i="4"/>
  <c r="L19" i="4"/>
  <c r="F19" i="4"/>
  <c r="AB19" i="4"/>
  <c r="I30" i="4"/>
  <c r="N15" i="4"/>
  <c r="N39" i="4"/>
  <c r="N46" i="4"/>
  <c r="L42" i="4"/>
  <c r="D14" i="4"/>
  <c r="Q20" i="4"/>
  <c r="P24" i="4"/>
  <c r="R20" i="4"/>
  <c r="M24" i="4"/>
  <c r="N20" i="4"/>
  <c r="F15" i="4"/>
  <c r="O20" i="4"/>
  <c r="K24" i="4"/>
  <c r="L20" i="4"/>
  <c r="F38" i="4"/>
  <c r="N32" i="4"/>
  <c r="L15" i="4"/>
  <c r="F12" i="4"/>
  <c r="J32" i="4"/>
  <c r="I32" i="4"/>
  <c r="N27" i="4"/>
  <c r="N38" i="4"/>
  <c r="I15" i="4"/>
  <c r="F42" i="4"/>
  <c r="L28" i="4"/>
  <c r="O28" i="4"/>
  <c r="K34" i="4"/>
  <c r="N10" i="4"/>
  <c r="L18" i="4"/>
  <c r="L10" i="4"/>
  <c r="N31" i="4"/>
  <c r="N30" i="4"/>
  <c r="AA19" i="4"/>
  <c r="X21" i="4"/>
  <c r="Z21" i="6" s="1"/>
  <c r="AC21" i="6" s="1"/>
  <c r="I18" i="4"/>
  <c r="N14" i="4"/>
  <c r="E24" i="4"/>
  <c r="F20" i="4"/>
  <c r="F30" i="4"/>
  <c r="H24" i="4"/>
  <c r="J20" i="4"/>
  <c r="F14" i="4"/>
  <c r="L30" i="4"/>
  <c r="N26" i="4"/>
  <c r="I17" i="4"/>
  <c r="L12" i="4"/>
  <c r="F31" i="4"/>
  <c r="F10" i="4"/>
  <c r="N19" i="4"/>
  <c r="L22" i="4"/>
  <c r="Z17" i="4"/>
  <c r="D20" i="4"/>
  <c r="G20" i="4"/>
  <c r="C24" i="4"/>
  <c r="F32" i="4"/>
  <c r="L46" i="4"/>
  <c r="L39" i="4"/>
  <c r="L31" i="4"/>
  <c r="I22" i="4"/>
  <c r="N11" i="4"/>
  <c r="L17" i="4"/>
  <c r="M34" i="4"/>
  <c r="N34" i="4" s="1"/>
  <c r="N28" i="4"/>
  <c r="P34" i="4"/>
  <c r="R28" i="4"/>
  <c r="Q28" i="4"/>
  <c r="D28" i="4"/>
  <c r="G28" i="4"/>
  <c r="C34" i="4"/>
  <c r="F11" i="4"/>
  <c r="O32" i="4"/>
  <c r="L32" i="4"/>
  <c r="F26" i="4"/>
  <c r="N22" i="4"/>
  <c r="R32" i="4"/>
  <c r="Q32" i="4"/>
  <c r="F17" i="4"/>
  <c r="N16" i="4"/>
  <c r="H34" i="4"/>
  <c r="J28" i="4"/>
  <c r="I28" i="4"/>
  <c r="N13" i="4"/>
  <c r="L14" i="4"/>
  <c r="E34" i="4"/>
  <c r="F34" i="4" s="1"/>
  <c r="F28" i="4"/>
  <c r="F22" i="4"/>
  <c r="F16" i="4"/>
  <c r="F46" i="4"/>
  <c r="L16" i="4"/>
  <c r="F13" i="4"/>
  <c r="Y21" i="4"/>
  <c r="Z19" i="4"/>
  <c r="Z19" i="3"/>
  <c r="AC19" i="3"/>
  <c r="Y21" i="3"/>
  <c r="AA21" i="6" s="1"/>
  <c r="X30" i="3"/>
  <c r="AA21" i="3"/>
  <c r="G32" i="3"/>
  <c r="D32" i="3"/>
  <c r="Q20" i="3"/>
  <c r="Q15" i="3"/>
  <c r="Q30" i="3"/>
  <c r="Q18" i="3"/>
  <c r="Q14" i="3"/>
  <c r="P24" i="3"/>
  <c r="R20" i="3"/>
  <c r="Q11" i="3"/>
  <c r="Q17" i="3"/>
  <c r="Q12" i="3"/>
  <c r="O20" i="3"/>
  <c r="L12" i="3"/>
  <c r="K24" i="3"/>
  <c r="L22" i="3"/>
  <c r="L16" i="3"/>
  <c r="L20" i="3"/>
  <c r="L30" i="3"/>
  <c r="L18" i="3"/>
  <c r="L14" i="3"/>
  <c r="L13" i="3"/>
  <c r="I15" i="3"/>
  <c r="I30" i="3"/>
  <c r="I18" i="3"/>
  <c r="I14" i="3"/>
  <c r="H24" i="3"/>
  <c r="H24" i="6" s="1"/>
  <c r="I11" i="3"/>
  <c r="P34" i="3"/>
  <c r="R28" i="3"/>
  <c r="Q28" i="3"/>
  <c r="I17" i="3"/>
  <c r="I12" i="3"/>
  <c r="L39" i="3"/>
  <c r="D12" i="3"/>
  <c r="C24" i="3"/>
  <c r="D22" i="3"/>
  <c r="D16" i="3"/>
  <c r="D20" i="3"/>
  <c r="D30" i="3"/>
  <c r="D18" i="3"/>
  <c r="D14" i="3"/>
  <c r="L17" i="3"/>
  <c r="AA19" i="3"/>
  <c r="Q31" i="3"/>
  <c r="Q19" i="3"/>
  <c r="H34" i="3"/>
  <c r="J28" i="3"/>
  <c r="I28" i="3"/>
  <c r="Q13" i="3"/>
  <c r="L19" i="3"/>
  <c r="Q27" i="3"/>
  <c r="L46" i="3"/>
  <c r="L38" i="3"/>
  <c r="D19" i="3"/>
  <c r="L10" i="3"/>
  <c r="M34" i="3"/>
  <c r="N34" i="3" s="1"/>
  <c r="E34" i="3"/>
  <c r="F34" i="3" s="1"/>
  <c r="J32" i="3"/>
  <c r="I32" i="3"/>
  <c r="Q42" i="3"/>
  <c r="L26" i="3"/>
  <c r="Q10" i="3"/>
  <c r="I27" i="3"/>
  <c r="L11" i="3"/>
  <c r="D46" i="3"/>
  <c r="D38" i="3"/>
  <c r="AC17" i="3"/>
  <c r="Z17" i="3"/>
  <c r="D10" i="3"/>
  <c r="C34" i="3"/>
  <c r="D27" i="3"/>
  <c r="Q26" i="3"/>
  <c r="L15" i="3"/>
  <c r="L31" i="3"/>
  <c r="D17" i="3"/>
  <c r="Q39" i="3"/>
  <c r="R32" i="3"/>
  <c r="Q32" i="3"/>
  <c r="I26" i="3"/>
  <c r="D31" i="3"/>
  <c r="Q22" i="3"/>
  <c r="O32" i="3"/>
  <c r="L32" i="3"/>
  <c r="L28" i="3"/>
  <c r="L27" i="3"/>
  <c r="D28" i="3"/>
  <c r="W24" i="11" l="1"/>
  <c r="AD13" i="11"/>
  <c r="AC13" i="11"/>
  <c r="AE17" i="6"/>
  <c r="AA14" i="11"/>
  <c r="AE14" i="11" s="1"/>
  <c r="AD19" i="6"/>
  <c r="AE19" i="6" s="1"/>
  <c r="O14" i="6"/>
  <c r="K14" i="11"/>
  <c r="AD22" i="11"/>
  <c r="R15" i="6"/>
  <c r="P15" i="11"/>
  <c r="AE19" i="11"/>
  <c r="AC19" i="11"/>
  <c r="E32" i="11"/>
  <c r="M32" i="11"/>
  <c r="AC12" i="11"/>
  <c r="AD12" i="11"/>
  <c r="O11" i="6"/>
  <c r="K11" i="11"/>
  <c r="G31" i="11"/>
  <c r="AF3" i="9"/>
  <c r="T6" i="9"/>
  <c r="I12" i="6"/>
  <c r="H12" i="11"/>
  <c r="C26" i="11"/>
  <c r="C28" i="6"/>
  <c r="D26" i="6"/>
  <c r="G26" i="6"/>
  <c r="W30" i="4"/>
  <c r="Y21" i="6"/>
  <c r="W21" i="3"/>
  <c r="W30" i="3" s="1"/>
  <c r="J14" i="6"/>
  <c r="H14" i="11"/>
  <c r="I14" i="6"/>
  <c r="R11" i="6"/>
  <c r="P11" i="11"/>
  <c r="Q11" i="6"/>
  <c r="C15" i="11"/>
  <c r="G15" i="6"/>
  <c r="D15" i="6"/>
  <c r="J18" i="6"/>
  <c r="H18" i="11"/>
  <c r="I18" i="6"/>
  <c r="P28" i="6"/>
  <c r="P26" i="11"/>
  <c r="Z14" i="11"/>
  <c r="AC17" i="6"/>
  <c r="E36" i="5"/>
  <c r="F41" i="9"/>
  <c r="J41" i="9"/>
  <c r="AI22" i="11"/>
  <c r="I16" i="6"/>
  <c r="H16" i="11"/>
  <c r="J16" i="6"/>
  <c r="C20" i="6"/>
  <c r="D32" i="6" s="1"/>
  <c r="C10" i="11"/>
  <c r="G10" i="6"/>
  <c r="D10" i="6"/>
  <c r="R22" i="6"/>
  <c r="P22" i="11"/>
  <c r="Q22" i="6"/>
  <c r="G38" i="6"/>
  <c r="C38" i="11"/>
  <c r="D38" i="6"/>
  <c r="AD19" i="11"/>
  <c r="O38" i="6"/>
  <c r="AE21" i="11"/>
  <c r="P27" i="11"/>
  <c r="J30" i="6"/>
  <c r="H30" i="11"/>
  <c r="H33" i="6"/>
  <c r="I30" i="6"/>
  <c r="T22" i="6"/>
  <c r="J17" i="6"/>
  <c r="H17" i="11"/>
  <c r="I17" i="6"/>
  <c r="AC11" i="11"/>
  <c r="C16" i="11"/>
  <c r="G16" i="11" s="1"/>
  <c r="G16" i="6"/>
  <c r="R18" i="6"/>
  <c r="P18" i="11"/>
  <c r="Q18" i="6"/>
  <c r="E20" i="6"/>
  <c r="E10" i="11"/>
  <c r="F10" i="6"/>
  <c r="O42" i="6"/>
  <c r="R34" i="9"/>
  <c r="N34" i="9"/>
  <c r="AD10" i="11"/>
  <c r="AC10" i="11"/>
  <c r="G46" i="6"/>
  <c r="C46" i="11"/>
  <c r="D46" i="6"/>
  <c r="P16" i="11"/>
  <c r="R16" i="6"/>
  <c r="Q16" i="6"/>
  <c r="W30" i="8"/>
  <c r="W21" i="9"/>
  <c r="E14" i="11"/>
  <c r="F14" i="6"/>
  <c r="J11" i="6"/>
  <c r="H11" i="11"/>
  <c r="I11" i="6"/>
  <c r="K26" i="11"/>
  <c r="K28" i="6"/>
  <c r="O26" i="6"/>
  <c r="Y15" i="11"/>
  <c r="Y18" i="11" s="1"/>
  <c r="Y23" i="11" s="1"/>
  <c r="R14" i="6"/>
  <c r="P14" i="11"/>
  <c r="R26" i="6"/>
  <c r="M26" i="11"/>
  <c r="M28" i="6"/>
  <c r="K34" i="3"/>
  <c r="L34" i="3" s="1"/>
  <c r="AD21" i="11"/>
  <c r="AB21" i="9"/>
  <c r="AB30" i="8"/>
  <c r="G17" i="11"/>
  <c r="J39" i="6"/>
  <c r="H39" i="11"/>
  <c r="I39" i="6"/>
  <c r="F15" i="3"/>
  <c r="F31" i="3"/>
  <c r="F19" i="3"/>
  <c r="F30" i="3"/>
  <c r="F42" i="3"/>
  <c r="F38" i="3"/>
  <c r="F27" i="3"/>
  <c r="F10" i="3"/>
  <c r="F46" i="3"/>
  <c r="F26" i="3"/>
  <c r="F12" i="3"/>
  <c r="F17" i="3"/>
  <c r="F39" i="3"/>
  <c r="E24" i="3"/>
  <c r="F13" i="3"/>
  <c r="F11" i="3"/>
  <c r="F20" i="3"/>
  <c r="F16" i="3"/>
  <c r="F22" i="3"/>
  <c r="U7" i="9"/>
  <c r="X7" i="9" s="1"/>
  <c r="K7" i="9"/>
  <c r="F14" i="3"/>
  <c r="K20" i="6"/>
  <c r="L42" i="6" s="1"/>
  <c r="K10" i="11"/>
  <c r="O10" i="6"/>
  <c r="L10" i="6"/>
  <c r="Z15" i="11"/>
  <c r="AD9" i="11"/>
  <c r="G19" i="11"/>
  <c r="N28" i="3"/>
  <c r="O22" i="11"/>
  <c r="AG20" i="11"/>
  <c r="O39" i="6"/>
  <c r="L39" i="6"/>
  <c r="T26" i="6"/>
  <c r="K12" i="11"/>
  <c r="L12" i="6"/>
  <c r="O12" i="6"/>
  <c r="AB15" i="11"/>
  <c r="AC9" i="11"/>
  <c r="G18" i="6"/>
  <c r="C18" i="11"/>
  <c r="E18" i="11"/>
  <c r="F18" i="6"/>
  <c r="AA15" i="11"/>
  <c r="AE9" i="11"/>
  <c r="J46" i="6"/>
  <c r="H46" i="11"/>
  <c r="I46" i="6"/>
  <c r="O31" i="11"/>
  <c r="P12" i="11"/>
  <c r="R32" i="6"/>
  <c r="X19" i="6"/>
  <c r="E22" i="11"/>
  <c r="F22" i="6"/>
  <c r="T11" i="6"/>
  <c r="K33" i="6"/>
  <c r="O30" i="6"/>
  <c r="I32" i="6"/>
  <c r="I20" i="6"/>
  <c r="J20" i="6"/>
  <c r="G39" i="6"/>
  <c r="C39" i="11"/>
  <c r="D39" i="6"/>
  <c r="M22" i="11"/>
  <c r="H10" i="11"/>
  <c r="J10" i="6"/>
  <c r="I10" i="6"/>
  <c r="R30" i="6"/>
  <c r="P30" i="11"/>
  <c r="P33" i="6"/>
  <c r="R17" i="6"/>
  <c r="P17" i="11"/>
  <c r="I28" i="6"/>
  <c r="G42" i="6"/>
  <c r="C42" i="11"/>
  <c r="D42" i="6"/>
  <c r="T29" i="6"/>
  <c r="R39" i="6"/>
  <c r="P39" i="11"/>
  <c r="G20" i="3"/>
  <c r="J20" i="3"/>
  <c r="Z21" i="9"/>
  <c r="Z20" i="11" s="1"/>
  <c r="X30" i="9"/>
  <c r="Z30" i="9" s="1"/>
  <c r="AA21" i="9"/>
  <c r="AA20" i="11" s="1"/>
  <c r="AA30" i="10"/>
  <c r="V40" i="7"/>
  <c r="V41" i="7" s="1"/>
  <c r="V42" i="7" s="1"/>
  <c r="X42" i="7" s="1"/>
  <c r="AK15" i="11"/>
  <c r="AB19" i="6"/>
  <c r="M20" i="6"/>
  <c r="N26" i="6" s="1"/>
  <c r="M10" i="11"/>
  <c r="J42" i="6"/>
  <c r="H42" i="11"/>
  <c r="I42" i="6"/>
  <c r="F18" i="3"/>
  <c r="O46" i="6"/>
  <c r="F28" i="3"/>
  <c r="H27" i="11"/>
  <c r="I27" i="6"/>
  <c r="J13" i="6"/>
  <c r="H13" i="11"/>
  <c r="I13" i="6"/>
  <c r="O32" i="6"/>
  <c r="N32" i="6"/>
  <c r="R13" i="6"/>
  <c r="P13" i="11"/>
  <c r="Q13" i="6"/>
  <c r="J27" i="6"/>
  <c r="M16" i="11"/>
  <c r="N16" i="6"/>
  <c r="T27" i="6"/>
  <c r="I24" i="6"/>
  <c r="AB21" i="6"/>
  <c r="AK18" i="11"/>
  <c r="P20" i="6"/>
  <c r="Q27" i="6" s="1"/>
  <c r="P10" i="11"/>
  <c r="R10" i="6"/>
  <c r="Q10" i="6"/>
  <c r="J19" i="11"/>
  <c r="F33" i="6"/>
  <c r="N20" i="3"/>
  <c r="N22" i="3"/>
  <c r="N15" i="3"/>
  <c r="N30" i="3"/>
  <c r="N38" i="3"/>
  <c r="N27" i="3"/>
  <c r="N10" i="3"/>
  <c r="N46" i="3"/>
  <c r="N26" i="3"/>
  <c r="N12" i="3"/>
  <c r="N17" i="3"/>
  <c r="M24" i="3"/>
  <c r="N24" i="3" s="1"/>
  <c r="N13" i="3"/>
  <c r="N42" i="3"/>
  <c r="N39" i="3"/>
  <c r="N11" i="3"/>
  <c r="J22" i="6"/>
  <c r="H22" i="11"/>
  <c r="I22" i="6"/>
  <c r="K16" i="11"/>
  <c r="O16" i="6"/>
  <c r="R42" i="6"/>
  <c r="P42" i="11"/>
  <c r="Q42" i="6"/>
  <c r="AD14" i="11"/>
  <c r="AC14" i="11"/>
  <c r="O18" i="6"/>
  <c r="K18" i="11"/>
  <c r="M18" i="11"/>
  <c r="N18" i="6"/>
  <c r="O17" i="11"/>
  <c r="R46" i="6"/>
  <c r="P46" i="11"/>
  <c r="Q46" i="6"/>
  <c r="J26" i="6"/>
  <c r="E26" i="11"/>
  <c r="T13" i="6"/>
  <c r="E28" i="6"/>
  <c r="F26" i="6"/>
  <c r="G27" i="11"/>
  <c r="M14" i="11"/>
  <c r="N14" i="6"/>
  <c r="J12" i="11"/>
  <c r="N31" i="3"/>
  <c r="O27" i="11"/>
  <c r="G14" i="6"/>
  <c r="C14" i="11"/>
  <c r="D14" i="6"/>
  <c r="R12" i="6"/>
  <c r="N16" i="3"/>
  <c r="N41" i="9"/>
  <c r="G11" i="6"/>
  <c r="C11" i="11"/>
  <c r="D11" i="6"/>
  <c r="N33" i="6"/>
  <c r="Z18" i="11"/>
  <c r="Z23" i="11" s="1"/>
  <c r="AD8" i="11"/>
  <c r="U30" i="8"/>
  <c r="U21" i="9"/>
  <c r="X14" i="11"/>
  <c r="X15" i="11" s="1"/>
  <c r="I26" i="6"/>
  <c r="H26" i="11"/>
  <c r="C30" i="11"/>
  <c r="C33" i="6"/>
  <c r="T23" i="6" s="1"/>
  <c r="G30" i="6"/>
  <c r="D30" i="6"/>
  <c r="J38" i="6"/>
  <c r="H38" i="11"/>
  <c r="I38" i="6"/>
  <c r="AA30" i="3"/>
  <c r="N14" i="3"/>
  <c r="R38" i="6"/>
  <c r="P38" i="11"/>
  <c r="Q38" i="6"/>
  <c r="C12" i="11"/>
  <c r="D12" i="6"/>
  <c r="G12" i="6"/>
  <c r="K15" i="11"/>
  <c r="L15" i="6"/>
  <c r="O15" i="6"/>
  <c r="J15" i="6"/>
  <c r="H15" i="11"/>
  <c r="I15" i="6"/>
  <c r="Q36" i="10"/>
  <c r="P41" i="10"/>
  <c r="P45" i="10"/>
  <c r="R36" i="10"/>
  <c r="G24" i="10"/>
  <c r="C36" i="10"/>
  <c r="C59" i="7" s="1"/>
  <c r="Z19" i="10"/>
  <c r="K32" i="10"/>
  <c r="O28" i="10"/>
  <c r="X21" i="10"/>
  <c r="E45" i="10"/>
  <c r="I45" i="10" s="1"/>
  <c r="I36" i="10"/>
  <c r="E41" i="10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L16" i="10"/>
  <c r="L13" i="10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Z30" i="10"/>
  <c r="H41" i="10"/>
  <c r="H45" i="10"/>
  <c r="J45" i="10" s="1"/>
  <c r="J36" i="10"/>
  <c r="K41" i="10"/>
  <c r="O36" i="10"/>
  <c r="Z17" i="10"/>
  <c r="AI14" i="11" s="1"/>
  <c r="R34" i="10"/>
  <c r="Q34" i="10"/>
  <c r="M45" i="10"/>
  <c r="M41" i="10"/>
  <c r="M43" i="10" s="1"/>
  <c r="P41" i="8"/>
  <c r="P41" i="9" s="1"/>
  <c r="Q41" i="9" s="1"/>
  <c r="R36" i="8"/>
  <c r="Q36" i="8"/>
  <c r="Y30" i="8"/>
  <c r="Z21" i="8"/>
  <c r="AC21" i="8"/>
  <c r="X30" i="8"/>
  <c r="AA21" i="8"/>
  <c r="M43" i="8"/>
  <c r="M43" i="9" s="1"/>
  <c r="N41" i="8"/>
  <c r="E43" i="8"/>
  <c r="E43" i="9" s="1"/>
  <c r="F41" i="8"/>
  <c r="C41" i="8"/>
  <c r="G36" i="8"/>
  <c r="H41" i="8"/>
  <c r="H41" i="9" s="1"/>
  <c r="I41" i="9" s="1"/>
  <c r="J36" i="8"/>
  <c r="I36" i="8"/>
  <c r="K41" i="8"/>
  <c r="O36" i="8"/>
  <c r="L24" i="7"/>
  <c r="K36" i="7"/>
  <c r="O24" i="7"/>
  <c r="J24" i="7"/>
  <c r="I24" i="7"/>
  <c r="H36" i="7"/>
  <c r="R24" i="7"/>
  <c r="Q24" i="7"/>
  <c r="P36" i="7"/>
  <c r="AA21" i="7"/>
  <c r="Z30" i="7"/>
  <c r="AD21" i="7"/>
  <c r="D34" i="7"/>
  <c r="G34" i="7"/>
  <c r="L34" i="7"/>
  <c r="O34" i="7"/>
  <c r="D24" i="7"/>
  <c r="C36" i="7"/>
  <c r="G24" i="7"/>
  <c r="J34" i="7"/>
  <c r="I34" i="7"/>
  <c r="E36" i="7"/>
  <c r="F24" i="7"/>
  <c r="R34" i="7"/>
  <c r="Q34" i="7"/>
  <c r="AB21" i="7"/>
  <c r="Y30" i="7"/>
  <c r="N24" i="7"/>
  <c r="M36" i="7"/>
  <c r="D34" i="5"/>
  <c r="G34" i="5"/>
  <c r="N24" i="5"/>
  <c r="K36" i="5"/>
  <c r="O24" i="5"/>
  <c r="L24" i="5"/>
  <c r="R34" i="5"/>
  <c r="Q34" i="5"/>
  <c r="R24" i="5"/>
  <c r="Q24" i="5"/>
  <c r="P36" i="5"/>
  <c r="J34" i="5"/>
  <c r="I34" i="5"/>
  <c r="M41" i="5"/>
  <c r="E41" i="5"/>
  <c r="E43" i="5" s="1"/>
  <c r="L34" i="5"/>
  <c r="O34" i="5"/>
  <c r="C36" i="5"/>
  <c r="G24" i="5"/>
  <c r="D24" i="5"/>
  <c r="J24" i="5"/>
  <c r="I24" i="5"/>
  <c r="H36" i="5"/>
  <c r="D24" i="4"/>
  <c r="C36" i="4"/>
  <c r="G24" i="4"/>
  <c r="L24" i="4"/>
  <c r="K36" i="4"/>
  <c r="O24" i="4"/>
  <c r="X30" i="4"/>
  <c r="Z30" i="6" s="1"/>
  <c r="AA21" i="4"/>
  <c r="R34" i="4"/>
  <c r="Q34" i="4"/>
  <c r="I24" i="4"/>
  <c r="H36" i="4"/>
  <c r="J24" i="4"/>
  <c r="F24" i="4"/>
  <c r="E36" i="4"/>
  <c r="Z21" i="4"/>
  <c r="Y30" i="4"/>
  <c r="O34" i="4"/>
  <c r="L34" i="4"/>
  <c r="N24" i="4"/>
  <c r="M36" i="4"/>
  <c r="J34" i="4"/>
  <c r="I34" i="4"/>
  <c r="Q24" i="4"/>
  <c r="P36" i="4"/>
  <c r="R24" i="4"/>
  <c r="AB21" i="4"/>
  <c r="AC19" i="4"/>
  <c r="G34" i="4"/>
  <c r="D34" i="4"/>
  <c r="D24" i="3"/>
  <c r="C36" i="3"/>
  <c r="G24" i="3"/>
  <c r="R34" i="3"/>
  <c r="Q34" i="3"/>
  <c r="P36" i="3"/>
  <c r="R24" i="3"/>
  <c r="Q24" i="3"/>
  <c r="L24" i="3"/>
  <c r="K36" i="3"/>
  <c r="O24" i="3"/>
  <c r="O34" i="3"/>
  <c r="H36" i="3"/>
  <c r="J24" i="3"/>
  <c r="I24" i="3"/>
  <c r="M36" i="3"/>
  <c r="G34" i="3"/>
  <c r="D34" i="3"/>
  <c r="J34" i="3"/>
  <c r="I34" i="3"/>
  <c r="Z21" i="3"/>
  <c r="Y30" i="3"/>
  <c r="AA30" i="6" s="1"/>
  <c r="R42" i="11" l="1"/>
  <c r="AB30" i="6"/>
  <c r="F43" i="9"/>
  <c r="J43" i="9"/>
  <c r="E64" i="7"/>
  <c r="O15" i="11"/>
  <c r="G30" i="11"/>
  <c r="C32" i="11"/>
  <c r="O18" i="11"/>
  <c r="AI15" i="11"/>
  <c r="G18" i="11"/>
  <c r="F18" i="11"/>
  <c r="O12" i="11"/>
  <c r="Q14" i="6"/>
  <c r="R18" i="11"/>
  <c r="L38" i="6"/>
  <c r="R22" i="11"/>
  <c r="J16" i="11"/>
  <c r="I16" i="11"/>
  <c r="Q15" i="6"/>
  <c r="G33" i="6"/>
  <c r="D33" i="6"/>
  <c r="R30" i="11"/>
  <c r="P32" i="11"/>
  <c r="AB24" i="11"/>
  <c r="AK23" i="11"/>
  <c r="J26" i="11"/>
  <c r="H28" i="11"/>
  <c r="L18" i="6"/>
  <c r="L16" i="6"/>
  <c r="R13" i="11"/>
  <c r="J27" i="11"/>
  <c r="I27" i="11"/>
  <c r="Q39" i="6"/>
  <c r="Q17" i="6"/>
  <c r="K20" i="11"/>
  <c r="L12" i="11" s="1"/>
  <c r="O10" i="11"/>
  <c r="AB30" i="9"/>
  <c r="AC30" i="9" s="1"/>
  <c r="AC21" i="9"/>
  <c r="AI20" i="11" s="1"/>
  <c r="AB20" i="11"/>
  <c r="AC20" i="11" s="1"/>
  <c r="AK20" i="11"/>
  <c r="R14" i="11"/>
  <c r="J11" i="11"/>
  <c r="R16" i="11"/>
  <c r="Q26" i="6"/>
  <c r="G15" i="11"/>
  <c r="Y30" i="6"/>
  <c r="AG18" i="11"/>
  <c r="X18" i="11"/>
  <c r="X23" i="11" s="1"/>
  <c r="AE23" i="11" s="1"/>
  <c r="R15" i="11"/>
  <c r="N43" i="9"/>
  <c r="J42" i="11"/>
  <c r="I42" i="11"/>
  <c r="J33" i="6"/>
  <c r="I33" i="6"/>
  <c r="H34" i="6"/>
  <c r="J38" i="11"/>
  <c r="I38" i="11"/>
  <c r="L27" i="6"/>
  <c r="L22" i="6"/>
  <c r="O20" i="6"/>
  <c r="L13" i="6"/>
  <c r="L17" i="6"/>
  <c r="L20" i="6"/>
  <c r="K24" i="6"/>
  <c r="G12" i="11"/>
  <c r="G11" i="11"/>
  <c r="O16" i="11"/>
  <c r="L16" i="11"/>
  <c r="L46" i="6"/>
  <c r="H20" i="11"/>
  <c r="I10" i="11"/>
  <c r="J10" i="11"/>
  <c r="X21" i="6"/>
  <c r="AH15" i="11"/>
  <c r="J46" i="11"/>
  <c r="I46" i="11"/>
  <c r="L32" i="6"/>
  <c r="G46" i="11"/>
  <c r="J30" i="11"/>
  <c r="I30" i="11"/>
  <c r="H32" i="11"/>
  <c r="Q28" i="6"/>
  <c r="P34" i="6"/>
  <c r="R28" i="6"/>
  <c r="R11" i="11"/>
  <c r="R46" i="11"/>
  <c r="F22" i="11"/>
  <c r="AD21" i="6"/>
  <c r="AB21" i="3"/>
  <c r="J15" i="11"/>
  <c r="I15" i="11"/>
  <c r="N10" i="6"/>
  <c r="AE20" i="11"/>
  <c r="N22" i="6"/>
  <c r="L30" i="6"/>
  <c r="Q32" i="6"/>
  <c r="AC15" i="11"/>
  <c r="AB18" i="11"/>
  <c r="J39" i="11"/>
  <c r="I39" i="11"/>
  <c r="L26" i="6"/>
  <c r="C20" i="11"/>
  <c r="D14" i="11" s="1"/>
  <c r="D10" i="11"/>
  <c r="G10" i="11"/>
  <c r="L14" i="6"/>
  <c r="R17" i="11"/>
  <c r="R38" i="11"/>
  <c r="R41" i="9"/>
  <c r="E34" i="6"/>
  <c r="J28" i="6"/>
  <c r="T20" i="6"/>
  <c r="F28" i="6"/>
  <c r="J22" i="11"/>
  <c r="I20" i="11"/>
  <c r="I22" i="11"/>
  <c r="P20" i="11"/>
  <c r="R10" i="11"/>
  <c r="M20" i="11"/>
  <c r="N10" i="11" s="1"/>
  <c r="Q30" i="6"/>
  <c r="N22" i="11"/>
  <c r="E36" i="3"/>
  <c r="F24" i="3"/>
  <c r="N28" i="6"/>
  <c r="M34" i="6"/>
  <c r="N34" i="6" s="1"/>
  <c r="W30" i="9"/>
  <c r="W20" i="11"/>
  <c r="W23" i="11" s="1"/>
  <c r="AD23" i="11" s="1"/>
  <c r="E20" i="11"/>
  <c r="F10" i="11"/>
  <c r="G38" i="11"/>
  <c r="D38" i="11"/>
  <c r="D22" i="6"/>
  <c r="D27" i="6"/>
  <c r="D13" i="6"/>
  <c r="G20" i="6"/>
  <c r="D20" i="6"/>
  <c r="C24" i="6"/>
  <c r="J18" i="11"/>
  <c r="I18" i="11"/>
  <c r="C34" i="6"/>
  <c r="D28" i="6"/>
  <c r="G28" i="6"/>
  <c r="L11" i="6"/>
  <c r="F32" i="11"/>
  <c r="O14" i="11"/>
  <c r="L14" i="11"/>
  <c r="G14" i="11"/>
  <c r="R39" i="11"/>
  <c r="G22" i="11"/>
  <c r="R26" i="11"/>
  <c r="P28" i="11"/>
  <c r="U30" i="9"/>
  <c r="AA30" i="9" s="1"/>
  <c r="AA30" i="8"/>
  <c r="R20" i="6"/>
  <c r="Q20" i="6"/>
  <c r="P24" i="6"/>
  <c r="R12" i="11"/>
  <c r="J13" i="11"/>
  <c r="I13" i="11"/>
  <c r="N42" i="6"/>
  <c r="N12" i="6"/>
  <c r="N30" i="6"/>
  <c r="N13" i="6"/>
  <c r="N20" i="6"/>
  <c r="M24" i="6"/>
  <c r="N11" i="6"/>
  <c r="N39" i="6"/>
  <c r="N38" i="6"/>
  <c r="N27" i="6"/>
  <c r="N46" i="6"/>
  <c r="N17" i="6"/>
  <c r="N15" i="6"/>
  <c r="AD20" i="11"/>
  <c r="G42" i="11"/>
  <c r="D42" i="11"/>
  <c r="R33" i="6"/>
  <c r="Q33" i="6"/>
  <c r="O33" i="6"/>
  <c r="L33" i="6"/>
  <c r="Q12" i="6"/>
  <c r="AE15" i="11"/>
  <c r="AA18" i="11"/>
  <c r="AD15" i="11"/>
  <c r="M28" i="11"/>
  <c r="K34" i="6"/>
  <c r="L28" i="6"/>
  <c r="O28" i="6"/>
  <c r="F13" i="6"/>
  <c r="F30" i="6"/>
  <c r="F42" i="6"/>
  <c r="F46" i="6"/>
  <c r="F20" i="6"/>
  <c r="F16" i="6"/>
  <c r="E24" i="6"/>
  <c r="F32" i="6"/>
  <c r="F27" i="6"/>
  <c r="F11" i="6"/>
  <c r="F17" i="6"/>
  <c r="F38" i="6"/>
  <c r="F15" i="6"/>
  <c r="F12" i="6"/>
  <c r="F39" i="6"/>
  <c r="J17" i="11"/>
  <c r="I17" i="11"/>
  <c r="R27" i="11"/>
  <c r="Q27" i="11"/>
  <c r="J14" i="11"/>
  <c r="I14" i="11"/>
  <c r="G26" i="11"/>
  <c r="C28" i="11"/>
  <c r="D26" i="11"/>
  <c r="O11" i="11"/>
  <c r="L11" i="11"/>
  <c r="E28" i="11"/>
  <c r="F26" i="11"/>
  <c r="G39" i="11"/>
  <c r="O26" i="11"/>
  <c r="K28" i="11"/>
  <c r="L26" i="11"/>
  <c r="I12" i="11"/>
  <c r="H43" i="10"/>
  <c r="J41" i="10"/>
  <c r="P43" i="10"/>
  <c r="R41" i="10"/>
  <c r="Q41" i="10"/>
  <c r="R45" i="10"/>
  <c r="Q45" i="10"/>
  <c r="X30" i="10"/>
  <c r="Z24" i="11" s="1"/>
  <c r="AA21" i="10"/>
  <c r="Z21" i="10"/>
  <c r="AI18" i="11" s="1"/>
  <c r="C41" i="10"/>
  <c r="C45" i="10"/>
  <c r="G45" i="10" s="1"/>
  <c r="G36" i="10"/>
  <c r="K30" i="10"/>
  <c r="K30" i="11" s="1"/>
  <c r="O26" i="10"/>
  <c r="O32" i="10"/>
  <c r="K38" i="10"/>
  <c r="K38" i="11" s="1"/>
  <c r="K45" i="10"/>
  <c r="O45" i="10" s="1"/>
  <c r="O41" i="10"/>
  <c r="E43" i="10"/>
  <c r="I41" i="10"/>
  <c r="G41" i="8"/>
  <c r="C43" i="8"/>
  <c r="Z30" i="8"/>
  <c r="AC30" i="8"/>
  <c r="E45" i="8"/>
  <c r="E45" i="9" s="1"/>
  <c r="F43" i="8"/>
  <c r="H43" i="8"/>
  <c r="H43" i="9" s="1"/>
  <c r="I43" i="9" s="1"/>
  <c r="J41" i="8"/>
  <c r="I41" i="8"/>
  <c r="O41" i="8"/>
  <c r="K43" i="8"/>
  <c r="M45" i="8"/>
  <c r="M45" i="9" s="1"/>
  <c r="N43" i="8"/>
  <c r="P43" i="8"/>
  <c r="P43" i="9" s="1"/>
  <c r="Q43" i="9" s="1"/>
  <c r="R41" i="8"/>
  <c r="Q41" i="8"/>
  <c r="E41" i="7"/>
  <c r="E57" i="7"/>
  <c r="E60" i="7" s="1"/>
  <c r="E61" i="7" s="1"/>
  <c r="F36" i="7"/>
  <c r="J36" i="7"/>
  <c r="I36" i="7"/>
  <c r="H41" i="7"/>
  <c r="M41" i="7"/>
  <c r="R57" i="7"/>
  <c r="R60" i="7" s="1"/>
  <c r="N36" i="7"/>
  <c r="AA30" i="7"/>
  <c r="AD30" i="7"/>
  <c r="D36" i="7"/>
  <c r="C41" i="7"/>
  <c r="C57" i="7"/>
  <c r="C60" i="7" s="1"/>
  <c r="C61" i="7" s="1"/>
  <c r="G36" i="7"/>
  <c r="L36" i="7"/>
  <c r="K41" i="7"/>
  <c r="N57" i="7"/>
  <c r="N60" i="7" s="1"/>
  <c r="O36" i="7"/>
  <c r="R36" i="7"/>
  <c r="Q36" i="7"/>
  <c r="P41" i="7"/>
  <c r="N45" i="5"/>
  <c r="J36" i="5"/>
  <c r="I36" i="5"/>
  <c r="H41" i="5"/>
  <c r="R36" i="5"/>
  <c r="Q36" i="5"/>
  <c r="P41" i="5"/>
  <c r="M43" i="5"/>
  <c r="N43" i="5" s="1"/>
  <c r="N41" i="5"/>
  <c r="C41" i="5"/>
  <c r="G36" i="5"/>
  <c r="D36" i="5"/>
  <c r="K41" i="5"/>
  <c r="O36" i="5"/>
  <c r="L36" i="5"/>
  <c r="G36" i="4"/>
  <c r="D36" i="4"/>
  <c r="C41" i="4"/>
  <c r="R36" i="4"/>
  <c r="Q36" i="4"/>
  <c r="P41" i="4"/>
  <c r="Z30" i="4"/>
  <c r="AB30" i="4"/>
  <c r="AC30" i="4" s="1"/>
  <c r="AC21" i="4"/>
  <c r="F36" i="4"/>
  <c r="E41" i="4"/>
  <c r="N36" i="4"/>
  <c r="M41" i="4"/>
  <c r="O36" i="4"/>
  <c r="L36" i="4"/>
  <c r="K41" i="4"/>
  <c r="J36" i="4"/>
  <c r="I36" i="4"/>
  <c r="H41" i="4"/>
  <c r="Z30" i="3"/>
  <c r="O36" i="3"/>
  <c r="L36" i="3"/>
  <c r="K41" i="3"/>
  <c r="R36" i="3"/>
  <c r="Q36" i="3"/>
  <c r="P41" i="3"/>
  <c r="N36" i="3"/>
  <c r="M41" i="3"/>
  <c r="D36" i="3"/>
  <c r="C41" i="3"/>
  <c r="J36" i="3"/>
  <c r="I36" i="3"/>
  <c r="H41" i="3"/>
  <c r="M45" i="3" l="1"/>
  <c r="C45" i="3"/>
  <c r="P45" i="3"/>
  <c r="E45" i="3"/>
  <c r="K45" i="3"/>
  <c r="F28" i="11"/>
  <c r="E34" i="11"/>
  <c r="F34" i="11" s="1"/>
  <c r="Q19" i="11"/>
  <c r="P24" i="11"/>
  <c r="R20" i="11"/>
  <c r="Q20" i="11"/>
  <c r="Q31" i="11"/>
  <c r="H36" i="6"/>
  <c r="I34" i="6"/>
  <c r="J34" i="6"/>
  <c r="N26" i="11"/>
  <c r="D34" i="6"/>
  <c r="G34" i="6"/>
  <c r="AD18" i="11"/>
  <c r="AB23" i="11"/>
  <c r="AC18" i="11"/>
  <c r="AC23" i="11"/>
  <c r="H24" i="11"/>
  <c r="I31" i="11"/>
  <c r="J20" i="11"/>
  <c r="O24" i="6"/>
  <c r="L24" i="6"/>
  <c r="K36" i="6"/>
  <c r="I26" i="11"/>
  <c r="Q18" i="11"/>
  <c r="I43" i="10"/>
  <c r="E65" i="7"/>
  <c r="M34" i="11"/>
  <c r="N34" i="11" s="1"/>
  <c r="N28" i="11"/>
  <c r="Q10" i="11"/>
  <c r="F34" i="6"/>
  <c r="T24" i="6"/>
  <c r="AB30" i="3"/>
  <c r="AC30" i="3" s="1"/>
  <c r="AC21" i="3"/>
  <c r="R34" i="6"/>
  <c r="Q34" i="6"/>
  <c r="N32" i="11"/>
  <c r="Q15" i="11"/>
  <c r="Q16" i="11"/>
  <c r="J28" i="11"/>
  <c r="I28" i="11"/>
  <c r="H34" i="11"/>
  <c r="N18" i="11"/>
  <c r="J45" i="9"/>
  <c r="F45" i="9"/>
  <c r="AA23" i="11"/>
  <c r="AE18" i="11"/>
  <c r="Q26" i="11"/>
  <c r="C36" i="6"/>
  <c r="G24" i="6"/>
  <c r="D24" i="6"/>
  <c r="Q38" i="11"/>
  <c r="D20" i="11"/>
  <c r="C24" i="11"/>
  <c r="G20" i="11"/>
  <c r="D17" i="11"/>
  <c r="D31" i="11"/>
  <c r="D19" i="11"/>
  <c r="D27" i="11"/>
  <c r="D22" i="11"/>
  <c r="D13" i="11"/>
  <c r="J32" i="11"/>
  <c r="I32" i="11"/>
  <c r="L10" i="11"/>
  <c r="Q13" i="11"/>
  <c r="G32" i="11"/>
  <c r="D32" i="11"/>
  <c r="R45" i="9"/>
  <c r="N45" i="9"/>
  <c r="O38" i="11"/>
  <c r="L38" i="11"/>
  <c r="N24" i="6"/>
  <c r="M36" i="6"/>
  <c r="F38" i="11"/>
  <c r="F19" i="11"/>
  <c r="E24" i="11"/>
  <c r="F27" i="11"/>
  <c r="F15" i="11"/>
  <c r="F16" i="11"/>
  <c r="F12" i="11"/>
  <c r="F31" i="11"/>
  <c r="F30" i="11"/>
  <c r="F13" i="11"/>
  <c r="F20" i="11"/>
  <c r="F11" i="11"/>
  <c r="F46" i="11"/>
  <c r="F39" i="11"/>
  <c r="F17" i="11"/>
  <c r="F42" i="11"/>
  <c r="F14" i="11"/>
  <c r="Q46" i="11"/>
  <c r="D11" i="11"/>
  <c r="I11" i="11"/>
  <c r="D30" i="11"/>
  <c r="AC24" i="11"/>
  <c r="AI23" i="11"/>
  <c r="L28" i="11"/>
  <c r="K34" i="11"/>
  <c r="O28" i="11"/>
  <c r="R24" i="6"/>
  <c r="Q24" i="6"/>
  <c r="P36" i="6"/>
  <c r="Q17" i="11"/>
  <c r="X30" i="6"/>
  <c r="AH18" i="11"/>
  <c r="AG23" i="11"/>
  <c r="X24" i="11"/>
  <c r="Q14" i="11"/>
  <c r="L20" i="11"/>
  <c r="K24" i="11"/>
  <c r="O20" i="11"/>
  <c r="L19" i="11"/>
  <c r="L22" i="11"/>
  <c r="L17" i="11"/>
  <c r="L27" i="11"/>
  <c r="L13" i="11"/>
  <c r="L31" i="11"/>
  <c r="Q30" i="11"/>
  <c r="Q22" i="11"/>
  <c r="Q12" i="11"/>
  <c r="AE21" i="6"/>
  <c r="AD30" i="6"/>
  <c r="D28" i="11"/>
  <c r="C34" i="11"/>
  <c r="G28" i="11"/>
  <c r="F24" i="6"/>
  <c r="T12" i="6"/>
  <c r="E36" i="6"/>
  <c r="J24" i="6"/>
  <c r="Q39" i="11"/>
  <c r="N31" i="11"/>
  <c r="N17" i="11"/>
  <c r="N42" i="11"/>
  <c r="N38" i="11"/>
  <c r="N11" i="11"/>
  <c r="N19" i="11"/>
  <c r="N27" i="11"/>
  <c r="M24" i="11"/>
  <c r="N39" i="11"/>
  <c r="N15" i="11"/>
  <c r="N20" i="11"/>
  <c r="N12" i="11"/>
  <c r="N46" i="11"/>
  <c r="N13" i="11"/>
  <c r="N30" i="11"/>
  <c r="D46" i="11"/>
  <c r="D18" i="11"/>
  <c r="R32" i="11"/>
  <c r="Q32" i="11"/>
  <c r="L15" i="11"/>
  <c r="Q42" i="11"/>
  <c r="Q28" i="11"/>
  <c r="P34" i="11"/>
  <c r="R28" i="11"/>
  <c r="F36" i="3"/>
  <c r="E41" i="3"/>
  <c r="G36" i="3"/>
  <c r="O30" i="11"/>
  <c r="L30" i="11"/>
  <c r="K32" i="11"/>
  <c r="D39" i="11"/>
  <c r="L34" i="6"/>
  <c r="O34" i="6"/>
  <c r="N16" i="11"/>
  <c r="L18" i="11"/>
  <c r="Q11" i="11"/>
  <c r="D12" i="11"/>
  <c r="R43" i="9"/>
  <c r="D15" i="11"/>
  <c r="N14" i="11"/>
  <c r="O38" i="10"/>
  <c r="K42" i="10"/>
  <c r="K42" i="11" s="1"/>
  <c r="K34" i="10"/>
  <c r="O30" i="10"/>
  <c r="C43" i="10"/>
  <c r="G41" i="10"/>
  <c r="R43" i="10"/>
  <c r="Q43" i="10"/>
  <c r="J43" i="10"/>
  <c r="J45" i="8"/>
  <c r="F45" i="8"/>
  <c r="J43" i="8"/>
  <c r="I43" i="8"/>
  <c r="R43" i="8"/>
  <c r="Q43" i="8"/>
  <c r="K45" i="8"/>
  <c r="O45" i="8" s="1"/>
  <c r="O43" i="8"/>
  <c r="C45" i="8"/>
  <c r="G45" i="8" s="1"/>
  <c r="G43" i="8"/>
  <c r="N45" i="8"/>
  <c r="R45" i="8"/>
  <c r="N45" i="7"/>
  <c r="I45" i="7"/>
  <c r="J45" i="7"/>
  <c r="O45" i="7"/>
  <c r="L45" i="7"/>
  <c r="G45" i="7"/>
  <c r="D45" i="7"/>
  <c r="F45" i="7"/>
  <c r="Q45" i="7"/>
  <c r="R45" i="7"/>
  <c r="D41" i="7"/>
  <c r="C43" i="7"/>
  <c r="G41" i="7"/>
  <c r="H43" i="7"/>
  <c r="J41" i="7"/>
  <c r="I41" i="7"/>
  <c r="L41" i="7"/>
  <c r="K43" i="7"/>
  <c r="O41" i="7"/>
  <c r="P43" i="7"/>
  <c r="R41" i="7"/>
  <c r="Q41" i="7"/>
  <c r="M43" i="7"/>
  <c r="N43" i="7" s="1"/>
  <c r="N41" i="7"/>
  <c r="E43" i="7"/>
  <c r="F41" i="7"/>
  <c r="R45" i="5"/>
  <c r="Q45" i="5"/>
  <c r="D45" i="5"/>
  <c r="G45" i="5"/>
  <c r="L45" i="5"/>
  <c r="O45" i="5"/>
  <c r="L41" i="5"/>
  <c r="K43" i="5"/>
  <c r="O41" i="5"/>
  <c r="P43" i="5"/>
  <c r="R41" i="5"/>
  <c r="Q41" i="5"/>
  <c r="H43" i="5"/>
  <c r="J41" i="5"/>
  <c r="I41" i="5"/>
  <c r="I42" i="5" s="1"/>
  <c r="D41" i="5"/>
  <c r="C43" i="5"/>
  <c r="G41" i="5"/>
  <c r="N45" i="4"/>
  <c r="G45" i="4"/>
  <c r="D45" i="4"/>
  <c r="R45" i="4"/>
  <c r="Q45" i="4"/>
  <c r="F45" i="4"/>
  <c r="O45" i="4"/>
  <c r="L45" i="4"/>
  <c r="M43" i="4"/>
  <c r="N43" i="4" s="1"/>
  <c r="N41" i="4"/>
  <c r="J41" i="4"/>
  <c r="I41" i="4"/>
  <c r="H43" i="4"/>
  <c r="R41" i="4"/>
  <c r="Q41" i="4"/>
  <c r="P43" i="4"/>
  <c r="O41" i="4"/>
  <c r="L41" i="4"/>
  <c r="K43" i="4"/>
  <c r="F41" i="4"/>
  <c r="E43" i="4"/>
  <c r="F43" i="4" s="1"/>
  <c r="G41" i="4"/>
  <c r="D41" i="4"/>
  <c r="C43" i="4"/>
  <c r="O41" i="3"/>
  <c r="L41" i="3"/>
  <c r="K43" i="3"/>
  <c r="J41" i="3"/>
  <c r="I41" i="3"/>
  <c r="H43" i="3"/>
  <c r="G41" i="3"/>
  <c r="D41" i="3"/>
  <c r="C43" i="3"/>
  <c r="N41" i="3"/>
  <c r="M43" i="3"/>
  <c r="N43" i="3" s="1"/>
  <c r="R41" i="3"/>
  <c r="Q41" i="3"/>
  <c r="P43" i="3"/>
  <c r="M36" i="11" l="1"/>
  <c r="N36" i="11" s="1"/>
  <c r="N24" i="11"/>
  <c r="R34" i="11"/>
  <c r="Q34" i="11"/>
  <c r="AE30" i="6"/>
  <c r="AA24" i="11"/>
  <c r="O34" i="11"/>
  <c r="L34" i="11"/>
  <c r="I34" i="11"/>
  <c r="J34" i="11"/>
  <c r="I24" i="11"/>
  <c r="H36" i="11"/>
  <c r="J24" i="11"/>
  <c r="O32" i="11"/>
  <c r="L32" i="11"/>
  <c r="N36" i="6"/>
  <c r="M41" i="6"/>
  <c r="G36" i="6"/>
  <c r="D36" i="6"/>
  <c r="C41" i="6"/>
  <c r="G43" i="10"/>
  <c r="C65" i="7"/>
  <c r="T25" i="6"/>
  <c r="F36" i="6"/>
  <c r="E41" i="6"/>
  <c r="AH23" i="11"/>
  <c r="Y24" i="11"/>
  <c r="AC30" i="6"/>
  <c r="I36" i="6"/>
  <c r="H41" i="6"/>
  <c r="J36" i="6"/>
  <c r="O45" i="3"/>
  <c r="K45" i="6"/>
  <c r="L45" i="3"/>
  <c r="O36" i="6"/>
  <c r="L36" i="6"/>
  <c r="K41" i="6"/>
  <c r="E45" i="6"/>
  <c r="F45" i="3"/>
  <c r="K36" i="11"/>
  <c r="O24" i="11"/>
  <c r="L24" i="11"/>
  <c r="Q36" i="6"/>
  <c r="P41" i="6"/>
  <c r="R36" i="6"/>
  <c r="D24" i="11"/>
  <c r="C36" i="11"/>
  <c r="G24" i="11"/>
  <c r="R45" i="3"/>
  <c r="P45" i="6"/>
  <c r="Q45" i="3"/>
  <c r="O42" i="11"/>
  <c r="L42" i="11"/>
  <c r="F41" i="3"/>
  <c r="E43" i="3"/>
  <c r="F43" i="3" s="1"/>
  <c r="G45" i="3"/>
  <c r="C45" i="6"/>
  <c r="D45" i="3"/>
  <c r="G34" i="11"/>
  <c r="D34" i="11"/>
  <c r="E36" i="11"/>
  <c r="F24" i="11"/>
  <c r="P36" i="11"/>
  <c r="Q24" i="11"/>
  <c r="R24" i="11"/>
  <c r="N45" i="3"/>
  <c r="M45" i="6"/>
  <c r="O42" i="10"/>
  <c r="K46" i="10"/>
  <c r="K39" i="10"/>
  <c r="K39" i="11" s="1"/>
  <c r="O34" i="10"/>
  <c r="I43" i="7"/>
  <c r="J43" i="7"/>
  <c r="Q43" i="7"/>
  <c r="R43" i="7"/>
  <c r="G43" i="7"/>
  <c r="C63" i="7"/>
  <c r="D43" i="7"/>
  <c r="O43" i="7"/>
  <c r="L43" i="7"/>
  <c r="E63" i="7"/>
  <c r="F43" i="7"/>
  <c r="I43" i="5"/>
  <c r="J43" i="5"/>
  <c r="Q43" i="5"/>
  <c r="R43" i="5"/>
  <c r="G43" i="5"/>
  <c r="D43" i="5"/>
  <c r="O43" i="5"/>
  <c r="L43" i="5"/>
  <c r="G43" i="4"/>
  <c r="D43" i="4"/>
  <c r="R43" i="4"/>
  <c r="Q43" i="4"/>
  <c r="O43" i="4"/>
  <c r="L43" i="4"/>
  <c r="J43" i="4"/>
  <c r="I43" i="4"/>
  <c r="R43" i="3"/>
  <c r="Q43" i="3"/>
  <c r="I43" i="3"/>
  <c r="O43" i="3"/>
  <c r="L43" i="3"/>
  <c r="G43" i="3"/>
  <c r="D43" i="3"/>
  <c r="H45" i="3" l="1"/>
  <c r="R45" i="6"/>
  <c r="P45" i="11"/>
  <c r="Q45" i="6"/>
  <c r="O39" i="11"/>
  <c r="L39" i="11"/>
  <c r="G45" i="6"/>
  <c r="C45" i="11"/>
  <c r="D45" i="6"/>
  <c r="O45" i="6"/>
  <c r="K45" i="11"/>
  <c r="L45" i="6"/>
  <c r="F41" i="6"/>
  <c r="E43" i="6"/>
  <c r="T28" i="6"/>
  <c r="O41" i="6"/>
  <c r="M41" i="11"/>
  <c r="M43" i="6"/>
  <c r="N43" i="6" s="1"/>
  <c r="N41" i="6"/>
  <c r="J43" i="3"/>
  <c r="O46" i="10"/>
  <c r="K46" i="11"/>
  <c r="L36" i="11"/>
  <c r="K41" i="11"/>
  <c r="O36" i="11"/>
  <c r="C43" i="6"/>
  <c r="G41" i="6"/>
  <c r="D41" i="6"/>
  <c r="P41" i="11"/>
  <c r="P43" i="6"/>
  <c r="Q41" i="6"/>
  <c r="R41" i="6"/>
  <c r="I36" i="11"/>
  <c r="H41" i="11"/>
  <c r="J36" i="11"/>
  <c r="M45" i="11"/>
  <c r="N45" i="11" s="1"/>
  <c r="N45" i="6"/>
  <c r="Q36" i="11"/>
  <c r="R36" i="11"/>
  <c r="D36" i="11"/>
  <c r="C41" i="11"/>
  <c r="G36" i="11"/>
  <c r="T31" i="6"/>
  <c r="E45" i="11"/>
  <c r="F45" i="11" s="1"/>
  <c r="F45" i="6"/>
  <c r="I41" i="6"/>
  <c r="H43" i="6"/>
  <c r="J41" i="6"/>
  <c r="F36" i="11"/>
  <c r="E41" i="11"/>
  <c r="K43" i="6"/>
  <c r="L41" i="6"/>
  <c r="O39" i="10"/>
  <c r="K43" i="10"/>
  <c r="O43" i="10" s="1"/>
  <c r="E68" i="7"/>
  <c r="K63" i="7"/>
  <c r="E66" i="7"/>
  <c r="C68" i="7"/>
  <c r="C66" i="7"/>
  <c r="J45" i="5"/>
  <c r="I45" i="5"/>
  <c r="J45" i="4"/>
  <c r="I45" i="4"/>
  <c r="J41" i="11" l="1"/>
  <c r="I41" i="11"/>
  <c r="H43" i="11"/>
  <c r="G43" i="6"/>
  <c r="D43" i="6"/>
  <c r="F68" i="7"/>
  <c r="I43" i="6"/>
  <c r="J43" i="6"/>
  <c r="M43" i="11"/>
  <c r="N43" i="11" s="1"/>
  <c r="N41" i="11"/>
  <c r="O41" i="11"/>
  <c r="L41" i="11"/>
  <c r="K43" i="11"/>
  <c r="R43" i="6"/>
  <c r="Q43" i="6"/>
  <c r="O46" i="11"/>
  <c r="L46" i="11"/>
  <c r="T30" i="6"/>
  <c r="F43" i="6"/>
  <c r="F41" i="11"/>
  <c r="E43" i="11"/>
  <c r="F43" i="11" s="1"/>
  <c r="D41" i="11"/>
  <c r="C43" i="11"/>
  <c r="G41" i="11"/>
  <c r="R41" i="11"/>
  <c r="P43" i="11"/>
  <c r="Q41" i="11"/>
  <c r="J45" i="3"/>
  <c r="H45" i="6"/>
  <c r="I45" i="3"/>
  <c r="G45" i="11"/>
  <c r="D45" i="11"/>
  <c r="O43" i="6"/>
  <c r="L43" i="6"/>
  <c r="O45" i="11"/>
  <c r="L45" i="11"/>
  <c r="R45" i="11"/>
  <c r="Q45" i="11"/>
  <c r="J45" i="6" l="1"/>
  <c r="H45" i="11"/>
  <c r="I45" i="6"/>
  <c r="O43" i="11"/>
  <c r="L43" i="11"/>
  <c r="D43" i="11"/>
  <c r="G43" i="11"/>
  <c r="J43" i="11"/>
  <c r="I43" i="11"/>
  <c r="Q43" i="11"/>
  <c r="R43" i="11"/>
  <c r="J45" i="11" l="1"/>
  <c r="I45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G.</author>
  </authors>
  <commentList>
    <comment ref="H38" authorId="0" shapeId="0" xr:uid="{BA2E5E78-F267-477E-B4CC-D3AD7E80D16B}">
      <text>
        <r>
          <rPr>
            <b/>
            <sz val="9"/>
            <color indexed="81"/>
            <rFont val="Tahoma"/>
            <family val="2"/>
          </rPr>
          <t>Robert G.:</t>
        </r>
        <r>
          <rPr>
            <sz val="9"/>
            <color indexed="81"/>
            <rFont val="Tahoma"/>
            <family val="2"/>
          </rPr>
          <t xml:space="preserve">
se resta el metodo de participacion para efectos comparables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229A0B7D-25B1-4350-9A8F-EDC68C855B68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6"/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<sst xmlns="http://schemas.openxmlformats.org/spreadsheetml/2006/main" count="1420" uniqueCount="589">
  <si>
    <t>Periodo ant</t>
  </si>
  <si>
    <t>Periodo Act</t>
  </si>
  <si>
    <t>MES</t>
  </si>
  <si>
    <t>AÑO</t>
  </si>
  <si>
    <t>TRM</t>
  </si>
  <si>
    <t>DICIEMBRE</t>
  </si>
  <si>
    <t>PPTO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</si>
  <si>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</si>
  <si>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</si>
  <si>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</si>
  <si>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</si>
  <si>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</si>
  <si>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</si>
  <si>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</si>
  <si>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</si>
  <si>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</si>
  <si>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</si>
  <si>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</si>
  <si>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</si>
  <si>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</si>
  <si>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</si>
  <si>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</si>
  <si>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</si>
  <si>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</si>
  <si>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</si>
  <si>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</si>
  <si>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</si>
  <si>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</si>
  <si>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</si>
  <si>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</si>
  <si>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</si>
  <si>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</si>
  <si>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</si>
  <si>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</si>
  <si>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</si>
  <si>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</si>
  <si>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</si>
  <si>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</si>
  <si>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</si>
  <si>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</si>
  <si>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</si>
  <si>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</si>
  <si>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</si>
  <si>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</si>
  <si>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</si>
  <si>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</si>
  <si>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</si>
  <si>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</si>
  <si>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</si>
  <si>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</si>
  <si>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</si>
  <si>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</si>
  <si>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</si>
  <si>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</si>
  <si>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</si>
  <si>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</si>
  <si>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</si>
  <si>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</si>
  <si>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</si>
  <si>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</si>
  <si>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</si>
  <si>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ok</t>
  </si>
  <si>
    <t>MUSICAR COLOMBIA</t>
  </si>
  <si>
    <t>Ppto 2022</t>
  </si>
  <si>
    <t>Real 2022</t>
  </si>
  <si>
    <t>Real 2021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</si>
  <si>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</si>
  <si>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</si>
  <si>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</si>
  <si>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</si>
  <si>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</si>
  <si>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</si>
  <si>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</si>
  <si>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</si>
  <si>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</si>
  <si>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</si>
  <si>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</si>
  <si>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</si>
  <si>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</si>
  <si>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</si>
  <si>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</si>
  <si>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</si>
  <si>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</si>
  <si>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</si>
  <si>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</si>
  <si>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</si>
  <si>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</si>
  <si>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</si>
  <si>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</si>
  <si>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</si>
  <si>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</si>
  <si>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</si>
  <si>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</si>
  <si>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</si>
  <si>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</si>
  <si>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</si>
  <si>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</si>
  <si>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</si>
  <si>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</si>
  <si>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</si>
  <si>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</si>
  <si>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</si>
  <si>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</si>
  <si>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</si>
  <si>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</si>
  <si>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</si>
  <si>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</si>
  <si>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real 2022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</si>
  <si>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</si>
  <si>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</si>
  <si>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</si>
  <si>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</si>
  <si>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</si>
  <si>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</si>
  <si>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</si>
  <si>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</si>
  <si>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</si>
  <si>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</si>
  <si>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</si>
  <si>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</si>
  <si>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</si>
  <si>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</si>
  <si>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</si>
  <si>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</si>
  <si>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</si>
  <si>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</si>
  <si>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</si>
  <si>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</si>
  <si>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</si>
  <si>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</si>
  <si>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</si>
  <si>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real 2021</t>
  </si>
  <si>
    <t>Fact.Olfa experience</t>
  </si>
  <si>
    <t>TRM 2022</t>
  </si>
  <si>
    <t>Dólar implicito tomado dolar today</t>
  </si>
  <si>
    <t>TRM 2021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</si>
  <si>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</si>
  <si>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</si>
  <si>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</si>
  <si>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</si>
  <si>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</si>
  <si>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</si>
  <si>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</si>
  <si>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</si>
  <si>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</si>
  <si>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</si>
  <si>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</si>
  <si>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</si>
  <si>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</si>
  <si>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</si>
  <si>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acumulado</t>
  </si>
  <si>
    <t>4155900000,4155900100,4155900500,4155900600,4170250000,4170250100,4170250200,4170251500,4170251600,4170251700,4170251900,4170251800,4170252000,4170253000,4170253500,4170252100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</si>
  <si>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</si>
  <si>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</si>
  <si>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</si>
  <si>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</si>
  <si>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</t>
  </si>
  <si>
    <t xml:space="preserve">   Facturación Service &amp; Equipment Experience (Red-Audio)</t>
  </si>
  <si>
    <t>4170250500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</si>
  <si>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</si>
  <si>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</si>
  <si>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</si>
  <si>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</si>
  <si>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</si>
  <si>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>4155951000</t>
  </si>
  <si>
    <t xml:space="preserve">   Facturación Servicio Satelital</t>
  </si>
  <si>
    <t>4155951500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</si>
  <si>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</si>
  <si>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</si>
  <si>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</si>
  <si>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</si>
  <si>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</si>
  <si>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</si>
  <si>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</si>
  <si>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</si>
  <si>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</si>
  <si>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</si>
  <si>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</si>
  <si>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</si>
  <si>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</si>
  <si>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</si>
  <si>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</si>
  <si>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</si>
  <si>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</si>
  <si>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</si>
  <si>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</si>
  <si>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</si>
  <si>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</si>
  <si>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</si>
  <si>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</si>
  <si>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</si>
  <si>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</si>
  <si>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</si>
  <si>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</si>
  <si>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</si>
  <si>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</si>
  <si>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</si>
  <si>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</si>
  <si>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</si>
  <si>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</si>
  <si>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</si>
  <si>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</si>
  <si>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</si>
  <si>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</si>
  <si>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</si>
  <si>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</si>
  <si>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</si>
  <si>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</si>
  <si>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</si>
  <si>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</si>
  <si>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</si>
  <si>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</si>
  <si>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</si>
  <si>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</si>
  <si>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</si>
  <si>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</si>
  <si>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</si>
  <si>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</si>
  <si>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</si>
  <si>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</si>
  <si>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</si>
  <si>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</si>
  <si>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</si>
  <si>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</si>
  <si>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</si>
  <si>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</si>
  <si>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</si>
  <si>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</si>
  <si>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</si>
  <si>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</si>
  <si>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</si>
  <si>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</si>
  <si>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</si>
  <si>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</si>
  <si>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</si>
  <si>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</si>
  <si>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</si>
  <si>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</si>
  <si>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</si>
  <si>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</si>
  <si>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</si>
  <si>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</si>
  <si>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</si>
  <si>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</si>
  <si>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</si>
  <si>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</si>
  <si>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</si>
  <si>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</si>
  <si>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</si>
  <si>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</si>
  <si>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</si>
  <si>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</si>
  <si>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</si>
  <si>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</si>
  <si>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</si>
  <si>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</si>
  <si>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</si>
  <si>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</si>
  <si>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</si>
  <si>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</si>
  <si>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</si>
  <si>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</si>
  <si>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</si>
  <si>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</si>
  <si>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</si>
  <si>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</si>
  <si>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</si>
  <si>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</si>
  <si>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</si>
  <si>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</si>
  <si>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</si>
  <si>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</si>
  <si>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</si>
  <si>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</si>
  <si>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</si>
  <si>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</si>
  <si>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</si>
  <si>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</si>
  <si>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</si>
  <si>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</si>
  <si>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</si>
  <si>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</si>
  <si>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</si>
  <si>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</si>
  <si>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</si>
  <si>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</si>
  <si>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</si>
  <si>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</si>
  <si>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</si>
  <si>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</si>
  <si>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</si>
  <si>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</si>
  <si>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</si>
  <si>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</si>
  <si>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</si>
  <si>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</si>
  <si>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</si>
  <si>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</si>
  <si>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</si>
  <si>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</si>
  <si>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</si>
  <si>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</si>
  <si>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</si>
  <si>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</si>
  <si>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</si>
  <si>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</si>
  <si>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</si>
  <si>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</si>
  <si>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</si>
  <si>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</si>
  <si>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</si>
  <si>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</si>
  <si>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</si>
  <si>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</si>
  <si>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</si>
  <si>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</si>
  <si>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</si>
  <si>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</si>
  <si>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</si>
  <si>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</si>
  <si>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</si>
  <si>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</si>
  <si>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</si>
  <si>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</si>
  <si>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</si>
  <si>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</si>
  <si>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</si>
  <si>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</si>
  <si>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</si>
  <si>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</si>
  <si>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</si>
  <si>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</si>
  <si>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</si>
  <si>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</si>
  <si>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</si>
  <si>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</si>
  <si>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</si>
  <si>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</si>
  <si>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</si>
  <si>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</si>
  <si>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</si>
  <si>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</si>
  <si>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</si>
  <si>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</si>
  <si>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</si>
  <si>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</si>
  <si>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</si>
  <si>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</si>
  <si>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</si>
  <si>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</si>
  <si>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</si>
  <si>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</si>
  <si>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</si>
  <si>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</si>
  <si>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</si>
  <si>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</si>
  <si>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</si>
  <si>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</si>
  <si>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</si>
  <si>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</si>
  <si>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</si>
  <si>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</si>
  <si>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</si>
  <si>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</si>
  <si>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</si>
  <si>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</si>
  <si>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</si>
  <si>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</si>
  <si>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</si>
  <si>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</si>
  <si>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</si>
  <si>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</si>
  <si>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</si>
  <si>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</si>
  <si>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</si>
  <si>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</si>
  <si>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</si>
  <si>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</si>
  <si>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</si>
  <si>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</si>
  <si>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</si>
  <si>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</si>
  <si>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</si>
  <si>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</si>
  <si>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</si>
  <si>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</si>
  <si>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</si>
  <si>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</si>
  <si>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</si>
  <si>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</si>
  <si>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</si>
  <si>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</si>
  <si>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</si>
  <si>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</si>
  <si>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</si>
  <si>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</si>
  <si>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</si>
  <si>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</si>
  <si>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</si>
  <si>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</si>
  <si>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</si>
  <si>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</si>
  <si>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</si>
  <si>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</si>
  <si>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</si>
  <si>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</si>
  <si>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</si>
  <si>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</si>
  <si>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</si>
  <si>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</si>
  <si>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</si>
  <si>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</si>
  <si>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</si>
  <si>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</si>
  <si>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</si>
  <si>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</si>
  <si>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</si>
  <si>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</si>
  <si>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</si>
  <si>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</si>
  <si>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</si>
  <si>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</si>
  <si>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</si>
  <si>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</si>
  <si>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</si>
  <si>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</si>
  <si>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</si>
  <si>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</si>
  <si>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</si>
  <si>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</si>
  <si>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</si>
  <si>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</si>
  <si>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</si>
  <si>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</si>
  <si>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</si>
  <si>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</si>
  <si>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</si>
  <si>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</si>
  <si>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</si>
  <si>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</si>
  <si>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</si>
  <si>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</si>
  <si>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</si>
  <si>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</si>
  <si>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</si>
  <si>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</si>
  <si>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</si>
  <si>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</si>
  <si>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</si>
  <si>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</si>
  <si>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</si>
  <si>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</si>
  <si>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</si>
  <si>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</si>
  <si>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</si>
  <si>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</si>
  <si>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</si>
  <si>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</si>
  <si>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</si>
  <si>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</si>
  <si>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</si>
  <si>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</si>
  <si>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</si>
  <si>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</si>
  <si>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</si>
  <si>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</si>
  <si>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</si>
  <si>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</si>
  <si>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</si>
  <si>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</si>
  <si>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</si>
  <si>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</si>
  <si>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</si>
  <si>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</si>
  <si>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</si>
  <si>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</si>
  <si>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</si>
  <si>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</si>
  <si>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</si>
  <si>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</si>
  <si>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</si>
  <si>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</si>
  <si>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</si>
  <si>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</si>
  <si>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</si>
  <si>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</si>
  <si>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</si>
  <si>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</si>
  <si>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</si>
  <si>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</si>
  <si>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</si>
  <si>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</si>
  <si>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</si>
  <si>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</si>
  <si>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</si>
  <si>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</si>
  <si>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</si>
  <si>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</si>
  <si>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</si>
  <si>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</si>
  <si>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</si>
  <si>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</si>
  <si>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</si>
  <si>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</si>
  <si>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</si>
  <si>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</si>
  <si>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</si>
  <si>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</si>
  <si>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</si>
  <si>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</si>
  <si>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</si>
  <si>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</si>
  <si>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</si>
  <si>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</si>
  <si>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</si>
  <si>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</si>
  <si>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</si>
  <si>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</si>
  <si>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</si>
  <si>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</si>
  <si>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</si>
  <si>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</si>
  <si>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</si>
  <si>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</si>
  <si>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</si>
  <si>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</si>
  <si>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</si>
  <si>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</si>
  <si>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</si>
  <si>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</si>
  <si>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</si>
  <si>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</si>
  <si>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</si>
  <si>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</si>
  <si>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</si>
  <si>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</si>
  <si>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</si>
  <si>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</si>
  <si>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</si>
  <si>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</si>
  <si>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</si>
  <si>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</si>
  <si>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</si>
  <si>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</si>
  <si>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</si>
  <si>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</si>
  <si>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</si>
  <si>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</si>
  <si>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</si>
  <si>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</si>
  <si>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</si>
  <si>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</si>
  <si>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</si>
  <si>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</si>
  <si>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</si>
  <si>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</si>
  <si>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</si>
  <si>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</si>
  <si>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</si>
  <si>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>PRESTAMOS DE ENTIDADES FINANCIERAS CORTO PLAZO (CREDITOS TESORERIA)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</si>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</sst>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(* #,##0_);_(* \(#,##0\);_(* &quot;-&quot;??_);_(@_)"/>
    <numFmt numFmtId="167" formatCode="#,##0;[Red]\-#,##0;&quot;-&quot;"/>
    <numFmt numFmtId="168" formatCode="mmmm/yyyy"/>
    <numFmt numFmtId="169" formatCode="[$-F800]dddd\,\ mmmm\ dd\,\ yyyy"/>
    <numFmt numFmtId="170" formatCode="0.0%"/>
    <numFmt numFmtId="171" formatCode="0_);\(0\)"/>
    <numFmt numFmtId="172" formatCode="_(* #,##0.000000000000_);_(* \(#,##0.000000000000\);_(* &quot;-&quot;??_);_(@_)"/>
    <numFmt numFmtId="173" formatCode="_(* #,##0.00000000_);_(* \(#,##0.00000000\);_(* &quot;-&quot;??_);_(@_)"/>
    <numFmt numFmtId="174" formatCode="_-* #,##0_-;\-* #,##0_-;_-* &quot;-&quot;????????_-;_-@_-"/>
    <numFmt numFmtId="175" formatCode="_(* #,##0.00000_);_(* \(#,##0.00000\);_(* &quot;-&quot;????????_);_(@_)"/>
  </numFmts>
  <fonts count="2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2" tint="-0.749992370372631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1" fontId="1" fillId="0" borderId="0" applyFont="0" applyFill="0" applyBorder="0" applyAlignment="0" applyProtection="0"/>
  </cellStyleXfs>
  <cellXfs count="131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4" fillId="0" borderId="0" xfId="1" applyNumberFormat="1" applyFont="1"/>
    <xf numFmtId="1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164" fontId="2" fillId="0" borderId="0" xfId="1" applyNumberFormat="1" applyFont="1"/>
    <xf numFmtId="43" fontId="2" fillId="0" borderId="0" xfId="3" applyFont="1" applyFill="1" applyBorder="1"/>
    <xf numFmtId="0" fontId="6" fillId="0" borderId="0" xfId="1" applyFont="1" applyAlignment="1">
      <alignment horizontal="center" wrapText="1"/>
    </xf>
    <xf numFmtId="0" fontId="6" fillId="0" borderId="0" xfId="1" applyFont="1" applyAlignment="1">
      <alignment vertical="center"/>
    </xf>
    <xf numFmtId="166" fontId="6" fillId="0" borderId="0" xfId="3" applyNumberFormat="1" applyFont="1" applyFill="1" applyBorder="1" applyAlignment="1">
      <alignment horizontal="center" wrapText="1"/>
    </xf>
    <xf numFmtId="0" fontId="6" fillId="0" borderId="0" xfId="1" applyFont="1"/>
    <xf numFmtId="166" fontId="6" fillId="0" borderId="0" xfId="3" applyNumberFormat="1" applyFont="1" applyFill="1" applyBorder="1"/>
    <xf numFmtId="0" fontId="6" fillId="0" borderId="0" xfId="1" applyFont="1" applyAlignment="1">
      <alignment horizontal="center"/>
    </xf>
    <xf numFmtId="0" fontId="7" fillId="0" borderId="0" xfId="1" applyFont="1"/>
    <xf numFmtId="166" fontId="6" fillId="0" borderId="0" xfId="3" applyNumberFormat="1" applyFont="1" applyFill="1" applyBorder="1" applyAlignment="1">
      <alignment horizontal="center"/>
    </xf>
    <xf numFmtId="0" fontId="8" fillId="0" borderId="0" xfId="1" applyFont="1"/>
    <xf numFmtId="0" fontId="6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6" fillId="0" borderId="0" xfId="1" applyFont="1" applyAlignment="1">
      <alignment horizontal="right"/>
    </xf>
    <xf numFmtId="0" fontId="6" fillId="0" borderId="0" xfId="1" applyFont="1" applyAlignment="1">
      <alignment wrapText="1"/>
    </xf>
    <xf numFmtId="166" fontId="6" fillId="0" borderId="0" xfId="3" applyNumberFormat="1" applyFont="1" applyFill="1" applyBorder="1" applyAlignment="1"/>
    <xf numFmtId="0" fontId="6" fillId="0" borderId="1" xfId="1" applyFont="1" applyBorder="1"/>
    <xf numFmtId="0" fontId="6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3" fontId="6" fillId="0" borderId="0" xfId="1" applyNumberFormat="1" applyFont="1" applyAlignment="1">
      <alignment horizontal="right"/>
    </xf>
    <xf numFmtId="9" fontId="6" fillId="0" borderId="0" xfId="4" applyFont="1" applyFill="1" applyBorder="1" applyAlignment="1">
      <alignment horizontal="right"/>
    </xf>
    <xf numFmtId="9" fontId="3" fillId="0" borderId="0" xfId="4" applyFont="1" applyFill="1" applyBorder="1" applyAlignment="1">
      <alignment horizontal="right"/>
    </xf>
    <xf numFmtId="166" fontId="6" fillId="0" borderId="0" xfId="3" applyNumberFormat="1" applyFont="1" applyFill="1" applyBorder="1" applyAlignment="1">
      <alignment horizontal="right"/>
    </xf>
    <xf numFmtId="9" fontId="6" fillId="0" borderId="0" xfId="4" applyFont="1" applyFill="1" applyBorder="1" applyAlignment="1">
      <alignment horizontal="center"/>
    </xf>
    <xf numFmtId="3" fontId="6" fillId="0" borderId="0" xfId="1" applyNumberFormat="1" applyFont="1"/>
    <xf numFmtId="167" fontId="3" fillId="0" borderId="0" xfId="4" applyNumberFormat="1" applyFont="1" applyFill="1" applyBorder="1" applyAlignment="1">
      <alignment horizontal="right"/>
    </xf>
    <xf numFmtId="0" fontId="10" fillId="0" borderId="0" xfId="1" applyFont="1" applyAlignment="1">
      <alignment horizontal="left"/>
    </xf>
    <xf numFmtId="3" fontId="10" fillId="0" borderId="0" xfId="1" applyNumberFormat="1" applyFont="1" applyAlignment="1">
      <alignment horizontal="right"/>
    </xf>
    <xf numFmtId="9" fontId="10" fillId="0" borderId="0" xfId="4" applyFont="1" applyFill="1" applyBorder="1" applyAlignment="1">
      <alignment horizontal="right"/>
    </xf>
    <xf numFmtId="9" fontId="9" fillId="0" borderId="0" xfId="4" applyFont="1" applyFill="1" applyBorder="1" applyAlignment="1">
      <alignment horizontal="right"/>
    </xf>
    <xf numFmtId="167" fontId="6" fillId="0" borderId="0" xfId="1" applyNumberFormat="1" applyFont="1" applyAlignment="1">
      <alignment horizontal="left"/>
    </xf>
    <xf numFmtId="166" fontId="10" fillId="0" borderId="0" xfId="3" applyNumberFormat="1" applyFont="1" applyFill="1" applyBorder="1" applyAlignment="1">
      <alignment horizontal="right"/>
    </xf>
    <xf numFmtId="9" fontId="10" fillId="0" borderId="0" xfId="4" applyFont="1" applyFill="1" applyBorder="1" applyAlignment="1">
      <alignment horizontal="center"/>
    </xf>
    <xf numFmtId="0" fontId="13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6" fontId="3" fillId="0" borderId="0" xfId="3" applyNumberFormat="1" applyFont="1" applyFill="1" applyBorder="1" applyAlignment="1">
      <alignment horizontal="center" wrapText="1"/>
    </xf>
    <xf numFmtId="0" fontId="13" fillId="0" borderId="0" xfId="1" applyFont="1"/>
    <xf numFmtId="166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8" fontId="3" fillId="0" borderId="0" xfId="1" applyNumberFormat="1" applyFont="1" applyAlignment="1">
      <alignment horizontal="centerContinuous"/>
    </xf>
    <xf numFmtId="168" fontId="3" fillId="0" borderId="0" xfId="1" applyNumberFormat="1" applyFont="1" applyAlignment="1">
      <alignment horizontal="center"/>
    </xf>
    <xf numFmtId="166" fontId="3" fillId="0" borderId="0" xfId="3" applyNumberFormat="1" applyFont="1" applyFill="1" applyBorder="1" applyAlignment="1">
      <alignment horizontal="center"/>
    </xf>
    <xf numFmtId="169" fontId="3" fillId="0" borderId="0" xfId="1" applyNumberFormat="1" applyFont="1" applyAlignment="1">
      <alignment horizontal="centerContinuous"/>
    </xf>
    <xf numFmtId="0" fontId="13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6" fontId="3" fillId="0" borderId="0" xfId="3" applyNumberFormat="1" applyFont="1" applyFill="1" applyBorder="1" applyAlignment="1">
      <alignment horizontal="right"/>
    </xf>
    <xf numFmtId="3" fontId="13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3" fontId="3" fillId="0" borderId="0" xfId="1" applyNumberFormat="1" applyFont="1" applyAlignment="1">
      <alignment horizontal="right"/>
    </xf>
    <xf numFmtId="166" fontId="3" fillId="0" borderId="0" xfId="3" applyNumberFormat="1" applyFont="1" applyFill="1" applyBorder="1" applyAlignment="1"/>
    <xf numFmtId="9" fontId="3" fillId="0" borderId="0" xfId="4" applyFont="1" applyFill="1" applyBorder="1" applyAlignment="1">
      <alignment horizontal="center"/>
    </xf>
    <xf numFmtId="49" fontId="13" fillId="0" borderId="0" xfId="1" applyNumberFormat="1" applyFont="1"/>
    <xf numFmtId="3" fontId="9" fillId="0" borderId="0" xfId="1" applyNumberFormat="1" applyFont="1" applyAlignment="1">
      <alignment horizontal="right"/>
    </xf>
    <xf numFmtId="49" fontId="13" fillId="0" borderId="0" xfId="5" applyNumberFormat="1" applyFont="1"/>
    <xf numFmtId="166" fontId="9" fillId="0" borderId="0" xfId="3" applyNumberFormat="1" applyFont="1" applyFill="1" applyBorder="1" applyAlignment="1">
      <alignment horizontal="right"/>
    </xf>
    <xf numFmtId="9" fontId="9" fillId="0" borderId="0" xfId="4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6" fontId="9" fillId="0" borderId="0" xfId="1" applyNumberFormat="1" applyFont="1"/>
    <xf numFmtId="3" fontId="13" fillId="0" borderId="0" xfId="1" applyNumberFormat="1" applyFont="1"/>
    <xf numFmtId="0" fontId="15" fillId="0" borderId="0" xfId="1" applyFont="1" applyAlignment="1">
      <alignment horizontal="center" wrapText="1"/>
    </xf>
    <xf numFmtId="0" fontId="15" fillId="0" borderId="0" xfId="1" applyFont="1"/>
    <xf numFmtId="0" fontId="9" fillId="0" borderId="0" xfId="1" applyFont="1"/>
    <xf numFmtId="49" fontId="15" fillId="0" borderId="0" xfId="1" applyNumberFormat="1" applyFont="1"/>
    <xf numFmtId="166" fontId="9" fillId="0" borderId="0" xfId="3" applyNumberFormat="1" applyFont="1" applyFill="1" applyBorder="1"/>
    <xf numFmtId="0" fontId="8" fillId="0" borderId="0" xfId="1" applyFont="1" applyAlignment="1">
      <alignment horizontal="center" wrapText="1"/>
    </xf>
    <xf numFmtId="43" fontId="6" fillId="0" borderId="0" xfId="1" applyNumberFormat="1" applyFont="1"/>
    <xf numFmtId="170" fontId="6" fillId="0" borderId="0" xfId="4" applyNumberFormat="1" applyFont="1" applyFill="1" applyBorder="1"/>
    <xf numFmtId="17" fontId="6" fillId="0" borderId="0" xfId="1" applyNumberFormat="1" applyFont="1"/>
    <xf numFmtId="0" fontId="6" fillId="0" borderId="2" xfId="1" applyFont="1" applyBorder="1" applyAlignment="1">
      <alignment horizontal="centerContinuous"/>
    </xf>
    <xf numFmtId="0" fontId="6" fillId="0" borderId="2" xfId="1" applyFont="1" applyBorder="1"/>
    <xf numFmtId="0" fontId="6" fillId="0" borderId="2" xfId="1" applyFont="1" applyBorder="1" applyAlignment="1">
      <alignment horizontal="right"/>
    </xf>
    <xf numFmtId="171" fontId="6" fillId="0" borderId="0" xfId="3" applyNumberFormat="1" applyFont="1" applyFill="1" applyBorder="1" applyAlignment="1">
      <alignment horizontal="right"/>
    </xf>
    <xf numFmtId="0" fontId="16" fillId="0" borderId="0" xfId="1" applyFont="1"/>
    <xf numFmtId="17" fontId="3" fillId="0" borderId="0" xfId="1" applyNumberFormat="1" applyFont="1"/>
    <xf numFmtId="0" fontId="6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9" fontId="3" fillId="0" borderId="0" xfId="4" applyFont="1" applyFill="1" applyBorder="1" applyAlignment="1"/>
    <xf numFmtId="170" fontId="3" fillId="0" borderId="0" xfId="4" applyNumberFormat="1" applyFont="1" applyFill="1" applyBorder="1" applyAlignment="1"/>
    <xf numFmtId="3" fontId="9" fillId="0" borderId="0" xfId="1" applyNumberFormat="1" applyFont="1"/>
    <xf numFmtId="166" fontId="3" fillId="0" borderId="0" xfId="3" applyNumberFormat="1" applyFont="1" applyFill="1" applyBorder="1" applyAlignment="1">
      <alignment horizontal="left"/>
    </xf>
    <xf numFmtId="0" fontId="6" fillId="0" borderId="1" xfId="1" applyFont="1" applyBorder="1" applyAlignment="1">
      <alignment horizontal="centerContinuous"/>
    </xf>
    <xf numFmtId="43" fontId="3" fillId="0" borderId="0" xfId="1" applyNumberFormat="1" applyFont="1"/>
    <xf numFmtId="172" fontId="3" fillId="0" borderId="0" xfId="3" applyNumberFormat="1" applyFont="1" applyFill="1" applyBorder="1"/>
    <xf numFmtId="1" fontId="3" fillId="0" borderId="0" xfId="1" applyNumberFormat="1" applyFont="1"/>
    <xf numFmtId="0" fontId="17" fillId="0" borderId="0" xfId="1" applyFont="1"/>
    <xf numFmtId="43" fontId="17" fillId="0" borderId="0" xfId="3" applyFont="1"/>
    <xf numFmtId="0" fontId="1" fillId="0" borderId="0" xfId="1"/>
    <xf numFmtId="0" fontId="17" fillId="0" borderId="0" xfId="1" applyFont="1" applyAlignment="1">
      <alignment wrapText="1"/>
    </xf>
    <xf numFmtId="173" fontId="18" fillId="0" borderId="0" xfId="3" applyNumberFormat="1" applyFont="1"/>
    <xf numFmtId="174" fontId="1" fillId="0" borderId="0" xfId="1" applyNumberFormat="1"/>
    <xf numFmtId="166" fontId="0" fillId="0" borderId="0" xfId="3" applyNumberFormat="1" applyFont="1"/>
    <xf numFmtId="43" fontId="18" fillId="0" borderId="0" xfId="3" applyFont="1"/>
    <xf numFmtId="166" fontId="17" fillId="0" borderId="0" xfId="3" applyNumberFormat="1" applyFont="1"/>
    <xf numFmtId="175" fontId="17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0" fontId="6" fillId="0" borderId="1" xfId="1" applyFont="1" applyBorder="1" applyAlignment="1">
      <alignment horizontal="right"/>
    </xf>
    <xf numFmtId="3" fontId="8" fillId="0" borderId="0" xfId="1" applyNumberFormat="1" applyFont="1" applyAlignment="1">
      <alignment horizontal="right"/>
    </xf>
    <xf numFmtId="49" fontId="19" fillId="0" borderId="0" xfId="1" applyNumberFormat="1" applyFont="1"/>
    <xf numFmtId="0" fontId="20" fillId="0" borderId="0" xfId="5" applyFont="1" applyAlignment="1">
      <alignment vertical="center"/>
    </xf>
    <xf numFmtId="0" fontId="19" fillId="0" borderId="0" xfId="1" applyFont="1"/>
    <xf numFmtId="0" fontId="21" fillId="0" borderId="0" xfId="1" applyFont="1"/>
    <xf numFmtId="41" fontId="19" fillId="0" borderId="0" xfId="6" applyFont="1"/>
    <xf numFmtId="49" fontId="22" fillId="0" borderId="0" xfId="5" applyNumberFormat="1" applyFont="1"/>
    <xf numFmtId="49" fontId="20" fillId="0" borderId="0" xfId="5" applyNumberFormat="1" applyFont="1"/>
    <xf numFmtId="0" fontId="23" fillId="0" borderId="0" xfId="5" applyFont="1" applyAlignment="1">
      <alignment vertical="center"/>
    </xf>
    <xf numFmtId="166" fontId="19" fillId="0" borderId="0" xfId="3" applyNumberFormat="1" applyFont="1"/>
    <xf numFmtId="166" fontId="19" fillId="0" borderId="0" xfId="1" applyNumberFormat="1" applyFont="1"/>
    <xf numFmtId="49" fontId="19" fillId="2" borderId="0" xfId="1" applyNumberFormat="1" applyFont="1" applyFill="1"/>
    <xf numFmtId="3" fontId="19" fillId="0" borderId="0" xfId="1" applyNumberFormat="1" applyFont="1"/>
    <xf numFmtId="43" fontId="19" fillId="0" borderId="0" xfId="1" applyNumberFormat="1" applyFont="1"/>
    <xf numFmtId="41" fontId="19" fillId="0" borderId="0" xfId="1" applyNumberFormat="1" applyFont="1"/>
    <xf numFmtId="49" fontId="24" fillId="0" borderId="0" xfId="5" applyNumberFormat="1" applyFont="1"/>
    <xf numFmtId="0" fontId="21" fillId="2" borderId="0" xfId="1" applyFont="1" applyFill="1"/>
    <xf numFmtId="0" fontId="19" fillId="2" borderId="0" xfId="1" applyFont="1" applyFill="1"/>
    <xf numFmtId="0" fontId="22" fillId="0" borderId="0" xfId="1" applyFont="1" applyAlignment="1">
      <alignment vertical="center"/>
    </xf>
    <xf numFmtId="0" fontId="22" fillId="0" borderId="0" xfId="1" applyFont="1" applyAlignment="1">
      <alignment horizontal="left" vertical="center"/>
    </xf>
  </cellXfs>
  <cellStyles count="7">
    <cellStyle name="Millares [0] 2" xfId="6" xr:uid="{8E075EE5-0B69-4324-A95C-6BFBD7BC83DE}"/>
    <cellStyle name="Millares 2" xfId="3" xr:uid="{7DFB302A-DD82-4630-B660-85A3A7A708CD}"/>
    <cellStyle name="Normal" xfId="0" builtinId="0"/>
    <cellStyle name="Normal 2" xfId="1" xr:uid="{A52B3A68-E194-4DBC-A722-8BF0315CC665}"/>
    <cellStyle name="Normal 2 2" xfId="5" xr:uid="{257DF6A7-6F03-4F08-9E92-566C574E8A0D}"/>
    <cellStyle name="Normal 3" xfId="2" xr:uid="{002C44E2-68F8-44B5-B216-3D4B3724AECD}"/>
    <cellStyle name="Porcentaje 2" xfId="4" xr:uid="{2B0471E5-FADF-4A81-9AFF-6F27081FF1C6}"/>
  </cellStyles>
  <dxfs count="69"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616560</xdr:colOff>
      <xdr:row>8</xdr:row>
      <xdr:rowOff>113769</xdr:rowOff>
    </xdr:from>
    <xdr:to>
      <xdr:col>41</xdr:col>
      <xdr:colOff>700620</xdr:colOff>
      <xdr:row>16</xdr:row>
      <xdr:rowOff>30613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70F816-BA93-4483-B4FB-58AC87A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67885" y="1694919"/>
          <a:ext cx="3132060" cy="1212244"/>
        </a:xfrm>
        <a:prstGeom prst="rect">
          <a:avLst/>
        </a:prstGeom>
      </xdr:spPr>
    </xdr:pic>
    <xdr:clientData/>
  </xdr:twoCellAnchor>
  <xdr:twoCellAnchor editAs="oneCell">
    <xdr:from>
      <xdr:col>42</xdr:col>
      <xdr:colOff>98689</xdr:colOff>
      <xdr:row>9</xdr:row>
      <xdr:rowOff>77674</xdr:rowOff>
    </xdr:from>
    <xdr:to>
      <xdr:col>46</xdr:col>
      <xdr:colOff>381000</xdr:colOff>
      <xdr:row>18</xdr:row>
      <xdr:rowOff>22294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B22148-9AD0-410B-9D4C-22F23A35D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60014" y="1820749"/>
          <a:ext cx="3330311" cy="1401945"/>
        </a:xfrm>
        <a:prstGeom prst="rect">
          <a:avLst/>
        </a:prstGeom>
      </xdr:spPr>
    </xdr:pic>
    <xdr:clientData/>
  </xdr:twoCellAnchor>
  <xdr:twoCellAnchor editAs="oneCell">
    <xdr:from>
      <xdr:col>46</xdr:col>
      <xdr:colOff>542925</xdr:colOff>
      <xdr:row>9</xdr:row>
      <xdr:rowOff>133352</xdr:rowOff>
    </xdr:from>
    <xdr:to>
      <xdr:col>50</xdr:col>
      <xdr:colOff>466725</xdr:colOff>
      <xdr:row>17</xdr:row>
      <xdr:rowOff>72987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762364-F48D-44F5-A915-33504572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052250" y="1876427"/>
          <a:ext cx="2971800" cy="1235035"/>
        </a:xfrm>
        <a:prstGeom prst="rect">
          <a:avLst/>
        </a:prstGeom>
      </xdr:spPr>
    </xdr:pic>
    <xdr:clientData/>
  </xdr:twoCellAnchor>
  <xdr:twoCellAnchor editAs="oneCell">
    <xdr:from>
      <xdr:col>51</xdr:col>
      <xdr:colOff>104775</xdr:colOff>
      <xdr:row>9</xdr:row>
      <xdr:rowOff>138504</xdr:rowOff>
    </xdr:from>
    <xdr:to>
      <xdr:col>55</xdr:col>
      <xdr:colOff>209550</xdr:colOff>
      <xdr:row>18</xdr:row>
      <xdr:rowOff>14848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A13FD2-7123-4217-B1F2-4C6900B89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424100" y="1881579"/>
          <a:ext cx="3152775" cy="1333669"/>
        </a:xfrm>
        <a:prstGeom prst="rect">
          <a:avLst/>
        </a:prstGeom>
      </xdr:spPr>
    </xdr:pic>
    <xdr:clientData/>
  </xdr:twoCellAnchor>
  <xdr:twoCellAnchor editAs="oneCell">
    <xdr:from>
      <xdr:col>51</xdr:col>
      <xdr:colOff>95250</xdr:colOff>
      <xdr:row>1</xdr:row>
      <xdr:rowOff>133351</xdr:rowOff>
    </xdr:from>
    <xdr:to>
      <xdr:col>55</xdr:col>
      <xdr:colOff>180975</xdr:colOff>
      <xdr:row>9</xdr:row>
      <xdr:rowOff>52822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240085C-2604-46B3-8831-E2AB66522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414575" y="371476"/>
          <a:ext cx="3133725" cy="1424421"/>
        </a:xfrm>
        <a:prstGeom prst="rect">
          <a:avLst/>
        </a:prstGeom>
      </xdr:spPr>
    </xdr:pic>
    <xdr:clientData/>
  </xdr:twoCellAnchor>
  <xdr:twoCellAnchor editAs="oneCell">
    <xdr:from>
      <xdr:col>46</xdr:col>
      <xdr:colOff>457200</xdr:colOff>
      <xdr:row>1</xdr:row>
      <xdr:rowOff>104776</xdr:rowOff>
    </xdr:from>
    <xdr:to>
      <xdr:col>50</xdr:col>
      <xdr:colOff>406347</xdr:colOff>
      <xdr:row>8</xdr:row>
      <xdr:rowOff>76200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E841E81-BC89-4AB7-A05A-53A146BAE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966525" y="342901"/>
          <a:ext cx="2997147" cy="1314449"/>
        </a:xfrm>
        <a:prstGeom prst="rect">
          <a:avLst/>
        </a:prstGeom>
      </xdr:spPr>
    </xdr:pic>
    <xdr:clientData/>
  </xdr:twoCellAnchor>
  <xdr:twoCellAnchor editAs="oneCell">
    <xdr:from>
      <xdr:col>42</xdr:col>
      <xdr:colOff>80376</xdr:colOff>
      <xdr:row>1</xdr:row>
      <xdr:rowOff>57151</xdr:rowOff>
    </xdr:from>
    <xdr:to>
      <xdr:col>46</xdr:col>
      <xdr:colOff>200025</xdr:colOff>
      <xdr:row>8</xdr:row>
      <xdr:rowOff>74692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10E1BC5-04AA-45B6-9459-BE3B4049F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541701" y="295276"/>
          <a:ext cx="3167649" cy="1360566"/>
        </a:xfrm>
        <a:prstGeom prst="rect">
          <a:avLst/>
        </a:prstGeom>
      </xdr:spPr>
    </xdr:pic>
    <xdr:clientData/>
  </xdr:twoCellAnchor>
  <xdr:twoCellAnchor editAs="oneCell">
    <xdr:from>
      <xdr:col>37</xdr:col>
      <xdr:colOff>669835</xdr:colOff>
      <xdr:row>0</xdr:row>
      <xdr:rowOff>221719</xdr:rowOff>
    </xdr:from>
    <xdr:to>
      <xdr:col>41</xdr:col>
      <xdr:colOff>589049</xdr:colOff>
      <xdr:row>7</xdr:row>
      <xdr:rowOff>122285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EEB0279-D609-4549-99C4-39277CD6C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321160" y="221719"/>
          <a:ext cx="2967214" cy="1310266"/>
        </a:xfrm>
        <a:prstGeom prst="rect">
          <a:avLst/>
        </a:prstGeom>
      </xdr:spPr>
    </xdr:pic>
    <xdr:clientData/>
  </xdr:twoCellAnchor>
  <xdr:twoCellAnchor editAs="oneCell">
    <xdr:from>
      <xdr:col>37</xdr:col>
      <xdr:colOff>742950</xdr:colOff>
      <xdr:row>17</xdr:row>
      <xdr:rowOff>153795</xdr:rowOff>
    </xdr:from>
    <xdr:to>
      <xdr:col>41</xdr:col>
      <xdr:colOff>666750</xdr:colOff>
      <xdr:row>25</xdr:row>
      <xdr:rowOff>134194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695BDFD-59C3-4668-96A4-D94352048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394275" y="3192270"/>
          <a:ext cx="2971800" cy="1275799"/>
        </a:xfrm>
        <a:prstGeom prst="rect">
          <a:avLst/>
        </a:prstGeom>
      </xdr:spPr>
    </xdr:pic>
    <xdr:clientData/>
  </xdr:twoCellAnchor>
  <xdr:twoCellAnchor editAs="oneCell">
    <xdr:from>
      <xdr:col>42</xdr:col>
      <xdr:colOff>209410</xdr:colOff>
      <xdr:row>18</xdr:row>
      <xdr:rowOff>19051</xdr:rowOff>
    </xdr:from>
    <xdr:to>
      <xdr:col>46</xdr:col>
      <xdr:colOff>200025</xdr:colOff>
      <xdr:row>26</xdr:row>
      <xdr:rowOff>48569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5BF9672-A84A-4EB9-BCE7-E7057403C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670735" y="3219451"/>
          <a:ext cx="3038615" cy="1324918"/>
        </a:xfrm>
        <a:prstGeom prst="rect">
          <a:avLst/>
        </a:prstGeom>
      </xdr:spPr>
    </xdr:pic>
    <xdr:clientData/>
  </xdr:twoCellAnchor>
  <xdr:twoCellAnchor editAs="oneCell">
    <xdr:from>
      <xdr:col>46</xdr:col>
      <xdr:colOff>620869</xdr:colOff>
      <xdr:row>18</xdr:row>
      <xdr:rowOff>133350</xdr:rowOff>
    </xdr:from>
    <xdr:to>
      <xdr:col>50</xdr:col>
      <xdr:colOff>352425</xdr:colOff>
      <xdr:row>26</xdr:row>
      <xdr:rowOff>105239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90DBF24-335B-40F5-B284-3DE22DEC8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130194" y="3333750"/>
          <a:ext cx="2779556" cy="1267289"/>
        </a:xfrm>
        <a:prstGeom prst="rect">
          <a:avLst/>
        </a:prstGeom>
      </xdr:spPr>
    </xdr:pic>
    <xdr:clientData/>
  </xdr:twoCellAnchor>
  <xdr:twoCellAnchor editAs="oneCell">
    <xdr:from>
      <xdr:col>51</xdr:col>
      <xdr:colOff>38100</xdr:colOff>
      <xdr:row>19</xdr:row>
      <xdr:rowOff>85725</xdr:rowOff>
    </xdr:from>
    <xdr:to>
      <xdr:col>55</xdr:col>
      <xdr:colOff>408874</xdr:colOff>
      <xdr:row>28</xdr:row>
      <xdr:rowOff>96906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264D8F9-4ACE-4230-8D03-E594D04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357425" y="3448050"/>
          <a:ext cx="3418774" cy="14685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Program%20Files\Vision%20Tecnologica\UnoBiable\UnoBiable.xla" TargetMode="External"/><Relationship Id="rId1" Type="http://schemas.openxmlformats.org/officeDocument/2006/relationships/externalLinkPath" Target="file:///C:\Program%20Files\Vision%20Tecnologica\UnoBiable\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definedNames>
      <definedName name="Consulta"/>
    </defined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17E114A6-96F8-45A2-BDB3-A9857B333B84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47.442095023151" createdVersion="3" refreshedVersion="6" minRefreshableVersion="3" recordCount="3" xr:uid="{5846661C-B894-4657-83B1-55E490E4349D}">
  <cacheSource type="external" connectionId="3"/>
  <cacheFields count="33">
    <cacheField name="PERIODO" numFmtId="0">
      <sharedItems containsSemiMixedTypes="0" containsString="0" containsNumber="1" containsInteger="1" minValue="201909" maxValue="201909" count="1">
        <n v="201909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pto Flujo de Efectivo" numFmtId="0">
      <sharedItems count="3">
        <s v="4102"/>
        <s v="7102"/>
        <s v="7105"/>
      </sharedItems>
    </cacheField>
    <cacheField name="Nombre Cpto Flujo Efectivo" numFmtId="0">
      <sharedItems count="3">
        <s v="INTERESES LARGO PLAZO"/>
        <s v="PAGO CUOTA CORRIENTE"/>
        <s v="PRESTAMOS ENTIDADES FINANCIERAS LP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19" maxValue="2019" count="1">
        <n v="2019"/>
      </sharedItems>
    </cacheField>
    <cacheField name="Valor Presupuesto" numFmtId="0">
      <sharedItems containsSemiMixedTypes="0" containsString="0" containsNumber="1" containsInteger="1" minValue="15856000" maxValue="89381000" count="3">
        <n v="15856000"/>
        <n v="89381000"/>
        <n v="42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8B867B51-CC5C-459F-9A10-3ED4AD31A754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C73B20-9C31-47E2-875D-F69616E85930}" name="UnoBiable: SmartZoom 001 en ctas" cacheId="8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31" type="button" dataOnly="0" labelOnly="1" outline="0" axis="axisRow" fieldPosition="0"/>
    </format>
    <format dxfId="5">
      <pivotArea field="32" type="button" dataOnly="0" labelOnly="1" outline="0" axis="axisRow" fieldPosition="1"/>
    </format>
    <format dxfId="6">
      <pivotArea dataOnly="0" labelOnly="1" outline="0" fieldPosition="0">
        <references count="1">
          <reference field="31" count="0"/>
        </references>
      </pivotArea>
    </format>
    <format dxfId="7">
      <pivotArea dataOnly="0" labelOnly="1" grandRow="1" outline="0" fieldPosition="0"/>
    </format>
    <format dxfId="8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9">
      <pivotArea type="topRight" dataOnly="0" labelOnly="1" outline="0" fieldPosition="0"/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31" type="button" dataOnly="0" labelOnly="1" outline="0" axis="axisRow" fieldPosition="0"/>
    </format>
    <format dxfId="14">
      <pivotArea field="32" type="button" dataOnly="0" labelOnly="1" outline="0" axis="axisRow" fieldPosition="1"/>
    </format>
    <format dxfId="15">
      <pivotArea dataOnly="0" labelOnly="1" outline="0" fieldPosition="0">
        <references count="1">
          <reference field="31" count="0"/>
        </references>
      </pivotArea>
    </format>
    <format dxfId="16">
      <pivotArea dataOnly="0" labelOnly="1" grandRow="1" outline="0" fieldPosition="0"/>
    </format>
    <format dxfId="17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18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E0A054-47B3-4FF6-BB2D-CF21444E2518}" name="UnoBiable: SmartZoom 002 en ctas" cacheId="9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2">
        <item x="0"/>
        <item t="default"/>
      </items>
    </pivotField>
    <pivotField compact="0" outline="0" showAll="0"/>
    <pivotField compact="0" outline="0" showAll="0">
      <items count="2">
        <item x="0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">
        <item x="0"/>
        <item x="1"/>
        <item x="2"/>
      </items>
    </pivotField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19">
      <pivotArea outline="0" collapsedLevelsAreSubtotals="1" fieldPosition="0"/>
    </format>
    <format dxfId="20">
      <pivotArea type="all" dataOnly="0" outline="0" fieldPosition="0"/>
    </format>
    <format dxfId="21">
      <pivotArea outline="0" collapsedLevelsAreSubtotals="1" fieldPosition="0"/>
    </format>
    <format dxfId="22">
      <pivotArea type="origin" dataOnly="0" labelOnly="1" outline="0" fieldPosition="0"/>
    </format>
    <format dxfId="23">
      <pivotArea field="5" type="button" dataOnly="0" labelOnly="1" outline="0" axis="axisRow" fieldPosition="0"/>
    </format>
    <format dxfId="24">
      <pivotArea field="6" type="button" dataOnly="0" labelOnly="1" outline="0" axis="axisRow" fieldPosition="1"/>
    </format>
    <format dxfId="25">
      <pivotArea dataOnly="0" labelOnly="1" outline="0" fieldPosition="0">
        <references count="1">
          <reference field="5" count="0"/>
        </references>
      </pivotArea>
    </format>
    <format dxfId="26">
      <pivotArea dataOnly="0" labelOnly="1" grandRow="1" outline="0" fieldPosition="0"/>
    </format>
    <format dxfId="27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8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29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30">
      <pivotArea type="topRight" dataOnly="0" labelOnly="1" outline="0" fieldPosition="0"/>
    </format>
    <format dxfId="31">
      <pivotArea type="all" dataOnly="0" outline="0" fieldPosition="0"/>
    </format>
    <format dxfId="32">
      <pivotArea outline="0" collapsedLevelsAreSubtotals="1" fieldPosition="0"/>
    </format>
    <format dxfId="33">
      <pivotArea type="origin" dataOnly="0" labelOnly="1" outline="0" fieldPosition="0"/>
    </format>
    <format dxfId="34">
      <pivotArea field="5" type="button" dataOnly="0" labelOnly="1" outline="0" axis="axisRow" fieldPosition="0"/>
    </format>
    <format dxfId="35">
      <pivotArea field="6" type="button" dataOnly="0" labelOnly="1" outline="0" axis="axisRow" fieldPosition="1"/>
    </format>
    <format dxfId="36">
      <pivotArea dataOnly="0" labelOnly="1" outline="0" fieldPosition="0">
        <references count="1">
          <reference field="5" count="0"/>
        </references>
      </pivotArea>
    </format>
    <format dxfId="37">
      <pivotArea dataOnly="0" labelOnly="1" grandRow="1" outline="0" fieldPosition="0"/>
    </format>
    <format dxfId="38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3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0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883B97-AF7D-4800-A517-BC7F76B1ECC5}" name="UnoBiable: SmartZoom 000 en ctas" cacheId="7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42">
      <pivotArea type="all" dataOnly="0" outline="0" fieldPosition="0"/>
    </format>
    <format dxfId="43">
      <pivotArea outline="0" collapsedLevelsAreSubtotals="1" fieldPosition="0"/>
    </format>
    <format dxfId="44">
      <pivotArea type="origin" dataOnly="0" labelOnly="1" outline="0" fieldPosition="0"/>
    </format>
    <format dxfId="45">
      <pivotArea field="4" type="button" dataOnly="0" labelOnly="1" outline="0" axis="axisRow" fieldPosition="0"/>
    </format>
    <format dxfId="46">
      <pivotArea dataOnly="0" labelOnly="1" outline="0" fieldPosition="0">
        <references count="1">
          <reference field="4" count="0"/>
        </references>
      </pivotArea>
    </format>
    <format dxfId="47">
      <pivotArea dataOnly="0" labelOnly="1" grandRow="1" outline="0" fieldPosition="0"/>
    </format>
    <format dxfId="48">
      <pivotArea type="topRight" dataOnly="0" labelOnly="1" outline="0" fieldPosition="0"/>
    </format>
    <format dxfId="49">
      <pivotArea type="all" dataOnly="0" outline="0" fieldPosition="0"/>
    </format>
    <format dxfId="50">
      <pivotArea outline="0" collapsedLevelsAreSubtotals="1" fieldPosition="0"/>
    </format>
    <format dxfId="51">
      <pivotArea type="origin" dataOnly="0" labelOnly="1" outline="0" fieldPosition="0"/>
    </format>
    <format dxfId="52">
      <pivotArea field="4" type="button" dataOnly="0" labelOnly="1" outline="0" axis="axisRow" fieldPosition="0"/>
    </format>
    <format dxfId="53">
      <pivotArea dataOnly="0" labelOnly="1" outline="0" fieldPosition="0">
        <references count="1">
          <reference field="4" count="0"/>
        </references>
      </pivotArea>
    </format>
    <format dxfId="54">
      <pivotArea dataOnly="0" labelOnly="1" grandRow="1" outline="0" fieldPosition="0"/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C6F0B-241A-484A-9008-FE6A5DF41A33}">
  <dimension ref="A2:D33"/>
  <sheetViews>
    <sheetView showGridLines="0" workbookViewId="0"/>
  </sheetViews>
  <sheetFormatPr baseColWidth="10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16384" width="11.42578125" style="1"/>
  </cols>
  <sheetData>
    <row r="2" spans="1:4" x14ac:dyDescent="0.2">
      <c r="A2" s="1" t="s">
        <v>0</v>
      </c>
      <c r="B2" s="1" t="s">
        <v>1</v>
      </c>
    </row>
    <row r="3" spans="1:4" x14ac:dyDescent="0.2">
      <c r="A3" s="2">
        <v>202101</v>
      </c>
      <c r="B3" s="3">
        <v>202201</v>
      </c>
      <c r="C3" s="3"/>
    </row>
    <row r="4" spans="1:4" x14ac:dyDescent="0.2">
      <c r="A4" s="2">
        <v>202112</v>
      </c>
      <c r="B4" s="3">
        <v>202212</v>
      </c>
      <c r="C4" s="3"/>
    </row>
    <row r="5" spans="1:4" x14ac:dyDescent="0.2">
      <c r="A5" s="2"/>
      <c r="B5" s="3">
        <f>+B4-1</f>
        <v>202211</v>
      </c>
      <c r="C5" s="3"/>
    </row>
    <row r="7" spans="1:4" x14ac:dyDescent="0.2">
      <c r="B7" s="1" t="s">
        <v>2</v>
      </c>
      <c r="C7" s="1" t="s">
        <v>3</v>
      </c>
      <c r="D7" s="1" t="s">
        <v>4</v>
      </c>
    </row>
    <row r="8" spans="1:4" x14ac:dyDescent="0.2">
      <c r="A8" s="1" t="e" cm="1">
        <f t="array" ref="A8">bus</f>
        <v>#NAME?</v>
      </c>
      <c r="B8" s="4" t="s">
        <v>5</v>
      </c>
      <c r="C8" s="5">
        <v>2022</v>
      </c>
      <c r="D8" s="6">
        <v>4810.2</v>
      </c>
    </row>
    <row r="9" spans="1:4" x14ac:dyDescent="0.2">
      <c r="B9" s="7" t="str">
        <f>+B8</f>
        <v>DICIEMBRE</v>
      </c>
      <c r="C9" s="5">
        <f>+C8-1</f>
        <v>2021</v>
      </c>
      <c r="D9" s="8">
        <v>3981.16</v>
      </c>
    </row>
    <row r="10" spans="1:4" x14ac:dyDescent="0.2">
      <c r="B10" s="1" t="s">
        <v>6</v>
      </c>
      <c r="D10" s="8">
        <v>3400</v>
      </c>
    </row>
    <row r="22" spans="2:3" x14ac:dyDescent="0.2">
      <c r="B22" s="1" t="s">
        <v>7</v>
      </c>
      <c r="C22" s="1">
        <v>1</v>
      </c>
    </row>
    <row r="23" spans="2:3" x14ac:dyDescent="0.2">
      <c r="B23" s="1" t="s">
        <v>8</v>
      </c>
      <c r="C23" s="1">
        <v>2</v>
      </c>
    </row>
    <row r="24" spans="2:3" x14ac:dyDescent="0.2">
      <c r="B24" s="1" t="s">
        <v>9</v>
      </c>
      <c r="C24" s="1">
        <v>3</v>
      </c>
    </row>
    <row r="25" spans="2:3" x14ac:dyDescent="0.2">
      <c r="B25" s="1" t="s">
        <v>10</v>
      </c>
      <c r="C25" s="1">
        <v>4</v>
      </c>
    </row>
    <row r="26" spans="2:3" x14ac:dyDescent="0.2">
      <c r="B26" s="1" t="s">
        <v>11</v>
      </c>
      <c r="C26" s="1">
        <v>5</v>
      </c>
    </row>
    <row r="27" spans="2:3" x14ac:dyDescent="0.2">
      <c r="B27" s="1" t="s">
        <v>12</v>
      </c>
      <c r="C27" s="1">
        <v>6</v>
      </c>
    </row>
    <row r="28" spans="2:3" x14ac:dyDescent="0.2">
      <c r="B28" s="1" t="s">
        <v>13</v>
      </c>
      <c r="C28" s="1">
        <v>7</v>
      </c>
    </row>
    <row r="29" spans="2:3" x14ac:dyDescent="0.2">
      <c r="B29" s="1" t="s">
        <v>14</v>
      </c>
      <c r="C29" s="1">
        <v>8</v>
      </c>
    </row>
    <row r="30" spans="2:3" x14ac:dyDescent="0.2">
      <c r="B30" s="1" t="s">
        <v>15</v>
      </c>
      <c r="C30" s="1">
        <v>9</v>
      </c>
    </row>
    <row r="31" spans="2:3" x14ac:dyDescent="0.2">
      <c r="B31" s="1" t="s">
        <v>16</v>
      </c>
      <c r="C31" s="1">
        <v>10</v>
      </c>
    </row>
    <row r="32" spans="2:3" x14ac:dyDescent="0.2">
      <c r="B32" s="1" t="s">
        <v>17</v>
      </c>
      <c r="C32" s="1">
        <v>11</v>
      </c>
    </row>
    <row r="33" spans="2:3" x14ac:dyDescent="0.2">
      <c r="B33" s="1" t="s">
        <v>5</v>
      </c>
      <c r="C33" s="1">
        <v>12</v>
      </c>
    </row>
  </sheetData>
  <dataValidations count="1">
    <dataValidation type="list" allowBlank="1" showInputMessage="1" showErrorMessage="1" sqref="B8" xr:uid="{6B01E111-363E-441B-9832-2213C33C8D03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D1689-FFD5-48A0-8A25-AD3E1FF83F1C}">
  <dimension ref="A1:AK46"/>
  <sheetViews>
    <sheetView showGridLines="0" topLeftCell="A4" workbookViewId="0">
      <selection activeCell="T3" sqref="T3"/>
    </sheetView>
  </sheetViews>
  <sheetFormatPr baseColWidth="10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61" bestFit="1" customWidth="1"/>
    <col min="20" max="21" width="11.42578125" style="61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48" customFormat="1" x14ac:dyDescent="0.2">
      <c r="B1" s="43"/>
      <c r="S1" s="61"/>
      <c r="T1" s="61"/>
      <c r="U1" s="61"/>
    </row>
    <row r="2" spans="1:37" x14ac:dyDescent="0.2">
      <c r="A2" s="48"/>
      <c r="Y2" s="48"/>
      <c r="Z2" s="48"/>
      <c r="AA2" s="48"/>
      <c r="AB2" s="48"/>
    </row>
    <row r="3" spans="1:37" ht="18" x14ac:dyDescent="0.25">
      <c r="B3" s="15" t="s">
        <v>149</v>
      </c>
      <c r="T3" s="111"/>
      <c r="V3" s="2" t="str">
        <f>+B3</f>
        <v>MUSICAR S.A. COLOMBIA CONSOLIDADO USD</v>
      </c>
    </row>
    <row r="4" spans="1:37" x14ac:dyDescent="0.2">
      <c r="B4" s="2" t="s">
        <v>19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V4" s="48"/>
      <c r="W4" s="48"/>
      <c r="X4" s="48"/>
      <c r="Y4" s="48"/>
      <c r="Z4" s="48"/>
      <c r="AA4" s="48"/>
      <c r="AB4" s="48"/>
      <c r="AC4" s="48"/>
      <c r="AD4" s="48"/>
      <c r="AE4" s="48"/>
    </row>
    <row r="5" spans="1:37" x14ac:dyDescent="0.2">
      <c r="B5" s="3" t="s">
        <v>93</v>
      </c>
      <c r="V5" s="48"/>
      <c r="W5" s="2">
        <f>+'COLOMB$ '!U6:W6</f>
        <v>0</v>
      </c>
      <c r="Z5" s="2">
        <f>+'COLOMB$ '!X6:AB6</f>
        <v>0</v>
      </c>
      <c r="AC5" s="2" t="s">
        <v>25</v>
      </c>
      <c r="AD5" s="2" t="s">
        <v>23</v>
      </c>
      <c r="AE5" s="2" t="s">
        <v>24</v>
      </c>
    </row>
    <row r="6" spans="1:37" ht="15.75" customHeight="1" thickBot="1" x14ac:dyDescent="0.25">
      <c r="B6" s="19" t="str">
        <f>+'COL. CONS.$'!B6</f>
        <v>DICIEMBRE De 2022</v>
      </c>
      <c r="C6" s="86"/>
      <c r="K6" s="20" t="s">
        <v>22</v>
      </c>
      <c r="L6" s="20"/>
      <c r="M6" s="20"/>
      <c r="N6" s="20"/>
      <c r="O6" s="20"/>
      <c r="P6" s="20"/>
      <c r="Q6" s="20"/>
      <c r="R6" s="20"/>
      <c r="V6" s="3" t="s">
        <v>93</v>
      </c>
      <c r="W6" s="48" t="str">
        <f>+C8</f>
        <v>Valor</v>
      </c>
      <c r="X6" s="48" t="str">
        <f>+E8</f>
        <v>Valor</v>
      </c>
      <c r="Y6" s="48" t="str">
        <f>+O8</f>
        <v>%</v>
      </c>
      <c r="Z6" s="48" t="str">
        <f>+W6</f>
        <v>Valor</v>
      </c>
      <c r="AA6" s="48" t="str">
        <f>+X6</f>
        <v>Valor</v>
      </c>
      <c r="AB6" s="48" t="str">
        <f>+G8</f>
        <v>%</v>
      </c>
      <c r="AC6" s="48" t="s">
        <v>25</v>
      </c>
      <c r="AD6" s="48" t="s">
        <v>23</v>
      </c>
      <c r="AE6" s="48" t="s">
        <v>24</v>
      </c>
    </row>
    <row r="7" spans="1:37" x14ac:dyDescent="0.2">
      <c r="B7" s="55"/>
      <c r="C7" s="55"/>
      <c r="D7" s="55" t="s">
        <v>63</v>
      </c>
      <c r="E7" s="55"/>
      <c r="F7" s="55" t="s">
        <v>64</v>
      </c>
      <c r="G7" s="56" t="s">
        <v>23</v>
      </c>
      <c r="H7" s="55"/>
      <c r="I7" s="55" t="s">
        <v>65</v>
      </c>
      <c r="J7" s="56" t="s">
        <v>24</v>
      </c>
      <c r="K7" s="56"/>
      <c r="L7" s="55" t="str">
        <f>+D7</f>
        <v>Ppto 2022</v>
      </c>
      <c r="M7" s="56"/>
      <c r="N7" s="55" t="str">
        <f>+F7</f>
        <v>Real 2022</v>
      </c>
      <c r="O7" s="56" t="s">
        <v>23</v>
      </c>
      <c r="P7" s="56" t="str">
        <f>+I7</f>
        <v>Real 2021</v>
      </c>
      <c r="Q7" s="56"/>
      <c r="R7" s="56" t="s">
        <v>24</v>
      </c>
      <c r="V7" s="3" t="str">
        <f>+'COLOMB$ '!T4</f>
        <v xml:space="preserve">Flujo de Caja </v>
      </c>
      <c r="W7" s="48" t="s">
        <v>27</v>
      </c>
      <c r="X7" s="48" t="s">
        <v>27</v>
      </c>
      <c r="Y7" s="48" t="s">
        <v>27</v>
      </c>
      <c r="Z7" s="2" t="s">
        <v>150</v>
      </c>
      <c r="AC7" s="48" t="s">
        <v>27</v>
      </c>
      <c r="AD7" s="48" t="s">
        <v>29</v>
      </c>
      <c r="AE7" s="48" t="s">
        <v>29</v>
      </c>
    </row>
    <row r="8" spans="1:37" ht="13.5" thickBot="1" x14ac:dyDescent="0.25">
      <c r="B8" s="59" t="s">
        <v>26</v>
      </c>
      <c r="C8" s="60" t="s">
        <v>27</v>
      </c>
      <c r="D8" s="60" t="s">
        <v>28</v>
      </c>
      <c r="E8" s="60" t="s">
        <v>27</v>
      </c>
      <c r="F8" s="60" t="s">
        <v>28</v>
      </c>
      <c r="G8" s="60" t="s">
        <v>29</v>
      </c>
      <c r="H8" s="60" t="s">
        <v>27</v>
      </c>
      <c r="I8" s="60" t="s">
        <v>28</v>
      </c>
      <c r="J8" s="60" t="s">
        <v>29</v>
      </c>
      <c r="K8" s="60" t="s">
        <v>27</v>
      </c>
      <c r="L8" s="60" t="s">
        <v>28</v>
      </c>
      <c r="M8" s="60" t="s">
        <v>27</v>
      </c>
      <c r="N8" s="60" t="s">
        <v>28</v>
      </c>
      <c r="O8" s="60" t="s">
        <v>29</v>
      </c>
      <c r="P8" s="60" t="s">
        <v>27</v>
      </c>
      <c r="Q8" s="60" t="s">
        <v>28</v>
      </c>
      <c r="R8" s="60" t="s">
        <v>29</v>
      </c>
      <c r="V8" s="3" t="s">
        <v>30</v>
      </c>
      <c r="W8" s="61">
        <f>'COLOMBIA USD'!W10+'EL SALVADOR USD'!V10+'VENEZUELA USD'!W9+'PANAMA USD'!U10</f>
        <v>28937.526654297712</v>
      </c>
      <c r="X8" s="61">
        <f>'COLOMBIA USD'!Y10+'EL SALVADOR USD'!X10+'VENEZUELA USD'!X9+'PANAMA USD'!W10</f>
        <v>140999.20446211658</v>
      </c>
      <c r="Y8" s="61">
        <f>'COLOMBIA USD'!X10+'EL SALVADOR USD'!W10+'VENEZUELA USD'!Y9+'PANAMA USD'!V10</f>
        <v>33969.802759552615</v>
      </c>
      <c r="Z8" s="61">
        <f>'COLOMBIA USD'!Z10+'EL SALVADOR USD'!Y10+'VENEZUELA USD'!Z9+'PANAMA USD'!X10</f>
        <v>173872.23529411765</v>
      </c>
      <c r="AA8" s="61">
        <f>'COLOMBIA USD'!AD10+'EL SALVADOR USD'!AC10+'VENEZUELA USD'!AA9+'PANAMA USD'!AB10</f>
        <v>173113.25693928404</v>
      </c>
      <c r="AB8" s="61">
        <f>'COLOMBIA USD'!AA10+'EL SALVADOR USD'!Z10+'VENEZUELA USD'!AB9+'PANAMA USD'!Y10</f>
        <v>132105.01035299987</v>
      </c>
      <c r="AC8" s="57">
        <f>+AB8-Z8</f>
        <v>-41767.224941117776</v>
      </c>
      <c r="AD8" s="63">
        <f>IF(Z8=0,"",(AB8-Z8)/ABS(Z8)+1)</f>
        <v>0.75978209016255271</v>
      </c>
      <c r="AE8" s="63">
        <f>IF(X8=0,"",(AB8-AA8)/ABS(AA8))</f>
        <v>-0.23688680642561635</v>
      </c>
      <c r="AF8" s="49"/>
      <c r="AG8" s="49">
        <f>+'COLOMBIA USD'!Y10+'EL SALVADOR USD'!X10+'VENEZUELA USD'!X9+'PANAMA USD'!W10</f>
        <v>140999.20446211658</v>
      </c>
      <c r="AH8" s="49">
        <f>+'COLOMBIA USD'!X10+'EL SALVADOR USD'!W10+'VENEZUELA USD'!Y9+'PANAMA USD'!V10</f>
        <v>33969.802759552615</v>
      </c>
      <c r="AI8" s="49">
        <f>+'COLOMBIA USD'!Z10+'EL SALVADOR USD'!Y10+'VENEZUELA USD'!Z9+'PANAMA USD'!X10</f>
        <v>173872.23529411765</v>
      </c>
      <c r="AJ8" s="49">
        <f>+'COLOMBIA USD'!AD10+'EL SALVADOR USD'!AC10+'VENEZUELA USD'!AA9+'PANAMA USD'!AB10</f>
        <v>173113.25693928404</v>
      </c>
      <c r="AK8" s="49">
        <f>+'COLOMBIA USD'!AA10+'EL SALVADOR USD'!Z10+'VENEZUELA USD'!AB9+'PANAMA USD'!Y10</f>
        <v>132105.01035299987</v>
      </c>
    </row>
    <row r="9" spans="1:37" x14ac:dyDescent="0.2">
      <c r="B9" s="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V9" s="3" t="s">
        <v>31</v>
      </c>
      <c r="W9" s="61">
        <f>'COLOMBIA USD'!W11+'EL SALVADOR USD'!V11+'VENEZUELA USD'!W10+'PANAMA USD'!U11</f>
        <v>359787.92170645687</v>
      </c>
      <c r="X9" s="61">
        <f>'COLOMBIA USD'!Y11+'EL SALVADOR USD'!X11+'VENEZUELA USD'!X10+'PANAMA USD'!W11</f>
        <v>353499.81166836125</v>
      </c>
      <c r="Y9" s="61">
        <f>'COLOMBIA USD'!X11+'EL SALVADOR USD'!W11+'VENEZUELA USD'!Y10+'PANAMA USD'!V11</f>
        <v>223332.07304934008</v>
      </c>
      <c r="Z9" s="61">
        <f>'COLOMBIA USD'!Z11+'EL SALVADOR USD'!Y11+'VENEZUELA USD'!Z10+'PANAMA USD'!X11</f>
        <v>3778379.451364012</v>
      </c>
      <c r="AA9" s="61">
        <f>'COLOMBIA USD'!AD11+'EL SALVADOR USD'!AC11+'VENEZUELA USD'!AA10+'PANAMA USD'!AB11</f>
        <v>3125921.1842385032</v>
      </c>
      <c r="AB9" s="61">
        <f>'COLOMBIA USD'!AA11+'EL SALVADOR USD'!Z11+'VENEZUELA USD'!AB10+'PANAMA USD'!Y11</f>
        <v>2661094.933327633</v>
      </c>
      <c r="AC9" s="57">
        <f>+AB9-Z9</f>
        <v>-1117284.518036379</v>
      </c>
      <c r="AD9" s="63">
        <f>IF(Z9=0,"",(AB9-Z9)/ABS(Z9)+1)</f>
        <v>0.70429531167574122</v>
      </c>
      <c r="AE9" s="63">
        <f>IF(AA9=0,"",(AB9-AA9)/ABS(AA9))</f>
        <v>-0.14870056649368313</v>
      </c>
      <c r="AF9" s="49"/>
      <c r="AG9" s="49">
        <f>+'COLOMBIA USD'!Y11+'EL SALVADOR USD'!X11+'VENEZUELA USD'!X10+'PANAMA USD'!W11</f>
        <v>353499.81166836125</v>
      </c>
      <c r="AH9" s="49">
        <f>+'COLOMBIA USD'!X11+'EL SALVADOR USD'!W11+'VENEZUELA USD'!Y10+'PANAMA USD'!V11</f>
        <v>223332.07304934008</v>
      </c>
      <c r="AI9" s="49">
        <f>+'COLOMBIA USD'!AB11+'EL SALVADOR USD'!AA11+'VENEZUELA USD'!AC10+'PANAMA USD'!Z11</f>
        <v>-1129207.3244177129</v>
      </c>
      <c r="AK9" s="49">
        <f>+'COLOMBIA USD'!AA11+'EL SALVADOR USD'!Z11+'VENEZUELA USD'!AB10+'PANAMA USD'!Y11</f>
        <v>2661094.933327633</v>
      </c>
    </row>
    <row r="10" spans="1:37" x14ac:dyDescent="0.2">
      <c r="B10" s="3" t="s">
        <v>68</v>
      </c>
      <c r="C10" s="61">
        <f>+'COLOMBIA USD'!C10+'EL SALVADOR USD'!C10+'VENEZUELA USD'!C10+'PANAMA USD'!C10</f>
        <v>127174.27470588234</v>
      </c>
      <c r="D10" s="30">
        <f t="shared" ref="D10:D15" si="0">+C10/$C$20</f>
        <v>0.44574810192614156</v>
      </c>
      <c r="E10" s="61">
        <f>+'COLOMBIA USD'!E10+'EL SALVADOR USD'!E10+'VENEZUELA USD'!E10+'PANAMA USD'!E10</f>
        <v>101030.6819396283</v>
      </c>
      <c r="F10" s="30">
        <f t="shared" ref="F10:F20" si="1">+E10/$E$20</f>
        <v>0.44495571790503002</v>
      </c>
      <c r="G10" s="30">
        <f t="shared" ref="G10:G20" si="2">IF(C10=0,"",(E10-C10)/ABS(C10)+1)</f>
        <v>0.79442703465998377</v>
      </c>
      <c r="H10" s="61">
        <f>+'COLOMBIA USD'!H10+'EL SALVADOR USD'!H10+'VENEZUELA USD'!H10+'PANAMA USD'!H10</f>
        <v>110548.71633598811</v>
      </c>
      <c r="I10" s="30">
        <f t="shared" ref="I10:I18" si="3">+H10/$H$20</f>
        <v>0.41286600019865316</v>
      </c>
      <c r="J10" s="30">
        <f t="shared" ref="J10:J20" si="4">IF(H10=0,"",(E10-H10)/ABS(H10))</f>
        <v>-8.609809965980858E-2</v>
      </c>
      <c r="K10" s="61">
        <f>+'COLOMBIA USD'!K10+'EL SALVADOR USD'!K10+'VENEZUELA USD'!K10+'PANAMA USD'!K10</f>
        <v>1398238.098235294</v>
      </c>
      <c r="L10" s="30">
        <f t="shared" ref="L10:L46" si="5">+K10/$K$20</f>
        <v>0.44510898512559743</v>
      </c>
      <c r="M10" s="61">
        <f>+'COLOMBIA USD'!M10+'EL SALVADOR USD'!M10+'VENEZUELA USD'!M10+'PANAMA USD'!M10</f>
        <v>1000593.3932757542</v>
      </c>
      <c r="N10" s="30">
        <f t="shared" ref="N10:N20" si="6">+M10/$M$20</f>
        <v>0.44787812089561724</v>
      </c>
      <c r="O10" s="30">
        <f t="shared" ref="O10:O18" si="7">IF(K10=0,"",(M10-K10)/ABS(K10)+1)</f>
        <v>0.71561016291760016</v>
      </c>
      <c r="P10" s="61">
        <f>+'COLOMBIA USD'!P10+'EL SALVADOR USD'!P10+'VENEZUELA USD'!P10+'PANAMA USD'!P10</f>
        <v>1173318.8381813341</v>
      </c>
      <c r="Q10" s="30">
        <f t="shared" ref="Q10:Q46" si="8">+P10/$P$20</f>
        <v>0.46280972742382964</v>
      </c>
      <c r="R10" s="30">
        <f t="shared" ref="R10:R18" si="9">IF(P10=0,"",(M10-P10)/ABS(P10))</f>
        <v>-0.14721100461772824</v>
      </c>
      <c r="V10" s="3" t="s">
        <v>32</v>
      </c>
      <c r="W10" s="61">
        <f>'COLOMBIA USD'!W13+'EL SALVADOR USD'!V13+'VENEZUELA USD'!W11+'PANAMA USD'!U13</f>
        <v>33285.597722960156</v>
      </c>
      <c r="X10" s="61">
        <f>'COLOMBIA USD'!Y13+'EL SALVADOR USD'!X13+'VENEZUELA USD'!X11+'PANAMA USD'!W13</f>
        <v>66275.905690803687</v>
      </c>
      <c r="Y10" s="61">
        <f>'COLOMBIA USD'!X13+'EL SALVADOR USD'!W13+'VENEZUELA USD'!Y11+'PANAMA USD'!V13</f>
        <v>39373.986382499017</v>
      </c>
      <c r="Z10" s="61">
        <f>'COLOMBIA USD'!Z13+'EL SALVADOR USD'!Y13+'VENEZUELA USD'!Z11+'PANAMA USD'!X13</f>
        <v>489917.27012216311</v>
      </c>
      <c r="AA10" s="61" t="e">
        <f>'COLOMBIA USD'!AD13+'EL SALVADOR USD'!AC13+'VENEZUELA USD'!AA11+'PANAMA USD'!AB13</f>
        <v>#VALUE!</v>
      </c>
      <c r="AB10" s="61">
        <f>'COLOMBIA USD'!AA13+'EL SALVADOR USD'!Z13+'VENEZUELA USD'!AB11+'PANAMA USD'!Y13</f>
        <v>335361.047079593</v>
      </c>
      <c r="AC10" s="57">
        <f>+Z10-AB10</f>
        <v>154556.22304257011</v>
      </c>
      <c r="AD10" s="63">
        <f>IF(Z10=0,"",(AB10-Z10)/ABS(Z10)+1)</f>
        <v>0.68452587310500235</v>
      </c>
      <c r="AE10" s="63" t="e">
        <f t="shared" ref="AE10:AE22" si="10">IF(AA10=0,"",(AB10-AA10)/ABS(AA10))</f>
        <v>#VALUE!</v>
      </c>
      <c r="AF10" s="49"/>
      <c r="AG10" s="49">
        <f>+'COLOMBIA USD'!Y13+'EL SALVADOR USD'!X13+'VENEZUELA USD'!X11+'PANAMA USD'!W13</f>
        <v>66275.905690803687</v>
      </c>
      <c r="AH10" s="49">
        <f>+'COLOMBIA USD'!X13+'EL SALVADOR USD'!W13+'VENEZUELA USD'!Y11+'PANAMA USD'!V13</f>
        <v>39373.986382499017</v>
      </c>
      <c r="AI10" s="49">
        <f>+'COLOMBIA USD'!AB13+'EL SALVADOR USD'!AA13+'VENEZUELA USD'!AC11+'PANAMA USD'!Z13</f>
        <v>143870.51838548601</v>
      </c>
      <c r="AK10" s="49">
        <f>+'COLOMBIA USD'!AA13+'EL SALVADOR USD'!Z13+'VENEZUELA USD'!AB11+'PANAMA USD'!Y13</f>
        <v>335361.047079593</v>
      </c>
    </row>
    <row r="11" spans="1:37" x14ac:dyDescent="0.2">
      <c r="B11" s="3" t="s">
        <v>70</v>
      </c>
      <c r="C11" s="61">
        <f>+'COLOMBIA USD'!C11+'EL SALVADOR USD'!C11+'VENEZUELA USD'!C11+'PANAMA USD'!C11</f>
        <v>13186.785294117646</v>
      </c>
      <c r="D11" s="30">
        <f t="shared" si="0"/>
        <v>4.6219917738509544E-2</v>
      </c>
      <c r="E11" s="61">
        <f>+'COLOMBIA USD'!E11+'EL SALVADOR USD'!E11+'VENEZUELA USD'!E11+'PANAMA USD'!E11</f>
        <v>11972.598852438568</v>
      </c>
      <c r="F11" s="30">
        <f t="shared" si="1"/>
        <v>5.2729291887380299E-2</v>
      </c>
      <c r="G11" s="30">
        <f t="shared" si="2"/>
        <v>0.90792400008054264</v>
      </c>
      <c r="H11" s="61">
        <f>+'COLOMBIA USD'!H11+'EL SALVADOR USD'!H11+'VENEZUELA USD'!H11+'PANAMA USD'!H11</f>
        <v>15205.324051986612</v>
      </c>
      <c r="I11" s="30">
        <f t="shared" si="3"/>
        <v>5.6787283752696309E-2</v>
      </c>
      <c r="J11" s="30">
        <f t="shared" si="4"/>
        <v>-0.21260482108078982</v>
      </c>
      <c r="K11" s="61">
        <f>+'COLOMBIA USD'!K11+'EL SALVADOR USD'!K11+'VENEZUELA USD'!K11+'PANAMA USD'!K11</f>
        <v>166488.8794117647</v>
      </c>
      <c r="L11" s="30">
        <f t="shared" si="5"/>
        <v>5.2999339842904308E-2</v>
      </c>
      <c r="M11" s="61">
        <f>+'COLOMBIA USD'!M11+'EL SALVADOR USD'!M11+'VENEZUELA USD'!M11+'PANAMA USD'!M11</f>
        <v>101804.78588460543</v>
      </c>
      <c r="N11" s="30">
        <f t="shared" si="6"/>
        <v>4.5569095805144767E-2</v>
      </c>
      <c r="O11" s="30">
        <f t="shared" si="7"/>
        <v>0.61148099647435994</v>
      </c>
      <c r="P11" s="61">
        <f>+'COLOMBIA USD'!P11+'EL SALVADOR USD'!P11+'VENEZUELA USD'!P11+'PANAMA USD'!P11</f>
        <v>127424.1961436361</v>
      </c>
      <c r="Q11" s="30">
        <f t="shared" si="8"/>
        <v>5.0261834690940713E-2</v>
      </c>
      <c r="R11" s="30">
        <f t="shared" si="9"/>
        <v>-0.20105608694718985</v>
      </c>
      <c r="V11" s="3" t="s">
        <v>33</v>
      </c>
      <c r="W11" s="61">
        <f>'COLOMBIA USD'!W14+'EL SALVADOR USD'!V14+'VENEZUELA USD'!W12+'PANAMA USD'!U14</f>
        <v>2455.8823529411766</v>
      </c>
      <c r="X11" s="61">
        <f>'COLOMBIA USD'!Y14+'EL SALVADOR USD'!X14+'VENEZUELA USD'!X12+'PANAMA USD'!W14</f>
        <v>2336.0744104733294</v>
      </c>
      <c r="Y11" s="61">
        <f>'COLOMBIA USD'!X14+'EL SALVADOR USD'!W14+'VENEZUELA USD'!Y12+'PANAMA USD'!V14</f>
        <v>2110.081493492994</v>
      </c>
      <c r="Z11" s="61">
        <f>'COLOMBIA USD'!Z14+'EL SALVADOR USD'!Y14+'VENEZUELA USD'!Z12+'PANAMA USD'!X14</f>
        <v>29479.411764705885</v>
      </c>
      <c r="AA11" s="61">
        <f>'COLOMBIA USD'!AD14+'EL SALVADOR USD'!AC14+'VENEZUELA USD'!AA12+'PANAMA USD'!AB14</f>
        <v>23008.191582352883</v>
      </c>
      <c r="AB11" s="61">
        <f>'COLOMBIA USD'!AA14+'EL SALVADOR USD'!Z14+'VENEZUELA USD'!AB12+'PANAMA USD'!Y14</f>
        <v>25979.112997380569</v>
      </c>
      <c r="AC11" s="57">
        <f>+Z11-AB11</f>
        <v>3500.2987673253156</v>
      </c>
      <c r="AD11" s="63">
        <f t="shared" ref="AD11:AD22" si="11">IF(Z11=0,"",(AB11-Z11)/ABS(Z11)+1)</f>
        <v>0.88126293715548165</v>
      </c>
      <c r="AE11" s="63">
        <f t="shared" si="10"/>
        <v>0.12912450786903049</v>
      </c>
      <c r="AF11" s="49"/>
      <c r="AG11" s="49">
        <f>+'COLOMBIA USD'!Y14+'EL SALVADOR USD'!X14+'VENEZUELA USD'!X12+'PANAMA USD'!W14</f>
        <v>2336.0744104733294</v>
      </c>
      <c r="AH11" s="49">
        <f>+'COLOMBIA USD'!X14+'EL SALVADOR USD'!W14+'VENEZUELA USD'!Y12+'PANAMA USD'!V14</f>
        <v>2110.081493492994</v>
      </c>
      <c r="AI11" s="49">
        <f>+'COLOMBIA USD'!AB14+'EL SALVADOR USD'!AA14+'VENEZUELA USD'!AC12+'PANAMA USD'!Z14</f>
        <v>3500.2987673253156</v>
      </c>
      <c r="AK11" s="49">
        <f>+'COLOMBIA USD'!AA14+'EL SALVADOR USD'!Z14+'VENEZUELA USD'!AB12+'PANAMA USD'!Y14</f>
        <v>25979.112997380569</v>
      </c>
    </row>
    <row r="12" spans="1:37" x14ac:dyDescent="0.2">
      <c r="B12" s="3" t="s">
        <v>72</v>
      </c>
      <c r="C12" s="61">
        <f>+'COLOMBIA USD'!C12+'EL SALVADOR USD'!C12+'VENEZUELA USD'!C12+'PANAMA USD'!C12</f>
        <v>27978.593529411763</v>
      </c>
      <c r="D12" s="30">
        <f t="shared" si="0"/>
        <v>9.8065469523149276E-2</v>
      </c>
      <c r="E12" s="61">
        <f>+'COLOMBIA USD'!E12+'EL SALVADOR USD'!E12+'VENEZUELA USD'!E12+'PANAMA USD'!E12</f>
        <v>22533.713823125854</v>
      </c>
      <c r="F12" s="30">
        <f t="shared" si="1"/>
        <v>9.9242176918363109E-2</v>
      </c>
      <c r="G12" s="30">
        <f t="shared" si="2"/>
        <v>0.80539122881348124</v>
      </c>
      <c r="H12" s="61">
        <f>+'COLOMBIA USD'!H12+'EL SALVADOR USD'!H12+'VENEZUELA USD'!H12+'PANAMA USD'!H12</f>
        <v>25520.811436238368</v>
      </c>
      <c r="I12" s="30">
        <f t="shared" si="3"/>
        <v>9.5312507360826429E-2</v>
      </c>
      <c r="J12" s="30">
        <f t="shared" si="4"/>
        <v>-0.1170455579194858</v>
      </c>
      <c r="K12" s="61">
        <f>+'COLOMBIA USD'!K12+'EL SALVADOR USD'!K12+'VENEZUELA USD'!K12+'PANAMA USD'!K12</f>
        <v>296786.53588235297</v>
      </c>
      <c r="L12" s="30">
        <f t="shared" si="5"/>
        <v>9.4477724467857974E-2</v>
      </c>
      <c r="M12" s="61">
        <f>+'COLOMBIA USD'!M12+'EL SALVADOR USD'!M12+'VENEZUELA USD'!M12+'PANAMA USD'!M12</f>
        <v>232695.37969036232</v>
      </c>
      <c r="N12" s="30">
        <f t="shared" si="6"/>
        <v>0.10415736311791719</v>
      </c>
      <c r="O12" s="30">
        <f t="shared" si="7"/>
        <v>0.78404965036083518</v>
      </c>
      <c r="P12" s="61">
        <f>+'COLOMBIA USD'!P12+'EL SALVADOR USD'!P12+'VENEZUELA USD'!P12+'PANAMA USD'!P12</f>
        <v>291876.29893452593</v>
      </c>
      <c r="Q12" s="30">
        <f t="shared" si="8"/>
        <v>0.11512914133446081</v>
      </c>
      <c r="R12" s="30">
        <f t="shared" si="9"/>
        <v>-0.20276027707696523</v>
      </c>
      <c r="V12" s="3" t="s">
        <v>34</v>
      </c>
      <c r="W12" s="61">
        <f>'COLOMBIA USD'!W15+'EL SALVADOR USD'!V15+'VENEZUELA USD'!W13+'PANAMA USD'!U15</f>
        <v>164966.69180362058</v>
      </c>
      <c r="X12" s="61">
        <f>'COLOMBIA USD'!Y15+'EL SALVADOR USD'!X15+'VENEZUELA USD'!X13+'PANAMA USD'!W15</f>
        <v>120541.90296295553</v>
      </c>
      <c r="Y12" s="61">
        <f>'COLOMBIA USD'!X15+'EL SALVADOR USD'!W15+'VENEZUELA USD'!Y13+'PANAMA USD'!V15</f>
        <v>108669.96859590038</v>
      </c>
      <c r="Z12" s="61">
        <f>'COLOMBIA USD'!Z15+'EL SALVADOR USD'!Y15+'VENEZUELA USD'!Z13+'PANAMA USD'!X15</f>
        <v>1489463.4070961913</v>
      </c>
      <c r="AA12" s="61" t="e">
        <f>'COLOMBIA USD'!AD15+'EL SALVADOR USD'!AC15+'VENEZUELA USD'!AA13+'PANAMA USD'!AB15</f>
        <v>#VALUE!</v>
      </c>
      <c r="AB12" s="61">
        <f>'COLOMBIA USD'!AA15+'EL SALVADOR USD'!Z15+'VENEZUELA USD'!AB13+'PANAMA USD'!Y15</f>
        <v>1032391.4154047648</v>
      </c>
      <c r="AC12" s="57">
        <f>+Z12-AB12</f>
        <v>457071.99169142649</v>
      </c>
      <c r="AD12" s="63">
        <f t="shared" si="11"/>
        <v>0.69312976101741297</v>
      </c>
      <c r="AE12" s="63" t="e">
        <f t="shared" si="10"/>
        <v>#VALUE!</v>
      </c>
      <c r="AF12" s="49"/>
      <c r="AG12" s="49">
        <f>+'COLOMBIA USD'!Y15+'EL SALVADOR USD'!X15+'VENEZUELA USD'!X13+'PANAMA USD'!W15</f>
        <v>120541.90296295553</v>
      </c>
      <c r="AH12" s="49">
        <f>+'COLOMBIA USD'!X15+'EL SALVADOR USD'!W15+'VENEZUELA USD'!Y13+'PANAMA USD'!V15</f>
        <v>108669.96859590038</v>
      </c>
      <c r="AI12" s="49" t="e">
        <f>+'COLOMBIA USD'!AB15+'EL SALVADOR USD'!AA15+'VENEZUELA USD'!AC13+'PANAMA USD'!Z15</f>
        <v>#VALUE!</v>
      </c>
      <c r="AK12" s="49">
        <f>+'COLOMBIA USD'!AA15+'EL SALVADOR USD'!Z15+'VENEZUELA USD'!AB13+'PANAMA USD'!Y15</f>
        <v>1032391.4154047648</v>
      </c>
    </row>
    <row r="13" spans="1:37" x14ac:dyDescent="0.2">
      <c r="B13" s="3" t="s">
        <v>74</v>
      </c>
      <c r="C13" s="61">
        <f>+'COLOMBIA USD'!C13+'EL SALVADOR USD'!C13+'VENEZUELA USD'!C13+'PANAMA USD'!C13</f>
        <v>27609.716470588235</v>
      </c>
      <c r="D13" s="30">
        <f t="shared" si="0"/>
        <v>9.6772548850356327E-2</v>
      </c>
      <c r="E13" s="61">
        <f>+'COLOMBIA USD'!E13+'EL SALVADOR USD'!E13+'VENEZUELA USD'!E13+'PANAMA USD'!E13</f>
        <v>32270.164442226935</v>
      </c>
      <c r="F13" s="30">
        <f t="shared" si="1"/>
        <v>0.14212310469095588</v>
      </c>
      <c r="G13" s="30">
        <f t="shared" si="2"/>
        <v>1.1687973861159831</v>
      </c>
      <c r="H13" s="61">
        <f>+'COLOMBIA USD'!H13+'EL SALVADOR USD'!H13+'VENEZUELA USD'!H13+'PANAMA USD'!H13</f>
        <v>50483.604627796929</v>
      </c>
      <c r="I13" s="30">
        <f t="shared" si="3"/>
        <v>0.18854098545062437</v>
      </c>
      <c r="J13" s="30">
        <f t="shared" si="4"/>
        <v>-0.36077931280567549</v>
      </c>
      <c r="K13" s="61">
        <f>+'COLOMBIA USD'!K13+'EL SALVADOR USD'!K13+'VENEZUELA USD'!K13+'PANAMA USD'!K13</f>
        <v>339648.46117647062</v>
      </c>
      <c r="L13" s="30">
        <f t="shared" si="5"/>
        <v>0.10812220182280373</v>
      </c>
      <c r="M13" s="61">
        <f>+'COLOMBIA USD'!M13+'EL SALVADOR USD'!M13+'VENEZUELA USD'!M13+'PANAMA USD'!M13</f>
        <v>254270.90940749564</v>
      </c>
      <c r="N13" s="30">
        <f t="shared" si="6"/>
        <v>0.11381484014302695</v>
      </c>
      <c r="O13" s="30">
        <f t="shared" si="7"/>
        <v>0.74862965233746337</v>
      </c>
      <c r="P13" s="61">
        <f>+'COLOMBIA USD'!P13+'EL SALVADOR USD'!P13+'VENEZUELA USD'!P13+'PANAMA USD'!P13</f>
        <v>243311.63260683321</v>
      </c>
      <c r="Q13" s="30">
        <f t="shared" si="8"/>
        <v>9.5973052423123442E-2</v>
      </c>
      <c r="R13" s="30">
        <f t="shared" si="9"/>
        <v>4.5042140744546717E-2</v>
      </c>
      <c r="V13" s="3" t="s">
        <v>35</v>
      </c>
      <c r="W13" s="61">
        <f>'COLOMBIA USD'!W16+'EL SALVADOR USD'!V16+'VENEZUELA USD'!W14+'PANAMA USD'!U16</f>
        <v>70035.104411764696</v>
      </c>
      <c r="X13" s="61">
        <f>'COLOMBIA USD'!Y16+'EL SALVADOR USD'!X16+'VENEZUELA USD'!X14+'PANAMA USD'!W16</f>
        <v>65242.454731786718</v>
      </c>
      <c r="Y13" s="61">
        <f>'COLOMBIA USD'!X16+'EL SALVADOR USD'!W16+'VENEZUELA USD'!Y14+'PANAMA USD'!V16</f>
        <v>70923.392680138058</v>
      </c>
      <c r="Z13" s="61">
        <f>'COLOMBIA USD'!Z16+'EL SALVADOR USD'!Y16+'VENEZUELA USD'!Z14+'PANAMA USD'!X16</f>
        <v>890145.23441176466</v>
      </c>
      <c r="AA13" s="61" t="e">
        <f>'COLOMBIA USD'!AD16+'EL SALVADOR USD'!AC16+'VENEZUELA USD'!AA14+'PANAMA USD'!AB16</f>
        <v>#VALUE!</v>
      </c>
      <c r="AB13" s="61">
        <f>'COLOMBIA USD'!AA16+'EL SALVADOR USD'!Z16+'VENEZUELA USD'!AB14+'PANAMA USD'!Y16</f>
        <v>652710.09275913681</v>
      </c>
      <c r="AC13" s="57">
        <f>+Z13-AB13</f>
        <v>237435.14165262785</v>
      </c>
      <c r="AD13" s="63">
        <f t="shared" si="11"/>
        <v>0.73326246945586093</v>
      </c>
      <c r="AE13" s="63" t="e">
        <f t="shared" si="10"/>
        <v>#VALUE!</v>
      </c>
      <c r="AF13" s="49"/>
      <c r="AG13" s="49">
        <f>+'COLOMBIA USD'!Y16+'EL SALVADOR USD'!X16+'VENEZUELA USD'!X14+'PANAMA USD'!W16</f>
        <v>65242.454731786718</v>
      </c>
      <c r="AH13" s="49">
        <f>+'COLOMBIA USD'!X16+'EL SALVADOR USD'!W16+'VENEZUELA USD'!Y14+'PANAMA USD'!V16</f>
        <v>70923.392680138058</v>
      </c>
      <c r="AI13" s="49" t="e">
        <f>+'COLOMBIA USD'!AB16+'EL SALVADOR USD'!AA16+'VENEZUELA USD'!AC14+'PANAMA USD'!Z16</f>
        <v>#VALUE!</v>
      </c>
      <c r="AK13" s="49">
        <f>+'COLOMBIA USD'!AA16+'EL SALVADOR USD'!Z16+'VENEZUELA USD'!AB14+'PANAMA USD'!Y16</f>
        <v>652710.09275913681</v>
      </c>
    </row>
    <row r="14" spans="1:37" x14ac:dyDescent="0.2">
      <c r="B14" s="3" t="s">
        <v>75</v>
      </c>
      <c r="C14" s="61">
        <f>+'COLOMBIA USD'!C14+'EL SALVADOR USD'!C14+'VENEZUELA USD'!C14+'PANAMA USD'!C14</f>
        <v>0</v>
      </c>
      <c r="D14" s="30">
        <f t="shared" si="0"/>
        <v>0</v>
      </c>
      <c r="E14" s="61">
        <f>+'COLOMBIA USD'!E14+'EL SALVADOR USD'!E14+'VENEZUELA USD'!E14+'PANAMA USD'!E14</f>
        <v>0</v>
      </c>
      <c r="F14" s="30">
        <f t="shared" si="1"/>
        <v>0</v>
      </c>
      <c r="G14" s="30" t="str">
        <f t="shared" si="2"/>
        <v/>
      </c>
      <c r="H14" s="61">
        <f>+'COLOMBIA USD'!H14+'EL SALVADOR USD'!H14+'VENEZUELA USD'!H14+'PANAMA USD'!H14</f>
        <v>0</v>
      </c>
      <c r="I14" s="30">
        <f t="shared" si="3"/>
        <v>0</v>
      </c>
      <c r="J14" s="30" t="str">
        <f t="shared" si="4"/>
        <v/>
      </c>
      <c r="K14" s="61">
        <f>+'COLOMBIA USD'!K14+'EL SALVADOR USD'!K14+'VENEZUELA USD'!K14+'PANAMA USD'!K14</f>
        <v>0</v>
      </c>
      <c r="L14" s="30">
        <f t="shared" si="5"/>
        <v>0</v>
      </c>
      <c r="M14" s="61">
        <f>+'COLOMBIA USD'!M14+'EL SALVADOR USD'!M14+'VENEZUELA USD'!M14+'PANAMA USD'!M14</f>
        <v>0</v>
      </c>
      <c r="N14" s="30">
        <f t="shared" si="6"/>
        <v>0</v>
      </c>
      <c r="O14" s="30" t="str">
        <f t="shared" si="7"/>
        <v/>
      </c>
      <c r="P14" s="61">
        <f>+'COLOMBIA USD'!P14+'EL SALVADOR USD'!P14+'VENEZUELA USD'!P14+'PANAMA USD'!P14</f>
        <v>0</v>
      </c>
      <c r="Q14" s="30">
        <f t="shared" si="8"/>
        <v>0</v>
      </c>
      <c r="R14" s="30" t="str">
        <f t="shared" si="9"/>
        <v/>
      </c>
      <c r="V14" s="3" t="s">
        <v>36</v>
      </c>
      <c r="W14" s="61">
        <f>SUM(W10:W13)</f>
        <v>270743.27629128663</v>
      </c>
      <c r="X14" s="61">
        <f>SUM(X10:X13)</f>
        <v>254396.33779601924</v>
      </c>
      <c r="Y14" s="61">
        <f>SUM(Y10:Y13)</f>
        <v>221077.42915203044</v>
      </c>
      <c r="Z14" s="61">
        <f>'COLOMBIA USD'!Z17+'EL SALVADOR USD'!Y17+'VENEZUELA USD'!Z15+'PANAMA USD'!X17</f>
        <v>2880505.8314593406</v>
      </c>
      <c r="AA14" s="61" t="e">
        <f>'COLOMBIA USD'!AD17+'EL SALVADOR USD'!AC17+'VENEZUELA USD'!AA15+'PANAMA USD'!AB17</f>
        <v>#VALUE!</v>
      </c>
      <c r="AB14" s="61">
        <f>'COLOMBIA USD'!AA17+'EL SALVADOR USD'!Z17+'VENEZUELA USD'!AB15+'PANAMA USD'!Y17</f>
        <v>2042875.4854451763</v>
      </c>
      <c r="AC14" s="57">
        <f>+AB14-Z14</f>
        <v>-837630.34601416439</v>
      </c>
      <c r="AD14" s="63">
        <f t="shared" si="11"/>
        <v>0.70920720351751598</v>
      </c>
      <c r="AE14" s="63" t="e">
        <f t="shared" si="10"/>
        <v>#VALUE!</v>
      </c>
      <c r="AF14" s="49"/>
      <c r="AG14" s="49">
        <f>+'COLOMBIA USD'!Y17+'EL SALVADOR USD'!X17+'VENEZUELA USD'!X15+'PANAMA USD'!W17</f>
        <v>254396.33779601927</v>
      </c>
      <c r="AH14" s="49">
        <f>+'COLOMBIA USD'!X17+'EL SALVADOR USD'!W17+'VENEZUELA USD'!Y15+'PANAMA USD'!V17</f>
        <v>209002.26194772933</v>
      </c>
      <c r="AI14" s="49">
        <f>+'COLOMBIA USD'!AB17+'EL SALVADOR USD'!AA17+'VENEZUELA USD'!AC15+'PANAMA USD'!Z17</f>
        <v>-841873.51746802684</v>
      </c>
      <c r="AK14" s="49">
        <f>+'COLOMBIA USD'!AA17+'EL SALVADOR USD'!Z17+'VENEZUELA USD'!AB15+'PANAMA USD'!Y17</f>
        <v>2042875.4854451763</v>
      </c>
    </row>
    <row r="15" spans="1:37" x14ac:dyDescent="0.2">
      <c r="B15" s="3" t="s">
        <v>77</v>
      </c>
      <c r="C15" s="61">
        <f>+'COLOMBIA USD'!C15+'EL SALVADOR USD'!C15+'VENEZUELA USD'!C15+'PANAMA USD'!C15</f>
        <v>42352.352941176476</v>
      </c>
      <c r="D15" s="30">
        <f t="shared" si="0"/>
        <v>0.1484457527223644</v>
      </c>
      <c r="E15" s="61">
        <f>+'COLOMBIA USD'!E15+'EL SALVADOR USD'!E15+'VENEZUELA USD'!E15+'PANAMA USD'!E15</f>
        <v>26972.831067315292</v>
      </c>
      <c r="F15" s="30">
        <f t="shared" si="1"/>
        <v>0.11879277840230848</v>
      </c>
      <c r="G15" s="30">
        <f t="shared" si="2"/>
        <v>0.63686735669156502</v>
      </c>
      <c r="H15" s="61">
        <f>+'COLOMBIA USD'!H15+'EL SALVADOR USD'!H15+'VENEZUELA USD'!H15+'PANAMA USD'!H15</f>
        <v>29047.045523692908</v>
      </c>
      <c r="I15" s="30">
        <f t="shared" si="3"/>
        <v>0.10848192453457937</v>
      </c>
      <c r="J15" s="30">
        <f t="shared" si="4"/>
        <v>-7.1408792838697985E-2</v>
      </c>
      <c r="K15" s="61">
        <f>+'COLOMBIA USD'!K15+'EL SALVADOR USD'!K15+'VENEZUELA USD'!K15+'PANAMA USD'!K15</f>
        <v>448947.94117647054</v>
      </c>
      <c r="L15" s="30">
        <f t="shared" si="5"/>
        <v>0.14291611902399895</v>
      </c>
      <c r="M15" s="61">
        <f>+'COLOMBIA USD'!M15+'EL SALVADOR USD'!M15+'VENEZUELA USD'!M15+'PANAMA USD'!M15</f>
        <v>311849.07625247963</v>
      </c>
      <c r="N15" s="30">
        <f t="shared" si="6"/>
        <v>0.13958754796265457</v>
      </c>
      <c r="O15" s="30">
        <f t="shared" si="7"/>
        <v>0.69462190969241866</v>
      </c>
      <c r="P15" s="61">
        <f>+'COLOMBIA USD'!P15+'EL SALVADOR USD'!P15+'VENEZUELA USD'!P15+'PANAMA USD'!P15</f>
        <v>352669.06825653848</v>
      </c>
      <c r="Q15" s="30">
        <f t="shared" si="8"/>
        <v>0.13910854410521228</v>
      </c>
      <c r="R15" s="30">
        <f t="shared" si="9"/>
        <v>-0.11574588099222123</v>
      </c>
      <c r="V15" s="3" t="s">
        <v>37</v>
      </c>
      <c r="W15" s="61">
        <f>W9-W14</f>
        <v>89044.645415170235</v>
      </c>
      <c r="X15" s="61">
        <f>X9-X14</f>
        <v>99103.473872342001</v>
      </c>
      <c r="Y15" s="61">
        <f t="shared" ref="Y15:AB15" si="12">Y9-Y14</f>
        <v>2254.6438973096374</v>
      </c>
      <c r="Z15" s="61">
        <f t="shared" si="12"/>
        <v>897873.61990467133</v>
      </c>
      <c r="AA15" s="61" t="e">
        <f>AA9-AA14</f>
        <v>#VALUE!</v>
      </c>
      <c r="AB15" s="61">
        <f t="shared" si="12"/>
        <v>618219.4478824567</v>
      </c>
      <c r="AC15" s="57">
        <f>+AB15-Z15</f>
        <v>-279654.17202221463</v>
      </c>
      <c r="AD15" s="63">
        <f t="shared" si="11"/>
        <v>0.6885372664675169</v>
      </c>
      <c r="AE15" s="63" t="e">
        <f t="shared" si="10"/>
        <v>#VALUE!</v>
      </c>
      <c r="AF15" s="49"/>
      <c r="AG15" s="49">
        <f>+'COLOMBIA USD'!Y19+'EL SALVADOR USD'!X19+'VENEZUELA USD'!X16+'PANAMA USD'!W19</f>
        <v>86380.248065890337</v>
      </c>
      <c r="AH15" s="49">
        <f>+'COLOMBIA USD'!X19+'EL SALVADOR USD'!W19+'VENEZUELA USD'!Y16+'PANAMA USD'!V19</f>
        <v>24703.396585481671</v>
      </c>
      <c r="AI15" s="49">
        <f>+'COLOMBIA USD'!AB19+'EL SALVADOR USD'!AA19+'VENEZUELA USD'!AC16+'PANAMA USD'!Z19</f>
        <v>-287360.53910138988</v>
      </c>
      <c r="AK15" s="49">
        <f>+'COLOMBIA USD'!AA19+'EL SALVADOR USD'!Z19+'VENEZUELA USD'!AB16+'PANAMA USD'!Y19</f>
        <v>621616.32960288681</v>
      </c>
    </row>
    <row r="16" spans="1:37" x14ac:dyDescent="0.2">
      <c r="B16" s="3" t="s">
        <v>78</v>
      </c>
      <c r="C16" s="61">
        <f>+'COLOMBIA USD'!C16+'EL SALVADOR USD'!C16+'VENEZUELA USD'!C16+'PANAMA USD'!C16</f>
        <v>0</v>
      </c>
      <c r="D16" s="30"/>
      <c r="E16" s="61">
        <f>+'COLOMBIA USD'!E16+'EL SALVADOR USD'!E16+'VENEZUELA USD'!E16+'PANAMA USD'!E16</f>
        <v>0</v>
      </c>
      <c r="F16" s="30">
        <f t="shared" si="1"/>
        <v>0</v>
      </c>
      <c r="G16" s="30" t="str">
        <f t="shared" si="2"/>
        <v/>
      </c>
      <c r="H16" s="61">
        <f>+'COLOMBIA USD'!H16+'EL SALVADOR USD'!H16+'VENEZUELA USD'!H16+'PANAMA USD'!H16</f>
        <v>0</v>
      </c>
      <c r="I16" s="30">
        <f t="shared" si="3"/>
        <v>0</v>
      </c>
      <c r="J16" s="30" t="str">
        <f t="shared" si="4"/>
        <v/>
      </c>
      <c r="K16" s="61">
        <f>+'COLOMBIA USD'!K16+'EL SALVADOR USD'!K16+'VENEZUELA USD'!K16+'PANAMA USD'!K16</f>
        <v>0</v>
      </c>
      <c r="L16" s="30">
        <f t="shared" si="5"/>
        <v>0</v>
      </c>
      <c r="M16" s="61">
        <f>+'COLOMBIA USD'!M16+'EL SALVADOR USD'!M16+'VENEZUELA USD'!M16+'PANAMA USD'!M16</f>
        <v>0</v>
      </c>
      <c r="N16" s="30">
        <f t="shared" si="6"/>
        <v>0</v>
      </c>
      <c r="O16" s="30" t="str">
        <f t="shared" si="7"/>
        <v/>
      </c>
      <c r="P16" s="61">
        <f>+'COLOMBIA USD'!P16+'EL SALVADOR USD'!P16+'VENEZUELA USD'!P16+'PANAMA USD'!P16</f>
        <v>0</v>
      </c>
      <c r="Q16" s="30">
        <f t="shared" si="8"/>
        <v>0</v>
      </c>
      <c r="R16" s="30" t="str">
        <f t="shared" si="9"/>
        <v/>
      </c>
      <c r="V16" s="3"/>
      <c r="W16" s="61"/>
      <c r="X16" s="61"/>
      <c r="Y16" s="61"/>
      <c r="Z16" s="61"/>
      <c r="AA16" s="61"/>
      <c r="AB16" s="61"/>
      <c r="AC16" s="57"/>
      <c r="AD16" s="63"/>
      <c r="AE16" s="63"/>
      <c r="AF16" s="49"/>
      <c r="AG16" s="49"/>
      <c r="AH16" s="49"/>
      <c r="AI16" s="49"/>
      <c r="AK16" s="49"/>
    </row>
    <row r="17" spans="2:37" x14ac:dyDescent="0.2">
      <c r="B17" s="3" t="s">
        <v>79</v>
      </c>
      <c r="C17" s="61">
        <f>+'COLOMBIA USD'!C17+'EL SALVADOR USD'!C17+'VENEZUELA USD'!C17+'PANAMA USD'!C17</f>
        <v>6650.2941176470586</v>
      </c>
      <c r="D17" s="30">
        <f>+C17/$C$20</f>
        <v>2.3309399538919855E-2</v>
      </c>
      <c r="E17" s="61">
        <f>+'COLOMBIA USD'!E17+'EL SALVADOR USD'!E17+'VENEZUELA USD'!E17+'PANAMA USD'!E17</f>
        <v>4630.6055881252341</v>
      </c>
      <c r="F17" s="30">
        <f t="shared" si="1"/>
        <v>2.0393947603268923E-2</v>
      </c>
      <c r="G17" s="30">
        <f t="shared" si="2"/>
        <v>0.69630087124080298</v>
      </c>
      <c r="H17" s="61">
        <f>+'COLOMBIA USD'!H17+'EL SALVADOR USD'!H17+'VENEZUELA USD'!H17+'PANAMA USD'!H17</f>
        <v>4269.2509218418754</v>
      </c>
      <c r="I17" s="30">
        <f t="shared" si="3"/>
        <v>1.5944360191285735E-2</v>
      </c>
      <c r="J17" s="30">
        <f t="shared" si="4"/>
        <v>8.4641234000708512E-2</v>
      </c>
      <c r="K17" s="61">
        <f>+'COLOMBIA USD'!K17+'EL SALVADOR USD'!K17+'VENEZUELA USD'!K17+'PANAMA USD'!K17</f>
        <v>90871.470588235301</v>
      </c>
      <c r="L17" s="30">
        <f t="shared" si="5"/>
        <v>2.8927625489141476E-2</v>
      </c>
      <c r="M17" s="61">
        <f>+'COLOMBIA USD'!M17+'EL SALVADOR USD'!M17+'VENEZUELA USD'!M17+'PANAMA USD'!M17</f>
        <v>64178.49465718682</v>
      </c>
      <c r="N17" s="30">
        <f t="shared" si="6"/>
        <v>2.8727097122705693E-2</v>
      </c>
      <c r="O17" s="30">
        <f t="shared" si="7"/>
        <v>0.70625570645816871</v>
      </c>
      <c r="P17" s="61">
        <f>+'COLOMBIA USD'!P17+'EL SALVADOR USD'!P17+'VENEZUELA USD'!P17+'PANAMA USD'!P17</f>
        <v>66074.258005204523</v>
      </c>
      <c r="Q17" s="30">
        <f t="shared" si="8"/>
        <v>2.6062659476702658E-2</v>
      </c>
      <c r="R17" s="30">
        <f t="shared" si="9"/>
        <v>-2.8691405779666532E-2</v>
      </c>
      <c r="V17" s="3"/>
      <c r="W17" s="61"/>
      <c r="X17" s="61"/>
      <c r="Y17" s="61"/>
      <c r="Z17" s="61"/>
      <c r="AA17" s="61"/>
      <c r="AB17" s="61"/>
      <c r="AC17" s="57"/>
      <c r="AD17" s="63"/>
      <c r="AE17" s="63" t="str">
        <f t="shared" si="10"/>
        <v/>
      </c>
      <c r="AF17" s="49"/>
      <c r="AG17" s="49"/>
      <c r="AH17" s="49"/>
      <c r="AI17" s="49"/>
      <c r="AK17" s="49" t="e">
        <f>+'COLOMBIA USD'!AA20+'EL SALVADOR USD'!#REF!+'VENEZUELA USD'!AB18+'PANAMA USD'!Y20</f>
        <v>#REF!</v>
      </c>
    </row>
    <row r="18" spans="2:37" x14ac:dyDescent="0.2">
      <c r="B18" s="3" t="s">
        <v>81</v>
      </c>
      <c r="C18" s="61">
        <f>+'COLOMBIA USD'!C18+'EL SALVADOR USD'!C18+'VENEZUELA USD'!C18+'PANAMA USD'!C18</f>
        <v>40353.235294117643</v>
      </c>
      <c r="D18" s="34">
        <f t="shared" ref="D18:D46" si="13">+C18/$C$20</f>
        <v>0.14143880970055914</v>
      </c>
      <c r="E18" s="61">
        <f>+'COLOMBIA USD'!E18+'EL SALVADOR USD'!E18+'VENEZUELA USD'!E18+'PANAMA USD'!E18</f>
        <v>27647.239200033266</v>
      </c>
      <c r="F18" s="30">
        <f t="shared" si="1"/>
        <v>0.12176298259269326</v>
      </c>
      <c r="G18" s="34">
        <f t="shared" si="2"/>
        <v>0.68513067164315933</v>
      </c>
      <c r="H18" s="61">
        <f>+'COLOMBIA USD'!H18+'EL SALVADOR USD'!H18+'VENEZUELA USD'!H18+'PANAMA USD'!H18</f>
        <v>21888.647278682594</v>
      </c>
      <c r="I18" s="30">
        <f t="shared" si="3"/>
        <v>8.1747473432822487E-2</v>
      </c>
      <c r="J18" s="34">
        <f t="shared" si="4"/>
        <v>0.26308578360431517</v>
      </c>
      <c r="K18" s="61">
        <f>+'COLOMBIA USD'!K18+'EL SALVADOR USD'!K18+'VENEZUELA USD'!K18+'PANAMA USD'!K18</f>
        <v>400357.3529411765</v>
      </c>
      <c r="L18" s="30">
        <f t="shared" si="5"/>
        <v>0.12744800422769623</v>
      </c>
      <c r="M18" s="61">
        <f>+'COLOMBIA USD'!M18+'EL SALVADOR USD'!M18+'VENEZUELA USD'!M18+'PANAMA USD'!M18</f>
        <v>268683.14020207059</v>
      </c>
      <c r="N18" s="30">
        <f t="shared" si="6"/>
        <v>0.12026593495293368</v>
      </c>
      <c r="O18" s="30">
        <f t="shared" si="7"/>
        <v>0.67110829419822726</v>
      </c>
      <c r="P18" s="61">
        <f>+'COLOMBIA USD'!P18+'EL SALVADOR USD'!P18+'VENEZUELA USD'!P18+'PANAMA USD'!P18</f>
        <v>255333.52364637444</v>
      </c>
      <c r="Q18" s="30">
        <f t="shared" si="8"/>
        <v>0.10071502701184915</v>
      </c>
      <c r="R18" s="34">
        <f t="shared" si="9"/>
        <v>5.2283054590923105E-2</v>
      </c>
      <c r="V18" s="3" t="s">
        <v>39</v>
      </c>
      <c r="W18" s="61">
        <f>W8+W15</f>
        <v>117982.17206946795</v>
      </c>
      <c r="X18" s="61">
        <f>'COLOMBIA USD'!Y21+'EL SALVADOR USD'!X21+'VENEZUELA USD'!X19+'PANAMA USD'!W21</f>
        <v>227379.45252800692</v>
      </c>
      <c r="Y18" s="61">
        <f t="shared" ref="Y18" si="14">Y8+Y15</f>
        <v>36224.446656862252</v>
      </c>
      <c r="Z18" s="61">
        <f>Z8+Z15</f>
        <v>1071745.8551987889</v>
      </c>
      <c r="AA18" s="61" t="e">
        <f>AA8+AA15</f>
        <v>#VALUE!</v>
      </c>
      <c r="AB18" s="61">
        <f>AB8+AB15</f>
        <v>750324.45823545661</v>
      </c>
      <c r="AC18" s="57">
        <f>+AB18-Z18</f>
        <v>-321421.39696333231</v>
      </c>
      <c r="AD18" s="63">
        <f t="shared" si="11"/>
        <v>0.70009550734048354</v>
      </c>
      <c r="AE18" s="63" t="e">
        <f t="shared" si="10"/>
        <v>#VALUE!</v>
      </c>
      <c r="AF18" s="49"/>
      <c r="AG18" s="49">
        <f>+'COLOMBIA USD'!Y21+'EL SALVADOR USD'!X21+'VENEZUELA USD'!X19+'PANAMA USD'!W21</f>
        <v>227379.45252800692</v>
      </c>
      <c r="AH18" s="49">
        <f>+'COLOMBIA USD'!X21+'EL SALVADOR USD'!W21+'VENEZUELA USD'!Y19+'PANAMA USD'!V21</f>
        <v>54837.670850410635</v>
      </c>
      <c r="AI18" s="49">
        <f>+'COLOMBIA USD'!AB21+'EL SALVADOR USD'!AA21+'VENEZUELA USD'!AC19+'PANAMA USD'!Z21</f>
        <v>-329127.59674651135</v>
      </c>
      <c r="AK18" s="49">
        <f>+'COLOMBIA USD'!AA21+'EL SALVADOR USD'!Z21+'VENEZUELA USD'!AB19+'PANAMA USD'!Y21</f>
        <v>752510.64103115548</v>
      </c>
    </row>
    <row r="19" spans="2:37" x14ac:dyDescent="0.2">
      <c r="B19" s="3" t="s">
        <v>83</v>
      </c>
      <c r="C19" s="61">
        <f>+'COLOMBIA USD'!C19+'EL SALVADOR USD'!C19+'VENEZUELA USD'!C19+'PANAMA USD'!C19</f>
        <v>0</v>
      </c>
      <c r="D19" s="30">
        <f t="shared" si="13"/>
        <v>0</v>
      </c>
      <c r="E19" s="61">
        <f>+'COLOMBIA USD'!E19+'EL SALVADOR USD'!E19+'VENEZUELA USD'!E19+'PANAMA USD'!E19</f>
        <v>0</v>
      </c>
      <c r="F19" s="30">
        <f t="shared" si="1"/>
        <v>0</v>
      </c>
      <c r="G19" s="30" t="str">
        <f t="shared" si="2"/>
        <v/>
      </c>
      <c r="H19" s="61">
        <f>+'COLOMBIA USD'!H19+'EL SALVADOR USD'!H19+'VENEZUELA USD'!H19+'PANAMA USD'!H19</f>
        <v>10795.912246681872</v>
      </c>
      <c r="I19" s="30"/>
      <c r="J19" s="30">
        <f t="shared" si="4"/>
        <v>-1</v>
      </c>
      <c r="K19" s="61">
        <f>+'COLOMBIA USD'!K19+'EL SALVADOR USD'!K19+'VENEZUELA USD'!K19+'PANAMA USD'!K19</f>
        <v>0</v>
      </c>
      <c r="L19" s="30">
        <f t="shared" si="5"/>
        <v>0</v>
      </c>
      <c r="M19" s="61">
        <f>+'COLOMBIA USD'!M19+'EL SALVADOR USD'!M19+'VENEZUELA USD'!M19+'PANAMA USD'!M19</f>
        <v>0</v>
      </c>
      <c r="N19" s="30">
        <f t="shared" si="6"/>
        <v>0</v>
      </c>
      <c r="O19" s="30"/>
      <c r="P19" s="61">
        <f>+'COLOMBIA USD'!P19+'EL SALVADOR USD'!P19+'VENEZUELA USD'!P19+'PANAMA USD'!P19</f>
        <v>25200</v>
      </c>
      <c r="Q19" s="30">
        <f t="shared" si="8"/>
        <v>9.9400135338814401E-3</v>
      </c>
      <c r="R19" s="30"/>
      <c r="V19" s="3" t="s">
        <v>41</v>
      </c>
      <c r="W19" s="61">
        <f>'COLOMBIA USD'!W23+'EL SALVADOR USD'!V23+'VENEZUELA USD'!W20+'PANAMA USD'!U23</f>
        <v>0</v>
      </c>
      <c r="X19" s="61">
        <f>'COLOMBIA USD'!Y23+'EL SALVADOR USD'!X23+'VENEZUELA USD'!X20+'PANAMA USD'!W23</f>
        <v>41410.019190386723</v>
      </c>
      <c r="Y19" s="61">
        <f>'COLOMBIA USD'!X23+'EL SALVADOR USD'!W23+'VENEZUELA USD'!Y20+'PANAMA USD'!V23</f>
        <v>34621.186462101374</v>
      </c>
      <c r="Z19" s="61">
        <f>'COLOMBIA USD'!Z23+'EL SALVADOR USD'!Y23+'VENEZUELA USD'!Z20+'PANAMA USD'!X23</f>
        <v>124936.76470588235</v>
      </c>
      <c r="AA19" s="61">
        <f>'COLOMBIA USD'!AD23+'EL SALVADOR USD'!AC23+'VENEZUELA USD'!AA20+'PANAMA USD'!AB23</f>
        <v>164557.44205206525</v>
      </c>
      <c r="AB19" s="61">
        <f>'COLOMBIA USD'!AA23+'EL SALVADOR USD'!Z23+'VENEZUELA USD'!AB20+'PANAMA USD'!Y23</f>
        <v>208838.29998960541</v>
      </c>
      <c r="AC19" s="57">
        <f t="shared" ref="AC19:AC22" si="15">+AB19-Z19</f>
        <v>83901.53528372306</v>
      </c>
      <c r="AD19" s="63">
        <f t="shared" si="11"/>
        <v>1.6715520085800073</v>
      </c>
      <c r="AE19" s="63">
        <f t="shared" si="10"/>
        <v>0.26909058250631956</v>
      </c>
      <c r="AF19" s="49"/>
      <c r="AG19" s="49">
        <f>+'COLOMBIA USD'!Y23+'EL SALVADOR USD'!X23+'VENEZUELA USD'!X20+'PANAMA USD'!W23</f>
        <v>41410.019190386723</v>
      </c>
      <c r="AH19" s="49">
        <f>+'COLOMBIA USD'!X23+'EL SALVADOR USD'!W23+'VENEZUELA USD'!Y20+'PANAMA USD'!V23</f>
        <v>34621.186462101374</v>
      </c>
      <c r="AI19" s="49" t="e">
        <f>+'COLOMBIA USD'!AB23+'EL SALVADOR USD'!AA23+'VENEZUELA USD'!AC20+'PANAMA USD'!Z23</f>
        <v>#VALUE!</v>
      </c>
      <c r="AK19" s="49">
        <f>+'COLOMBIA USD'!AA23+'EL SALVADOR USD'!Z23+'VENEZUELA USD'!AB20+'PANAMA USD'!Y23</f>
        <v>208838.29998960541</v>
      </c>
    </row>
    <row r="20" spans="2:37" x14ac:dyDescent="0.2">
      <c r="B20" s="19" t="s">
        <v>38</v>
      </c>
      <c r="C20" s="65">
        <f>SUM(C10:C19)</f>
        <v>285305.25235294114</v>
      </c>
      <c r="D20" s="38">
        <f t="shared" si="13"/>
        <v>1</v>
      </c>
      <c r="E20" s="65">
        <f>SUM(E10:E19)</f>
        <v>227057.83491289345</v>
      </c>
      <c r="F20" s="38">
        <f t="shared" si="1"/>
        <v>1</v>
      </c>
      <c r="G20" s="38">
        <f t="shared" si="2"/>
        <v>0.79584176260452488</v>
      </c>
      <c r="H20" s="65">
        <f>SUM(H10:H19)</f>
        <v>267759.31242290931</v>
      </c>
      <c r="I20" s="38">
        <f>+H22/$H$22</f>
        <v>1</v>
      </c>
      <c r="J20" s="38">
        <f t="shared" si="4"/>
        <v>-0.15200770102714631</v>
      </c>
      <c r="K20" s="65">
        <f>SUM(K10:K19)</f>
        <v>3141338.7394117643</v>
      </c>
      <c r="L20" s="38">
        <f t="shared" si="5"/>
        <v>1</v>
      </c>
      <c r="M20" s="65">
        <f>SUM(M10:M19)</f>
        <v>2234075.1793699544</v>
      </c>
      <c r="N20" s="38">
        <f t="shared" si="6"/>
        <v>1</v>
      </c>
      <c r="O20" s="38">
        <f>IF(K20=0,"",(M20-K20)/ABS(K20)+1)</f>
        <v>0.7111856965124046</v>
      </c>
      <c r="P20" s="65">
        <f>SUM(P10:P19)</f>
        <v>2535207.8157744464</v>
      </c>
      <c r="Q20" s="38">
        <f t="shared" si="8"/>
        <v>1</v>
      </c>
      <c r="R20" s="38">
        <f>IF(P20=0,"",(M20-P20)/ABS(P20))</f>
        <v>-0.11878025719658923</v>
      </c>
      <c r="V20" s="3" t="s">
        <v>43</v>
      </c>
      <c r="W20" s="61">
        <f>'COLOMBIA USD'!W25+'EL SALVADOR USD'!V25+'VENEZUELA USD'!W21+'PANAMA USD'!U25</f>
        <v>18607.132793089058</v>
      </c>
      <c r="X20" s="61">
        <f>'COLOMBIA USD'!Y25+'EL SALVADOR USD'!X25+'VENEZUELA USD'!X21+'PANAMA USD'!W25</f>
        <v>31951.917898706131</v>
      </c>
      <c r="Y20" s="61">
        <f>'COLOMBIA USD'!X25+'EL SALVADOR USD'!W25+'VENEZUELA USD'!Y21+'PANAMA USD'!V25</f>
        <v>16624.560114461074</v>
      </c>
      <c r="Z20" s="61">
        <f>'COLOMBIA USD'!Z25+'EL SALVADOR USD'!Y25+'VENEZUELA USD'!Z21+'PANAMA USD'!X25</f>
        <v>619529.95780548768</v>
      </c>
      <c r="AA20" s="61">
        <f>'COLOMBIA USD'!AD25+'EL SALVADOR USD'!AC25+'VENEZUELA USD'!AA21+'PANAMA USD'!AB25</f>
        <v>470854.47863555304</v>
      </c>
      <c r="AB20" s="61">
        <f>'COLOMBIA USD'!AA25+'EL SALVADOR USD'!Z25+'VENEZUELA USD'!AB21+'PANAMA USD'!Y25</f>
        <v>423319.62670588447</v>
      </c>
      <c r="AC20" s="57">
        <f t="shared" si="15"/>
        <v>-196210.33109960321</v>
      </c>
      <c r="AD20" s="63">
        <f t="shared" si="11"/>
        <v>0.68329161709205533</v>
      </c>
      <c r="AE20" s="63">
        <f t="shared" si="10"/>
        <v>-0.1009544436476755</v>
      </c>
      <c r="AF20" s="49"/>
      <c r="AG20" s="49">
        <f>+'COLOMBIA USD'!Y25+'EL SALVADOR USD'!X25+'VENEZUELA USD'!X21+'PANAMA USD'!W25</f>
        <v>31951.917898706131</v>
      </c>
      <c r="AH20" s="49">
        <f>+'COLOMBIA USD'!X25+'EL SALVADOR USD'!W25+'VENEZUELA USD'!Y21+'PANAMA USD'!V25</f>
        <v>16624.560114461074</v>
      </c>
      <c r="AI20" s="49">
        <f>+'COLOMBIA USD'!AB25+'EL SALVADOR USD'!AA25+'VENEZUELA USD'!AC21+'PANAMA USD'!Z25</f>
        <v>-205219.14562714114</v>
      </c>
      <c r="AK20" s="49">
        <f>+'COLOMBIA USD'!AA25+'EL SALVADOR USD'!Z25+'VENEZUELA USD'!AB21+'PANAMA USD'!Y25</f>
        <v>423319.62670588447</v>
      </c>
    </row>
    <row r="21" spans="2:37" x14ac:dyDescent="0.2">
      <c r="B21" s="3"/>
      <c r="C21" s="61"/>
      <c r="D21" s="30"/>
      <c r="E21" s="61"/>
      <c r="F21" s="30"/>
      <c r="G21" s="30"/>
      <c r="H21" s="61"/>
      <c r="I21" s="30"/>
      <c r="J21" s="30"/>
      <c r="K21" s="61"/>
      <c r="L21" s="30"/>
      <c r="M21" s="61"/>
      <c r="N21" s="30"/>
      <c r="O21" s="30"/>
      <c r="P21" s="61"/>
      <c r="Q21" s="30"/>
      <c r="R21" s="30"/>
      <c r="V21" s="3" t="s">
        <v>46</v>
      </c>
      <c r="W21" s="61">
        <f>'COLOMBIA USD'!W27+'EL SALVADOR USD'!V27+'VENEZUELA USD'!W22+'PANAMA USD'!U27</f>
        <v>45621.764705882357</v>
      </c>
      <c r="X21" s="61">
        <f>'COLOMBIA USD'!Y27+'EL SALVADOR USD'!X27+'VENEZUELA USD'!X22+'PANAMA USD'!W27</f>
        <v>13717.824320047423</v>
      </c>
      <c r="Y21" s="61">
        <f>'COLOMBIA USD'!X27+'EL SALVADOR USD'!W27+'VENEZUELA USD'!Y22+'PANAMA USD'!V27</f>
        <v>-20432.170464845542</v>
      </c>
      <c r="Z21" s="61">
        <f>'COLOMBIA USD'!Z27+'EL SALVADOR USD'!Y27+'VENEZUELA USD'!Z22+'PANAMA USD'!X27</f>
        <v>88623.23529411765</v>
      </c>
      <c r="AA21" s="61">
        <f>'COLOMBIA USD'!AD27+'EL SALVADOR USD'!AC27+'VENEZUELA USD'!AA22+'PANAMA USD'!AB27</f>
        <v>62965.700697786582</v>
      </c>
      <c r="AB21" s="61">
        <f>'COLOMBIA USD'!AA27+'EL SALVADOR USD'!Z27+'VENEZUELA USD'!AB22+'PANAMA USD'!Y27</f>
        <v>-26167.856155669208</v>
      </c>
      <c r="AC21" s="57">
        <f t="shared" si="15"/>
        <v>-114791.09144978685</v>
      </c>
      <c r="AD21" s="63">
        <f t="shared" si="11"/>
        <v>-0.29527082901932933</v>
      </c>
      <c r="AE21" s="63">
        <f t="shared" si="10"/>
        <v>-1.4155890566717551</v>
      </c>
      <c r="AF21" s="49"/>
      <c r="AG21" s="49">
        <f>+'COLOMBIA USD'!Y27+'EL SALVADOR USD'!X27+'VENEZUELA USD'!X22+'PANAMA USD'!W27</f>
        <v>13717.824320047423</v>
      </c>
      <c r="AH21" s="49">
        <f>+'COLOMBIA USD'!X27+'EL SALVADOR USD'!W27+'VENEZUELA USD'!Y22+'PANAMA USD'!V27</f>
        <v>-20432.170464845542</v>
      </c>
      <c r="AI21" s="49">
        <f>+'COLOMBIA USD'!AB27+'EL SALVADOR USD'!AA27+'VENEZUELA USD'!AC22+'PANAMA USD'!Z27</f>
        <v>-114791.09144978685</v>
      </c>
      <c r="AK21" s="49">
        <f>+'COLOMBIA USD'!AA27+'EL SALVADOR USD'!Z27+'VENEZUELA USD'!AB22+'PANAMA USD'!Y27</f>
        <v>-26167.856155669208</v>
      </c>
    </row>
    <row r="22" spans="2:37" x14ac:dyDescent="0.2">
      <c r="B22" s="3" t="s">
        <v>40</v>
      </c>
      <c r="C22" s="61">
        <f>+'COLOMBIA USD'!C22+'EL SALVADOR USD'!C22+'VENEZUELA USD'!C22+'PANAMA USD'!C22</f>
        <v>23928.71</v>
      </c>
      <c r="D22" s="30">
        <f t="shared" si="13"/>
        <v>8.3870555493309421E-2</v>
      </c>
      <c r="E22" s="61">
        <f>+'COLOMBIA USD'!E22+'EL SALVADOR USD'!E22+'VENEZUELA USD'!E22+'PANAMA USD'!E22</f>
        <v>30528.716250883539</v>
      </c>
      <c r="F22" s="30">
        <f>+E22/$E$20</f>
        <v>0.13445348081732267</v>
      </c>
      <c r="G22" s="30">
        <f>IF(C22=0,"",(E22-C22)/ABS(C22)+1)</f>
        <v>1.2758195594699231</v>
      </c>
      <c r="H22" s="61">
        <f>+'COLOMBIA USD'!H22+'EL SALVADOR USD'!H22+'VENEZUELA USD'!H22+'PANAMA USD'!H22</f>
        <v>43604.057982999926</v>
      </c>
      <c r="I22" s="30">
        <f t="shared" ref="I22:I46" si="16">+H22/$H$20</f>
        <v>0.16284796068690977</v>
      </c>
      <c r="J22" s="30">
        <f>IF(H22=0,"",(E22-H22)/ABS(H22))</f>
        <v>-0.29986524963374095</v>
      </c>
      <c r="K22" s="61">
        <f>+'COLOMBIA USD'!K22+'EL SALVADOR USD'!K22+'VENEZUELA USD'!K22+'PANAMA USD'!K22</f>
        <v>274669.15882352937</v>
      </c>
      <c r="L22" s="30">
        <f t="shared" si="5"/>
        <v>8.7436975636369263E-2</v>
      </c>
      <c r="M22" s="61">
        <f>+'COLOMBIA USD'!M22+'EL SALVADOR USD'!M22+'VENEZUELA USD'!M22+'PANAMA USD'!M22</f>
        <v>223490.96520981626</v>
      </c>
      <c r="N22" s="30">
        <f>+M22/$M$20</f>
        <v>0.10003735204329353</v>
      </c>
      <c r="O22" s="30">
        <f>IF(K22=0,"",(M22-K22)/ABS(K22)+1)</f>
        <v>0.81367331580683833</v>
      </c>
      <c r="P22" s="61">
        <f>+'COLOMBIA USD'!P22+'EL SALVADOR USD'!P22+'VENEZUELA USD'!P22+'PANAMA USD'!P22</f>
        <v>193631.95378472604</v>
      </c>
      <c r="Q22" s="30">
        <f t="shared" si="8"/>
        <v>7.6377152429050882E-2</v>
      </c>
      <c r="R22" s="30">
        <f>IF(P22=0,"",(M22-P22)/ABS(P22))</f>
        <v>0.15420497929947319</v>
      </c>
      <c r="V22" s="3" t="s">
        <v>48</v>
      </c>
      <c r="W22" s="61">
        <f>'COLOMBIA USD'!W28+'EL SALVADOR USD'!V28+'VENEZUELA USD'!W23+'PANAMA USD'!U28</f>
        <v>0</v>
      </c>
      <c r="X22" s="61">
        <f>'COLOMBIA USD'!Y28+'EL SALVADOR USD'!X28+'VENEZUELA USD'!X23+'PANAMA USD'!W28</f>
        <v>0</v>
      </c>
      <c r="Y22" s="61">
        <f>'COLOMBIA USD'!X28+'EL SALVADOR USD'!W28+'VENEZUELA USD'!Y23+'PANAMA USD'!V28</f>
        <v>1984.8316078333542</v>
      </c>
      <c r="Z22" s="61">
        <f>'COLOMBIA USD'!Z28+'EL SALVADOR USD'!Y28+'VENEZUELA USD'!Z23+'PANAMA USD'!X28</f>
        <v>184699.27117647056</v>
      </c>
      <c r="AA22" s="61" t="e">
        <f>'COLOMBIA USD'!AD28+'EL SALVADOR USD'!AC28+'VENEZUELA USD'!AA23+'PANAMA USD'!AB28</f>
        <v>#VALUE!</v>
      </c>
      <c r="AB22" s="61">
        <f>'COLOMBIA USD'!AA28+'EL SALVADOR USD'!Z28+'VENEZUELA USD'!AB23+'PANAMA USD'!Y28</f>
        <v>123711.7469764251</v>
      </c>
      <c r="AC22" s="57">
        <f t="shared" si="15"/>
        <v>-60987.52420004546</v>
      </c>
      <c r="AD22" s="63">
        <f t="shared" si="11"/>
        <v>0.66980094825726166</v>
      </c>
      <c r="AE22" s="63" t="e">
        <f t="shared" si="10"/>
        <v>#VALUE!</v>
      </c>
      <c r="AF22" s="49"/>
      <c r="AG22" s="49">
        <f>+'COLOMBIA USD'!Y28+'EL SALVADOR USD'!X28+'VENEZUELA USD'!X23+'PANAMA USD'!W28</f>
        <v>0</v>
      </c>
      <c r="AH22" s="49">
        <f>+'COLOMBIA USD'!X28+'EL SALVADOR USD'!W28+'VENEZUELA USD'!Y23+'PANAMA USD'!V28</f>
        <v>1984.8316078333542</v>
      </c>
      <c r="AI22" s="49" t="e">
        <f>+'COLOMBIA USD'!AB28+'EL SALVADOR USD'!AA28+'VENEZUELA USD'!AC23+'PANAMA USD'!Z28</f>
        <v>#VALUE!</v>
      </c>
      <c r="AK22" s="49">
        <f>+'COLOMBIA USD'!AA28+'EL SALVADOR USD'!Z28+'VENEZUELA USD'!AB23+'PANAMA USD'!Y28</f>
        <v>123711.7469764251</v>
      </c>
    </row>
    <row r="23" spans="2:37" x14ac:dyDescent="0.2">
      <c r="B23" s="3"/>
      <c r="C23" s="61"/>
      <c r="D23" s="30"/>
      <c r="E23" s="61"/>
      <c r="F23" s="30"/>
      <c r="G23" s="30"/>
      <c r="H23" s="61"/>
      <c r="I23" s="30"/>
      <c r="J23" s="30"/>
      <c r="K23" s="61"/>
      <c r="L23" s="30"/>
      <c r="M23" s="61"/>
      <c r="N23" s="30"/>
      <c r="O23" s="30"/>
      <c r="P23" s="61"/>
      <c r="Q23" s="30"/>
      <c r="R23" s="30"/>
      <c r="V23" s="3" t="s">
        <v>50</v>
      </c>
      <c r="W23" s="61">
        <f>W18-W19-W20-W21-W22</f>
        <v>53753.274570496542</v>
      </c>
      <c r="X23" s="61">
        <f t="shared" ref="X23:AB23" si="17">X18-X19-X20-X21-X22</f>
        <v>140299.69111886664</v>
      </c>
      <c r="Y23" s="61">
        <f t="shared" si="17"/>
        <v>3426.038937311992</v>
      </c>
      <c r="Z23" s="61">
        <f t="shared" si="17"/>
        <v>53956.626216830628</v>
      </c>
      <c r="AA23" s="61" t="e">
        <f t="shared" si="17"/>
        <v>#VALUE!</v>
      </c>
      <c r="AB23" s="61">
        <f t="shared" si="17"/>
        <v>20622.640719210802</v>
      </c>
      <c r="AC23" s="57">
        <f t="shared" ref="AC23" si="18">Y23-W23</f>
        <v>-50327.235633184551</v>
      </c>
      <c r="AD23" s="63">
        <f t="shared" ref="AD23" si="19">IF(W23=0,"",(Y23-W23)/ABS(W23)+1)</f>
        <v>6.3736376335897349E-2</v>
      </c>
      <c r="AE23" s="63">
        <f t="shared" ref="AE23" si="20">IF(X23=0,"",(Y23-X23)/ABS(X23))</f>
        <v>-0.97558056678535843</v>
      </c>
      <c r="AF23" s="49"/>
      <c r="AG23" s="49">
        <f>+'COLOMBIA USD'!Y30+'EL SALVADOR USD'!X30+'VENEZUELA USD'!X24+'PANAMA USD'!W30</f>
        <v>153022.91692531825</v>
      </c>
      <c r="AH23" s="49">
        <f>+'COLOMBIA USD'!X30+'EL SALVADOR USD'!W30+'VENEZUELA USD'!Y24+'PANAMA USD'!V30</f>
        <v>22833.187862043174</v>
      </c>
      <c r="AI23" s="49">
        <f>+'COLOMBIA USD'!AB30+'EL SALVADOR USD'!AA30+'VENEZUELA USD'!AC24+'PANAMA USD'!Z30</f>
        <v>-32030.782271813536</v>
      </c>
      <c r="AK23" s="49">
        <f>+'COLOMBIA USD'!AA30+'EL SALVADOR USD'!Z30+'VENEZUELA USD'!AB24+'PANAMA USD'!Y30</f>
        <v>22833.500934264586</v>
      </c>
    </row>
    <row r="24" spans="2:37" x14ac:dyDescent="0.2">
      <c r="B24" s="3" t="s">
        <v>42</v>
      </c>
      <c r="C24" s="61">
        <f>+C20-C22</f>
        <v>261376.54235294115</v>
      </c>
      <c r="D24" s="30">
        <f t="shared" si="13"/>
        <v>0.91612944450669065</v>
      </c>
      <c r="E24" s="61">
        <f>+E20-E22</f>
        <v>196529.11866200992</v>
      </c>
      <c r="F24" s="30">
        <f>+E24/$E$20</f>
        <v>0.86554651918267733</v>
      </c>
      <c r="G24" s="30">
        <f>IF(C24=0,"",(E24-C24)/ABS(C24)+1)</f>
        <v>0.75190036907226865</v>
      </c>
      <c r="H24" s="61">
        <f>+H20-H22</f>
        <v>224155.25443990939</v>
      </c>
      <c r="I24" s="30">
        <f t="shared" si="16"/>
        <v>0.83715203931309023</v>
      </c>
      <c r="J24" s="30">
        <f>IF(H24=0,"",(E24-H24)/ABS(H24))</f>
        <v>-0.12324554178722306</v>
      </c>
      <c r="K24" s="61">
        <f>+K20-K22</f>
        <v>2866669.5805882351</v>
      </c>
      <c r="L24" s="30">
        <f t="shared" si="5"/>
        <v>0.91256302436363079</v>
      </c>
      <c r="M24" s="61">
        <f>+M20-M22</f>
        <v>2010584.214160138</v>
      </c>
      <c r="N24" s="30">
        <f>+M24/$M$20</f>
        <v>0.89996264795670644</v>
      </c>
      <c r="O24" s="30">
        <f>IF(K24=0,"",(M24-K24)/ABS(K24)+1)</f>
        <v>0.70136587340755541</v>
      </c>
      <c r="P24" s="61">
        <f>+P20-P22</f>
        <v>2341575.8619897203</v>
      </c>
      <c r="Q24" s="30">
        <f t="shared" si="8"/>
        <v>0.92362284757094915</v>
      </c>
      <c r="R24" s="30">
        <f>IF(P24=0,"",(M24-P24)/ABS(P24))</f>
        <v>-0.14135422780978227</v>
      </c>
      <c r="W24" s="49">
        <f>+'COLOMBIA USD'!W30+'EL SALVADOR USD'!V30+'VENEZUELA USD'!W24+'PANAMA USD'!U30</f>
        <v>54864.134785550312</v>
      </c>
      <c r="X24" s="49">
        <f>+'COLOMBIA USD'!Y30+'EL SALVADOR USD'!X30+'VENEZUELA USD'!X24+'PANAMA USD'!W30</f>
        <v>153022.91692531825</v>
      </c>
      <c r="Y24" s="49">
        <f>+'COLOMBIA USD'!X30+'EL SALVADOR USD'!W30+'VENEZUELA USD'!Y24+'PANAMA USD'!V30</f>
        <v>22833.187862043174</v>
      </c>
      <c r="Z24" s="49">
        <f>+'COLOMBIA USD'!Z30+'EL SALVADOR USD'!Y30+'VENEZUELA USD'!Z24+'PANAMA USD'!X30</f>
        <v>54864.283206078122</v>
      </c>
      <c r="AA24" s="49">
        <f>+'COLOMBIA USD'!AD30+'EL SALVADOR USD'!AC30+'VENEZUELA USD'!AA24+'PANAMA USD'!AB30</f>
        <v>153022.87000934433</v>
      </c>
      <c r="AB24" s="49">
        <f>+'COLOMBIA USD'!AA30+'EL SALVADOR USD'!Z30+'VENEZUELA USD'!AB24+'PANAMA USD'!Y30</f>
        <v>22833.500934264586</v>
      </c>
      <c r="AC24" s="49">
        <f>+'COLOMBIA USD'!AB30+'EL SALVADOR USD'!AA30+'VENEZUELA USD'!AC24+'PANAMA USD'!Z30</f>
        <v>-32030.782271813536</v>
      </c>
      <c r="AE24" s="49"/>
      <c r="AF24" s="49"/>
      <c r="AK24" s="49" t="e">
        <f>+'COLOMBIA USD'!#REF!+'EL SALVADOR USD'!Z31+'VENEZUELA USD'!AB25+'PANAMA USD'!#REF!</f>
        <v>#REF!</v>
      </c>
    </row>
    <row r="25" spans="2:37" x14ac:dyDescent="0.2">
      <c r="B25" s="3"/>
      <c r="C25" s="61"/>
      <c r="D25" s="30"/>
      <c r="E25" s="61"/>
      <c r="F25" s="30"/>
      <c r="G25" s="30"/>
      <c r="H25" s="61"/>
      <c r="I25" s="30"/>
      <c r="J25" s="30"/>
      <c r="K25" s="61"/>
      <c r="L25" s="30"/>
      <c r="M25" s="61"/>
      <c r="N25" s="30"/>
      <c r="O25" s="30"/>
      <c r="P25" s="61"/>
      <c r="Q25" s="30"/>
      <c r="R25" s="30"/>
      <c r="AB25" s="49"/>
      <c r="AE25" s="49"/>
      <c r="AF25" s="49"/>
      <c r="AK25" s="49" t="e">
        <f>+'COLOMBIA USD'!#REF!+'EL SALVADOR USD'!AA32+'VENEZUELA USD'!AB26+'PANAMA USD'!#REF!</f>
        <v>#REF!</v>
      </c>
    </row>
    <row r="26" spans="2:37" x14ac:dyDescent="0.2">
      <c r="B26" s="3" t="s">
        <v>44</v>
      </c>
      <c r="C26" s="61">
        <f>+'COLOMBIA USD'!C26+'EL SALVADOR USD'!C26+'VENEZUELA USD'!C26+'PANAMA USD'!C26</f>
        <v>57575.252941176477</v>
      </c>
      <c r="D26" s="30">
        <f t="shared" si="13"/>
        <v>0.20180228883396842</v>
      </c>
      <c r="E26" s="61">
        <f>+'COLOMBIA USD'!E26+'EL SALVADOR USD'!E26+'VENEZUELA USD'!E26+'PANAMA USD'!E26</f>
        <v>52191.561461061909</v>
      </c>
      <c r="F26" s="30">
        <f>+E26/$E$20</f>
        <v>0.22986020932104914</v>
      </c>
      <c r="G26" s="30">
        <f>IF(C26=0,"",(E26-C26)/ABS(C26)+1)</f>
        <v>0.90649295999420132</v>
      </c>
      <c r="H26" s="61">
        <f>+'COLOMBIA USD'!H26+'EL SALVADOR USD'!H26+'VENEZUELA USD'!H26+'PANAMA USD'!H26</f>
        <v>63802.717863259648</v>
      </c>
      <c r="I26" s="30">
        <f t="shared" si="16"/>
        <v>0.23828384262687077</v>
      </c>
      <c r="J26" s="30">
        <f>IF(H26=0,"",(E26-H26)/ABS(H26))</f>
        <v>-0.18198529453059464</v>
      </c>
      <c r="K26" s="61">
        <f>+'COLOMBIA USD'!K26+'EL SALVADOR USD'!K26+'VENEZUELA USD'!K26+'PANAMA USD'!K26</f>
        <v>715245.35235294118</v>
      </c>
      <c r="L26" s="30">
        <f t="shared" si="5"/>
        <v>0.22768806922327497</v>
      </c>
      <c r="M26" s="61">
        <f>+'COLOMBIA USD'!M26+'EL SALVADOR USD'!M26+'VENEZUELA USD'!M26+'PANAMA USD'!M26</f>
        <v>510230.85241700098</v>
      </c>
      <c r="N26" s="30">
        <f>+M26/$M$20</f>
        <v>0.2283857128572076</v>
      </c>
      <c r="O26" s="30">
        <f>IF(K26=0,"",(M26-K26)/ABS(K26)+1)</f>
        <v>0.71336479256872565</v>
      </c>
      <c r="P26" s="61">
        <f>+'COLOMBIA USD'!P26+'EL SALVADOR USD'!P26+'VENEZUELA USD'!P26+'PANAMA USD'!P26</f>
        <v>542458.65342336975</v>
      </c>
      <c r="Q26" s="30">
        <f t="shared" si="8"/>
        <v>0.21397009351584906</v>
      </c>
      <c r="R26" s="30">
        <f>IF(P26=0,"",(M26-P26)/ABS(P26))</f>
        <v>-5.9410612777553232E-2</v>
      </c>
      <c r="W26" s="49"/>
      <c r="X26" s="49"/>
      <c r="Y26" s="49"/>
      <c r="Z26" s="49"/>
      <c r="AA26" s="49"/>
      <c r="AB26" s="49"/>
      <c r="AC26" s="49"/>
      <c r="AF26" s="49"/>
      <c r="AK26" s="49" t="e">
        <f>+'COLOMBIA USD'!#REF!+'EL SALVADOR USD'!AB33+'VENEZUELA USD'!AB27+'PANAMA USD'!#REF!</f>
        <v>#REF!</v>
      </c>
    </row>
    <row r="27" spans="2:37" x14ac:dyDescent="0.2">
      <c r="B27" s="3" t="s">
        <v>45</v>
      </c>
      <c r="C27" s="61">
        <f>+'COLOMBIA USD'!C27+'EL SALVADOR USD'!C27+'VENEZUELA USD'!C27+'PANAMA USD'!C27</f>
        <v>84564.449411764697</v>
      </c>
      <c r="D27" s="30">
        <f t="shared" si="13"/>
        <v>0.29639990401281846</v>
      </c>
      <c r="E27" s="61">
        <f>+'COLOMBIA USD'!E27+'EL SALVADOR USD'!E27+'VENEZUELA USD'!E27+'PANAMA USD'!E27</f>
        <v>65391.523629786701</v>
      </c>
      <c r="F27" s="30">
        <f>+E27/$E$20</f>
        <v>0.28799501085207191</v>
      </c>
      <c r="G27" s="30">
        <f>IF(C27=0,"",(E27-C27)/ABS(C27)+1)</f>
        <v>0.77327439703863743</v>
      </c>
      <c r="H27" s="61">
        <f>+'COLOMBIA USD'!H27+'EL SALVADOR USD'!H27+'VENEZUELA USD'!H27+'PANAMA USD'!H27</f>
        <v>95502.659841318397</v>
      </c>
      <c r="I27" s="30">
        <f t="shared" si="16"/>
        <v>0.3566735325734548</v>
      </c>
      <c r="J27" s="30">
        <f>IF(H27=0,"",(E27-H27)/ABS(H27))</f>
        <v>-0.3152910742126197</v>
      </c>
      <c r="K27" s="61">
        <f>+'COLOMBIA USD'!K27+'EL SALVADOR USD'!K27+'VENEZUELA USD'!K27+'PANAMA USD'!K27</f>
        <v>1007480.76</v>
      </c>
      <c r="L27" s="30">
        <f t="shared" si="5"/>
        <v>0.32071700748473153</v>
      </c>
      <c r="M27" s="61">
        <f>+'COLOMBIA USD'!M27+'EL SALVADOR USD'!M27+'VENEZUELA USD'!M27+'PANAMA USD'!M27</f>
        <v>732330.0250536293</v>
      </c>
      <c r="N27" s="30">
        <f>+M27/$M$20</f>
        <v>0.32780008113252407</v>
      </c>
      <c r="O27" s="30">
        <f>IF(K27=0,"",(M27-K27)/ABS(K27)+1)</f>
        <v>0.7268923180762572</v>
      </c>
      <c r="P27" s="61">
        <f>+'COLOMBIA USD'!P27+'EL SALVADOR USD'!P27+'VENEZUELA USD'!P27+'PANAMA USD'!P27</f>
        <v>928473.06891192449</v>
      </c>
      <c r="Q27" s="30">
        <f t="shared" si="8"/>
        <v>0.36623154249321288</v>
      </c>
      <c r="R27" s="30">
        <f>IF(P27=0,"",(M27-P27)/ABS(P27))</f>
        <v>-0.21125334748605556</v>
      </c>
      <c r="W27" s="49"/>
      <c r="X27" s="49"/>
      <c r="Y27" s="49"/>
      <c r="Z27" s="49"/>
      <c r="AA27" s="49"/>
      <c r="AB27" s="49"/>
      <c r="AC27" s="49"/>
      <c r="AF27" s="49"/>
    </row>
    <row r="28" spans="2:37" x14ac:dyDescent="0.2">
      <c r="B28" s="3" t="s">
        <v>47</v>
      </c>
      <c r="C28" s="61">
        <f>SUM(C26:C27)</f>
        <v>142139.70235294118</v>
      </c>
      <c r="D28" s="30">
        <f t="shared" si="13"/>
        <v>0.49820219284678691</v>
      </c>
      <c r="E28" s="61">
        <f>SUM(E26:E27)</f>
        <v>117583.08509084862</v>
      </c>
      <c r="F28" s="30">
        <f>+E28/$E$20</f>
        <v>0.51785522017312113</v>
      </c>
      <c r="G28" s="30">
        <f>IF(C28=0,"",(E28-C28)/ABS(C28)+1)</f>
        <v>0.82723604414819274</v>
      </c>
      <c r="H28" s="61">
        <f>SUM(H26:H27)</f>
        <v>159305.37770457804</v>
      </c>
      <c r="I28" s="30">
        <f t="shared" si="16"/>
        <v>0.59495737520032554</v>
      </c>
      <c r="J28" s="30">
        <f>IF(H28=0,"",(E28-H28)/ABS(H28))</f>
        <v>-0.26190134454281155</v>
      </c>
      <c r="K28" s="61">
        <f>SUM(K26:K27)</f>
        <v>1722726.1123529412</v>
      </c>
      <c r="L28" s="30">
        <f t="shared" si="5"/>
        <v>0.54840507670800653</v>
      </c>
      <c r="M28" s="61">
        <f>SUM(M26:M27)</f>
        <v>1242560.8774706302</v>
      </c>
      <c r="N28" s="30">
        <f>+M28/$M$20</f>
        <v>0.55618579398973167</v>
      </c>
      <c r="O28" s="30">
        <f>IF(K28=0,"",(M28-K28)/ABS(K28)+1)</f>
        <v>0.72127592921518469</v>
      </c>
      <c r="P28" s="61">
        <f>SUM(P26:P27)</f>
        <v>1470931.7223352944</v>
      </c>
      <c r="Q28" s="30">
        <f t="shared" si="8"/>
        <v>0.58020163600906194</v>
      </c>
      <c r="R28" s="30">
        <f>IF(P28=0,"",(M28-P28)/ABS(P28))</f>
        <v>-0.15525591120034848</v>
      </c>
      <c r="W28" s="49"/>
      <c r="X28" s="49"/>
      <c r="Y28" s="49"/>
      <c r="Z28" s="49"/>
      <c r="AA28" s="49"/>
      <c r="AB28" s="49"/>
      <c r="AC28" s="49"/>
      <c r="AD28" s="49"/>
      <c r="AE28" s="49"/>
    </row>
    <row r="29" spans="2:37" x14ac:dyDescent="0.2">
      <c r="B29" s="3"/>
      <c r="C29" s="61"/>
      <c r="D29" s="30"/>
      <c r="E29" s="61"/>
      <c r="F29" s="30"/>
      <c r="G29" s="30"/>
      <c r="H29" s="61"/>
      <c r="I29" s="30"/>
      <c r="J29" s="30"/>
      <c r="K29" s="61"/>
      <c r="L29" s="30"/>
      <c r="M29" s="61"/>
      <c r="N29" s="30"/>
      <c r="O29" s="30"/>
      <c r="P29" s="61"/>
      <c r="Q29" s="30"/>
      <c r="R29" s="30"/>
      <c r="W29" s="49"/>
      <c r="X29" s="49"/>
      <c r="Y29" s="49"/>
      <c r="Z29" s="49"/>
      <c r="AA29" s="49"/>
      <c r="AB29" s="49"/>
      <c r="AC29" s="49"/>
    </row>
    <row r="30" spans="2:37" x14ac:dyDescent="0.2">
      <c r="B30" s="3" t="s">
        <v>49</v>
      </c>
      <c r="C30" s="61">
        <f>+'COLOMBIA USD'!C30+'EL SALVADOR USD'!C30+'VENEZUELA USD'!C30+'PANAMA USD'!C30</f>
        <v>21673.40411764706</v>
      </c>
      <c r="D30" s="30">
        <f t="shared" si="13"/>
        <v>7.596566813581003E-2</v>
      </c>
      <c r="E30" s="61">
        <f>+'COLOMBIA USD'!E30+'EL SALVADOR USD'!E30+'VENEZUELA USD'!E30+'PANAMA USD'!E30</f>
        <v>14154.406193921252</v>
      </c>
      <c r="F30" s="30">
        <f>+E30/$E$20</f>
        <v>6.2338329788757689E-2</v>
      </c>
      <c r="G30" s="30">
        <f>IF(C30=0,"",(E30-C30)/ABS(C30)+1)</f>
        <v>0.65307720545829528</v>
      </c>
      <c r="H30" s="61">
        <f>+'COLOMBIA USD'!H30+'EL SALVADOR USD'!H30+'VENEZUELA USD'!H30+'PANAMA USD'!H30</f>
        <v>23579.212885832621</v>
      </c>
      <c r="I30" s="30">
        <f t="shared" si="16"/>
        <v>8.80612243602968E-2</v>
      </c>
      <c r="J30" s="30">
        <f>IF(H30=0,"",(E30-H30)/ABS(H30))</f>
        <v>-0.39970828278047349</v>
      </c>
      <c r="K30" s="61">
        <f>+'COLOMBIA USD'!K30+'EL SALVADOR USD'!K30+'VENEZUELA USD'!K30+'PANAMA USD'!K30</f>
        <v>268897.23588235292</v>
      </c>
      <c r="L30" s="30">
        <f t="shared" si="5"/>
        <v>8.559956699630096E-2</v>
      </c>
      <c r="M30" s="61">
        <f>+'COLOMBIA USD'!M30+'EL SALVADOR USD'!M30+'VENEZUELA USD'!M30+'PANAMA USD'!M30</f>
        <v>202277.73389622322</v>
      </c>
      <c r="N30" s="30">
        <f>+M30/$M$20</f>
        <v>9.0542044316193893E-2</v>
      </c>
      <c r="O30" s="30">
        <f>IF(K30=0,"",(M30-K30)/ABS(K30)+1)</f>
        <v>0.75224921235234687</v>
      </c>
      <c r="P30" s="61">
        <f>+'COLOMBIA USD'!P30+'EL SALVADOR USD'!P30+'VENEZUELA USD'!P30+'PANAMA USD'!P30</f>
        <v>205549.36481335</v>
      </c>
      <c r="Q30" s="30">
        <f t="shared" si="8"/>
        <v>8.1077915401802869E-2</v>
      </c>
      <c r="R30" s="30">
        <f>IF(P30=0,"",(M30-P30)/ABS(P30))</f>
        <v>-1.5916521659396016E-2</v>
      </c>
      <c r="W30" s="49"/>
      <c r="X30" s="49"/>
      <c r="Y30" s="49"/>
      <c r="Z30" s="49"/>
      <c r="AA30" s="49"/>
      <c r="AB30" s="49"/>
      <c r="AC30" s="49"/>
    </row>
    <row r="31" spans="2:37" x14ac:dyDescent="0.2">
      <c r="B31" s="3" t="s">
        <v>51</v>
      </c>
      <c r="C31" s="61">
        <f>+'COLOMBIA USD'!C31+'EL SALVADOR USD'!C31+'VENEZUELA USD'!C31+'PANAMA USD'!C31</f>
        <v>0</v>
      </c>
      <c r="D31" s="30">
        <f t="shared" si="13"/>
        <v>0</v>
      </c>
      <c r="E31" s="61">
        <f>+'COLOMBIA USD'!E31+'EL SALVADOR USD'!E31+'VENEZUELA USD'!E31+'PANAMA USD'!E31</f>
        <v>0</v>
      </c>
      <c r="F31" s="30">
        <f>+E31/$E$20</f>
        <v>0</v>
      </c>
      <c r="G31" s="30" t="str">
        <f>IF(C31=0,"",(E31-C31)/ABS(C31)+1)</f>
        <v/>
      </c>
      <c r="H31" s="61">
        <f>+'COLOMBIA USD'!H31+'EL SALVADOR USD'!H31+'VENEZUELA USD'!H31+'PANAMA USD'!H31</f>
        <v>364.73684210526318</v>
      </c>
      <c r="I31" s="30">
        <f t="shared" si="16"/>
        <v>1.3621817250904194E-3</v>
      </c>
      <c r="J31" s="30">
        <f>IF(H31=0,"",(E31-H31)/ABS(H31))</f>
        <v>-1</v>
      </c>
      <c r="K31" s="61">
        <f>+'COLOMBIA USD'!K31+'EL SALVADOR USD'!K31+'VENEZUELA USD'!K31+'PANAMA USD'!K31</f>
        <v>0</v>
      </c>
      <c r="L31" s="30">
        <f t="shared" si="5"/>
        <v>0</v>
      </c>
      <c r="M31" s="61">
        <f>+'COLOMBIA USD'!M31+'EL SALVADOR USD'!M31+'VENEZUELA USD'!M31+'PANAMA USD'!M31</f>
        <v>5529.6064516129027</v>
      </c>
      <c r="N31" s="30">
        <f>+M31/$M$20</f>
        <v>2.4751210266667667E-3</v>
      </c>
      <c r="O31" s="30" t="str">
        <f>IF(K31=0,"",(M31-K31)/ABS(K31)+1)</f>
        <v/>
      </c>
      <c r="P31" s="61">
        <f>+'COLOMBIA USD'!P31+'EL SALVADOR USD'!P31+'VENEZUELA USD'!P31+'PANAMA USD'!P31</f>
        <v>3086.0781887258777</v>
      </c>
      <c r="Q31" s="30">
        <f t="shared" si="8"/>
        <v>1.2172880540695058E-3</v>
      </c>
      <c r="R31" s="30">
        <f>IF(P31=0,"",(M31-P31)/ABS(P31))</f>
        <v>0.79179078216934717</v>
      </c>
      <c r="W31" s="49"/>
      <c r="X31" s="49"/>
      <c r="Y31" s="49"/>
      <c r="Z31" s="49"/>
      <c r="AA31" s="49"/>
      <c r="AB31" s="49"/>
      <c r="AC31" s="49"/>
    </row>
    <row r="32" spans="2:37" x14ac:dyDescent="0.2">
      <c r="B32" s="3" t="s">
        <v>52</v>
      </c>
      <c r="C32" s="61">
        <f>SUM(C30:C31)</f>
        <v>21673.40411764706</v>
      </c>
      <c r="D32" s="30">
        <f t="shared" si="13"/>
        <v>7.596566813581003E-2</v>
      </c>
      <c r="E32" s="61">
        <f>SUM(E30:E31)</f>
        <v>14154.406193921252</v>
      </c>
      <c r="F32" s="30">
        <f>+E32/$E$20</f>
        <v>6.2338329788757689E-2</v>
      </c>
      <c r="G32" s="30">
        <f>IF(C32=0,"",(E32-C32)/ABS(C32)+1)</f>
        <v>0.65307720545829528</v>
      </c>
      <c r="H32" s="61">
        <f>SUM(H30:H31)</f>
        <v>23943.949727937885</v>
      </c>
      <c r="I32" s="30">
        <f t="shared" si="16"/>
        <v>8.9423406085387208E-2</v>
      </c>
      <c r="J32" s="30">
        <f>IF(H32=0,"",(E32-H32)/ABS(H32))</f>
        <v>-0.40885249281133262</v>
      </c>
      <c r="K32" s="61">
        <f>SUM(K30:K31)</f>
        <v>268897.23588235292</v>
      </c>
      <c r="L32" s="30">
        <f t="shared" si="5"/>
        <v>8.559956699630096E-2</v>
      </c>
      <c r="M32" s="61">
        <f>SUM(M30:M31)</f>
        <v>207807.34034783611</v>
      </c>
      <c r="N32" s="30">
        <f>+M32/$M$20</f>
        <v>9.3017165342860655E-2</v>
      </c>
      <c r="O32" s="30">
        <f>IF(K32=0,"",(M32-K32)/ABS(K32)+1)</f>
        <v>0.77281322608595104</v>
      </c>
      <c r="P32" s="61">
        <f>SUM(P30:P31)</f>
        <v>208635.44300207586</v>
      </c>
      <c r="Q32" s="30">
        <f t="shared" si="8"/>
        <v>8.2295203455872365E-2</v>
      </c>
      <c r="R32" s="30">
        <f>IF(P32=0,"",(M32-P32)/ABS(P32))</f>
        <v>-3.9691369899768443E-3</v>
      </c>
      <c r="W32" s="49"/>
      <c r="X32" s="49"/>
      <c r="Y32" s="49"/>
      <c r="Z32" s="49"/>
      <c r="AA32" s="49"/>
      <c r="AB32" s="49"/>
      <c r="AC32" s="49"/>
    </row>
    <row r="33" spans="2:29" x14ac:dyDescent="0.2">
      <c r="B33" s="3"/>
      <c r="C33" s="61"/>
      <c r="D33" s="30"/>
      <c r="E33" s="61"/>
      <c r="F33" s="30"/>
      <c r="G33" s="30"/>
      <c r="H33" s="61"/>
      <c r="I33" s="30"/>
      <c r="J33" s="30"/>
      <c r="K33" s="61"/>
      <c r="L33" s="30"/>
      <c r="M33" s="61"/>
      <c r="N33" s="30"/>
      <c r="O33" s="30"/>
      <c r="P33" s="61"/>
      <c r="Q33" s="30"/>
      <c r="R33" s="30"/>
      <c r="W33" s="49"/>
      <c r="X33" s="49"/>
      <c r="Y33" s="49"/>
      <c r="Z33" s="49"/>
      <c r="AA33" s="49"/>
      <c r="AB33" s="49"/>
      <c r="AC33" s="49"/>
    </row>
    <row r="34" spans="2:29" x14ac:dyDescent="0.2">
      <c r="B34" s="3" t="s">
        <v>53</v>
      </c>
      <c r="C34" s="61">
        <f>C28+C32</f>
        <v>163813.10647058825</v>
      </c>
      <c r="D34" s="30">
        <f t="shared" si="13"/>
        <v>0.57416786098259698</v>
      </c>
      <c r="E34" s="61">
        <f>E28+E32</f>
        <v>131737.49128476987</v>
      </c>
      <c r="F34" s="30">
        <f>+E34/$E$20</f>
        <v>0.58019354996187877</v>
      </c>
      <c r="G34" s="30">
        <f>IF(C34=0,"",(E34-C34)/ABS(C34)+1)</f>
        <v>0.80419384091481483</v>
      </c>
      <c r="H34" s="61">
        <f>H28+H32</f>
        <v>183249.32743251591</v>
      </c>
      <c r="I34" s="30">
        <f t="shared" si="16"/>
        <v>0.68438078128571267</v>
      </c>
      <c r="J34" s="30">
        <f>IF(H34=0,"",(E34-H34)/ABS(H34))</f>
        <v>-0.28110245679737073</v>
      </c>
      <c r="K34" s="61">
        <f>K28+K32</f>
        <v>1991623.3482352942</v>
      </c>
      <c r="L34" s="30">
        <f t="shared" si="5"/>
        <v>0.63400464370430754</v>
      </c>
      <c r="M34" s="61">
        <f>M28+M32</f>
        <v>1450368.2178184662</v>
      </c>
      <c r="N34" s="30">
        <f>+M34/$M$20</f>
        <v>0.6492029593325922</v>
      </c>
      <c r="O34" s="30">
        <f>IF(K34=0,"",(M34-K34)/ABS(K34)+1)</f>
        <v>0.72823419101989606</v>
      </c>
      <c r="P34" s="61">
        <f>P28+P32</f>
        <v>1679567.1653373702</v>
      </c>
      <c r="Q34" s="30">
        <f t="shared" si="8"/>
        <v>0.66249683946493432</v>
      </c>
      <c r="R34" s="30">
        <f>IF(P34=0,"",(M34-P34)/ABS(P34))</f>
        <v>-0.13646310326200345</v>
      </c>
      <c r="W34" s="49"/>
      <c r="X34" s="49"/>
      <c r="Y34" s="49"/>
      <c r="Z34" s="49"/>
      <c r="AA34" s="49"/>
      <c r="AB34" s="49"/>
      <c r="AC34" s="49"/>
    </row>
    <row r="35" spans="2:29" x14ac:dyDescent="0.2">
      <c r="B35" s="3"/>
      <c r="C35" s="61"/>
      <c r="D35" s="30"/>
      <c r="E35" s="61"/>
      <c r="F35" s="30"/>
      <c r="G35" s="30"/>
      <c r="H35" s="61"/>
      <c r="I35" s="30"/>
      <c r="J35" s="30"/>
      <c r="K35" s="61"/>
      <c r="L35" s="30"/>
      <c r="M35" s="61"/>
      <c r="N35" s="30"/>
      <c r="O35" s="30"/>
      <c r="P35" s="61"/>
      <c r="Q35" s="30"/>
      <c r="R35" s="30"/>
      <c r="W35" s="49"/>
      <c r="X35" s="49"/>
      <c r="Y35" s="49"/>
      <c r="Z35" s="49"/>
      <c r="AA35" s="49"/>
      <c r="AB35" s="49"/>
      <c r="AC35" s="49"/>
    </row>
    <row r="36" spans="2:29" x14ac:dyDescent="0.2">
      <c r="B36" s="19" t="s">
        <v>54</v>
      </c>
      <c r="C36" s="65">
        <f>C24-C34</f>
        <v>97563.435882352904</v>
      </c>
      <c r="D36" s="38">
        <f t="shared" si="13"/>
        <v>0.34196158352409367</v>
      </c>
      <c r="E36" s="65">
        <f>E24-E34</f>
        <v>64791.627377240045</v>
      </c>
      <c r="F36" s="38">
        <f>+E36/$E$20</f>
        <v>0.28535296922079856</v>
      </c>
      <c r="G36" s="38">
        <f>IF(C36=0,"",(E36-C36)/ABS(C36)+1)</f>
        <v>0.66409743354435746</v>
      </c>
      <c r="H36" s="65">
        <f>H24-H34</f>
        <v>40905.927007393475</v>
      </c>
      <c r="I36" s="38">
        <f t="shared" si="16"/>
        <v>0.15277125802737754</v>
      </c>
      <c r="J36" s="38">
        <f>IF(H36=0,"",(E36-H36)/ABS(H36))</f>
        <v>0.58391783580725087</v>
      </c>
      <c r="K36" s="65">
        <f>K24-K34</f>
        <v>875046.23235294083</v>
      </c>
      <c r="L36" s="38">
        <f t="shared" si="5"/>
        <v>0.27855838065932326</v>
      </c>
      <c r="M36" s="65">
        <f>+M24-M34</f>
        <v>560215.99634167179</v>
      </c>
      <c r="N36" s="38">
        <f>+M36/$M$20</f>
        <v>0.25075968862411419</v>
      </c>
      <c r="O36" s="38">
        <f>IF(K36=0,"",(M36-K36)/ABS(K36)+1)</f>
        <v>0.64021302604239372</v>
      </c>
      <c r="P36" s="65">
        <f>P24-P34</f>
        <v>662008.69665235002</v>
      </c>
      <c r="Q36" s="38">
        <f t="shared" si="8"/>
        <v>0.26112600810601477</v>
      </c>
      <c r="R36" s="38">
        <f>IF(P36=0,"",(M36-P36)/ABS(P36))</f>
        <v>-0.15376338834432873</v>
      </c>
      <c r="W36" s="49"/>
      <c r="X36" s="49"/>
      <c r="Y36" s="49"/>
      <c r="Z36" s="49"/>
      <c r="AA36" s="49"/>
      <c r="AB36" s="49"/>
      <c r="AC36" s="49"/>
    </row>
    <row r="37" spans="2:29" x14ac:dyDescent="0.2">
      <c r="B37" s="3"/>
      <c r="C37" s="61"/>
      <c r="D37" s="30"/>
      <c r="E37" s="61"/>
      <c r="F37" s="30"/>
      <c r="G37" s="30"/>
      <c r="H37" s="61"/>
      <c r="I37" s="30"/>
      <c r="J37" s="30"/>
      <c r="K37" s="61"/>
      <c r="L37" s="30"/>
      <c r="M37" s="61"/>
      <c r="N37" s="30"/>
      <c r="O37" s="30"/>
      <c r="P37" s="61"/>
      <c r="Q37" s="30"/>
      <c r="R37" s="30"/>
      <c r="W37" s="49"/>
      <c r="X37" s="49"/>
      <c r="Y37" s="49"/>
      <c r="Z37" s="49"/>
      <c r="AA37" s="49"/>
      <c r="AB37" s="49"/>
      <c r="AC37" s="49"/>
    </row>
    <row r="38" spans="2:29" x14ac:dyDescent="0.2">
      <c r="B38" s="3" t="s">
        <v>55</v>
      </c>
      <c r="C38" s="61">
        <f>+'COLOMBIA USD'!C38+'EL SALVADOR USD'!C38+'VENEZUELA USD'!C38+'PANAMA USD'!C38</f>
        <v>10671.034117647057</v>
      </c>
      <c r="D38" s="30">
        <f t="shared" si="13"/>
        <v>3.7402164978183772E-2</v>
      </c>
      <c r="E38" s="61">
        <f>+'COLOMBIA USD'!E38+'EL SALVADOR USD'!E38+'VENEZUELA USD'!E38+'PANAMA USD'!E38</f>
        <v>141.89144734106691</v>
      </c>
      <c r="F38" s="30">
        <f>+E38/$E$20</f>
        <v>6.2491324025661099E-4</v>
      </c>
      <c r="G38" s="30">
        <f>IF(C38=0,"",(E38-C38)/ABS(C38)+1)</f>
        <v>1.3296878800754364E-2</v>
      </c>
      <c r="H38" s="61">
        <f>+'COLOMBIA USD'!H38+'EL SALVADOR USD'!H38+'VENEZUELA USD'!H38+'PANAMA USD'!H38</f>
        <v>32983.516541309567</v>
      </c>
      <c r="I38" s="30">
        <f t="shared" si="16"/>
        <v>0.12318345249264062</v>
      </c>
      <c r="J38" s="30">
        <f>IF(H38=0,"",(E38-H38)/ABS(H38))</f>
        <v>-0.99569811038300415</v>
      </c>
      <c r="K38" s="61">
        <f>+'COLOMBIA USD'!K38+'EL SALVADOR USD'!K38+'VENEZUELA USD'!K38+'PANAMA USD'!K38</f>
        <v>12749.982352941177</v>
      </c>
      <c r="L38" s="30">
        <f t="shared" si="5"/>
        <v>4.0587734754541924E-3</v>
      </c>
      <c r="M38" s="61">
        <f>+'COLOMBIA USD'!M38+'EL SALVADOR USD'!M38+'VENEZUELA USD'!M38+'PANAMA USD'!M38</f>
        <v>10828.55366319689</v>
      </c>
      <c r="N38" s="30">
        <f>+M38/$M$20</f>
        <v>4.8469960918014936E-3</v>
      </c>
      <c r="O38" s="30">
        <f>IF(K38=0,"",(M38-K38)/ABS(K38)+1)</f>
        <v>0.84929950202628712</v>
      </c>
      <c r="P38" s="61">
        <f>+'COLOMBIA USD'!P38+'EL SALVADOR USD'!P38+'VENEZUELA USD'!P38+'PANAMA USD'!P38</f>
        <v>88909.547671432447</v>
      </c>
      <c r="Q38" s="30">
        <f t="shared" si="8"/>
        <v>3.5069924886718874E-2</v>
      </c>
      <c r="R38" s="30">
        <f>IF(P38=0,"",(M38-P38)/ABS(P38))</f>
        <v>-0.87820707734096126</v>
      </c>
      <c r="W38" s="49"/>
      <c r="X38" s="49"/>
      <c r="Y38" s="49"/>
      <c r="Z38" s="49"/>
      <c r="AA38" s="49"/>
      <c r="AB38" s="49"/>
      <c r="AC38" s="49"/>
    </row>
    <row r="39" spans="2:29" x14ac:dyDescent="0.2">
      <c r="B39" s="3" t="s">
        <v>56</v>
      </c>
      <c r="C39" s="61">
        <f>+'COLOMBIA USD'!C39+'EL SALVADOR USD'!C39+'VENEZUELA USD'!C39+'PANAMA USD'!C39</f>
        <v>4432.4317647058824</v>
      </c>
      <c r="D39" s="30">
        <f t="shared" si="13"/>
        <v>1.5535752420087508E-2</v>
      </c>
      <c r="E39" s="61">
        <f>+'COLOMBIA USD'!E39+'EL SALVADOR USD'!E39+'VENEZUELA USD'!E39+'PANAMA USD'!E39</f>
        <v>5027.9936102448964</v>
      </c>
      <c r="F39" s="30">
        <f>+E39/$E$20</f>
        <v>2.2144109725056586E-2</v>
      </c>
      <c r="G39" s="30">
        <f>IF(C39=0,"",(E39-C39)/ABS(C39)+1)</f>
        <v>1.1343645829545066</v>
      </c>
      <c r="H39" s="61">
        <f>+'COLOMBIA USD'!H39+'EL SALVADOR USD'!H39+'VENEZUELA USD'!H39+'PANAMA USD'!H39</f>
        <v>31236.502790243801</v>
      </c>
      <c r="I39" s="30">
        <f t="shared" si="16"/>
        <v>0.1166588848305215</v>
      </c>
      <c r="J39" s="30">
        <f>IF(H39=0,"",(E39-H39)/ABS(H39))</f>
        <v>-0.83903468182695196</v>
      </c>
      <c r="K39" s="61">
        <f>+'COLOMBIA USD'!K39+'EL SALVADOR USD'!K39+'VENEZUELA USD'!K39+'PANAMA USD'!K39</f>
        <v>53429.769411764704</v>
      </c>
      <c r="L39" s="30">
        <f t="shared" si="5"/>
        <v>1.7008598512928845E-2</v>
      </c>
      <c r="M39" s="61">
        <f>+'COLOMBIA USD'!M39+'EL SALVADOR USD'!M39+'VENEZUELA USD'!M39+'PANAMA USD'!M39</f>
        <v>50326.655225106319</v>
      </c>
      <c r="N39" s="30">
        <f>+M39/$M$20</f>
        <v>2.2526840497507007E-2</v>
      </c>
      <c r="O39" s="30">
        <f>IF(K39=0,"",(M39-K39)/ABS(K39)+1)</f>
        <v>0.94192162495136822</v>
      </c>
      <c r="P39" s="61">
        <f>+'COLOMBIA USD'!P39+'EL SALVADOR USD'!P39+'VENEZUELA USD'!P39+'PANAMA USD'!P39</f>
        <v>108703.37066669982</v>
      </c>
      <c r="Q39" s="30">
        <f t="shared" si="8"/>
        <v>4.2877499031965353E-2</v>
      </c>
      <c r="R39" s="30">
        <f>IF(P39=0,"",(M39-P39)/ABS(P39))</f>
        <v>-0.53702764765763256</v>
      </c>
      <c r="W39" s="49"/>
      <c r="X39" s="49"/>
      <c r="Y39" s="49"/>
      <c r="Z39" s="49"/>
      <c r="AA39" s="49"/>
      <c r="AB39" s="49"/>
      <c r="AC39" s="49"/>
    </row>
    <row r="40" spans="2:29" x14ac:dyDescent="0.2">
      <c r="B40" s="3"/>
      <c r="C40" s="61"/>
      <c r="D40" s="30"/>
      <c r="E40" s="61"/>
      <c r="F40" s="30"/>
      <c r="G40" s="30"/>
      <c r="H40" s="61"/>
      <c r="I40" s="30"/>
      <c r="J40" s="30"/>
      <c r="K40" s="61"/>
      <c r="L40" s="30"/>
      <c r="M40" s="61"/>
      <c r="N40" s="30"/>
      <c r="O40" s="30"/>
      <c r="P40" s="61"/>
      <c r="Q40" s="30"/>
      <c r="R40" s="30"/>
    </row>
    <row r="41" spans="2:29" x14ac:dyDescent="0.2">
      <c r="B41" s="3" t="s">
        <v>57</v>
      </c>
      <c r="C41" s="61">
        <f>C36+C38-C39</f>
        <v>103802.03823529408</v>
      </c>
      <c r="D41" s="30">
        <f t="shared" si="13"/>
        <v>0.36382799608218991</v>
      </c>
      <c r="E41" s="61">
        <f>E36+E38-E39</f>
        <v>59905.525214336216</v>
      </c>
      <c r="F41" s="30">
        <f>+E41/$E$20</f>
        <v>0.26383377273599856</v>
      </c>
      <c r="G41" s="30">
        <f>IF(C41=0,"",(E41-C41)/ABS(C41)+1)</f>
        <v>0.57711318807194223</v>
      </c>
      <c r="H41" s="61">
        <f>H36+H38-H39</f>
        <v>42652.940758459241</v>
      </c>
      <c r="I41" s="30">
        <f t="shared" si="16"/>
        <v>0.15929582568949666</v>
      </c>
      <c r="J41" s="30">
        <f>IF(H41=0,"",(E41-H41)/ABS(H41))</f>
        <v>0.40448757223041687</v>
      </c>
      <c r="K41" s="61">
        <f>K36+K38-K39</f>
        <v>834366.44529411732</v>
      </c>
      <c r="L41" s="30">
        <f t="shared" si="5"/>
        <v>0.2656085556218486</v>
      </c>
      <c r="M41" s="61">
        <f>+'COLOMBIA USD'!M41+'EL SALVADOR USD'!M41+'VENEZUELA USD'!M41+'PANAMA USD'!M41</f>
        <v>93163.330728371468</v>
      </c>
      <c r="N41" s="30">
        <f>+M41/$M$20</f>
        <v>4.1701072367065571E-2</v>
      </c>
      <c r="O41" s="30">
        <f>IF(K41=0,"",(M41-K41)/ABS(K41)+1)</f>
        <v>0.11165757114732855</v>
      </c>
      <c r="P41" s="61">
        <f>+'COLOMBIA USD'!P41+'EL SALVADOR USD'!P41+'VENEZUELA USD'!P41+'PANAMA USD'!P41</f>
        <v>-104958.45692495815</v>
      </c>
      <c r="Q41" s="30">
        <f t="shared" si="8"/>
        <v>-4.1400336600372865E-2</v>
      </c>
      <c r="R41" s="30">
        <f>IF(P41=0,"",(M41-P41)/ABS(P41))</f>
        <v>1.8876210022311988</v>
      </c>
    </row>
    <row r="42" spans="2:29" x14ac:dyDescent="0.2">
      <c r="B42" s="3" t="s">
        <v>43</v>
      </c>
      <c r="C42" s="61">
        <f>+'COLOMBIA USD'!C42+'EL SALVADOR USD'!C42+'VENEZUELA USD'!C42+'PANAMA USD'!C42</f>
        <v>21107.667647058825</v>
      </c>
      <c r="D42" s="30">
        <f t="shared" si="13"/>
        <v>7.3982751712356382E-2</v>
      </c>
      <c r="E42" s="61">
        <f>+'COLOMBIA USD'!E42+'EL SALVADOR USD'!E42+'VENEZUELA USD'!E42+'PANAMA USD'!E42</f>
        <v>11885.296649619559</v>
      </c>
      <c r="F42" s="30">
        <f>+E42/$E$20</f>
        <v>5.2344798646473192E-2</v>
      </c>
      <c r="G42" s="30">
        <f>IF(C42=0,"",(E42-C42)/ABS(C42)+1)</f>
        <v>0.56307958076437092</v>
      </c>
      <c r="H42" s="61">
        <f>+'COLOMBIA USD'!H42+'EL SALVADOR USD'!H42+'VENEZUELA USD'!H42+'PANAMA USD'!H42</f>
        <v>-36168.614240144772</v>
      </c>
      <c r="I42" s="30">
        <f t="shared" si="16"/>
        <v>-0.13507882849287675</v>
      </c>
      <c r="J42" s="30">
        <f>IF(H42=0,"",(E42-H42)/ABS(H42))</f>
        <v>1.3286080182864088</v>
      </c>
      <c r="K42" s="61">
        <f>+'COLOMBIA USD'!K42+'EL SALVADOR USD'!K42+'VENEZUELA USD'!K42+'PANAMA USD'!K42</f>
        <v>133004.53882352941</v>
      </c>
      <c r="L42" s="30">
        <f t="shared" si="5"/>
        <v>4.2340081683911415E-2</v>
      </c>
      <c r="M42" s="61">
        <f>+'COLOMBIA USD'!M42+'EL SALVADOR USD'!M42+'VENEZUELA USD'!M42+'PANAMA USD'!M42</f>
        <v>82689.454800685635</v>
      </c>
      <c r="N42" s="30">
        <f>+M42/$M$20</f>
        <v>3.7012834466924882E-2</v>
      </c>
      <c r="O42" s="30">
        <f>IF(K42=0,"",(M42-K42)/ABS(K42)+1)</f>
        <v>0.62170400748803101</v>
      </c>
      <c r="P42" s="61">
        <f>+'COLOMBIA USD'!P42+'EL SALVADOR USD'!P42+'VENEZUELA USD'!P42+'PANAMA USD'!P42</f>
        <v>48792.546237492628</v>
      </c>
      <c r="Q42" s="30">
        <f t="shared" si="8"/>
        <v>1.9245974998143359E-2</v>
      </c>
      <c r="R42" s="30">
        <f>IF(P42=0,"",(M42-P42)/ABS(P42))</f>
        <v>0.69471489350449844</v>
      </c>
    </row>
    <row r="43" spans="2:29" x14ac:dyDescent="0.2">
      <c r="B43" s="19" t="s">
        <v>58</v>
      </c>
      <c r="C43" s="65">
        <f>+C41-C42</f>
        <v>82694.370588235251</v>
      </c>
      <c r="D43" s="38">
        <f t="shared" si="13"/>
        <v>0.28984524436983355</v>
      </c>
      <c r="E43" s="65">
        <f>E41-E42</f>
        <v>48020.228564716657</v>
      </c>
      <c r="F43" s="38">
        <f>+E43/$E$20</f>
        <v>0.21148897408952538</v>
      </c>
      <c r="G43" s="38">
        <f>IF(C43=0,"",(E43-C43)/ABS(C43)+1)</f>
        <v>0.5806952543822661</v>
      </c>
      <c r="H43" s="65">
        <f>+H41-H42</f>
        <v>78821.554998604013</v>
      </c>
      <c r="I43" s="38">
        <f t="shared" si="16"/>
        <v>0.29437465418237341</v>
      </c>
      <c r="J43" s="38">
        <f>IF(H43=0,"",(E43-H43)/ABS(H43))</f>
        <v>-0.39077288483375988</v>
      </c>
      <c r="K43" s="65">
        <f>+K41-K42</f>
        <v>701361.90647058794</v>
      </c>
      <c r="L43" s="38">
        <f t="shared" si="5"/>
        <v>0.2232684739379372</v>
      </c>
      <c r="M43" s="65">
        <f>+M41-M42</f>
        <v>10473.875927685833</v>
      </c>
      <c r="N43" s="38">
        <f>+M43/$M$20</f>
        <v>4.6882379001406908E-3</v>
      </c>
      <c r="O43" s="38">
        <f>IF(K43=0,"",(M43-K43)/ABS(K43)+1)</f>
        <v>1.4933625323897082E-2</v>
      </c>
      <c r="P43" s="65">
        <f>P41-P42</f>
        <v>-153751.0031624508</v>
      </c>
      <c r="Q43" s="38">
        <f t="shared" si="8"/>
        <v>-6.0646311598516231E-2</v>
      </c>
      <c r="R43" s="38">
        <f>IF(P43=0,"",(M43-P43)/ABS(P43))</f>
        <v>1.06812232578814</v>
      </c>
    </row>
    <row r="44" spans="2:29" x14ac:dyDescent="0.2">
      <c r="B44" s="3"/>
      <c r="C44" s="61"/>
      <c r="D44" s="30"/>
      <c r="E44" s="61"/>
      <c r="F44" s="30"/>
      <c r="G44" s="30"/>
      <c r="H44" s="61"/>
      <c r="I44" s="30"/>
      <c r="J44" s="30"/>
      <c r="K44" s="61"/>
      <c r="L44" s="30"/>
      <c r="M44" s="61"/>
      <c r="N44" s="30"/>
      <c r="O44" s="30"/>
      <c r="P44" s="61"/>
      <c r="Q44" s="30"/>
      <c r="R44" s="30"/>
    </row>
    <row r="45" spans="2:29" x14ac:dyDescent="0.2">
      <c r="B45" s="3" t="s">
        <v>86</v>
      </c>
      <c r="C45" s="61">
        <f>+'COLOMBIA USD'!C45+'EL SALVADOR USD'!C45+'VENEZUELA USD'!C45+'PANAMA USD'!C45</f>
        <v>75293.990588235305</v>
      </c>
      <c r="D45" s="30">
        <f t="shared" si="13"/>
        <v>0.26390678043000676</v>
      </c>
      <c r="E45" s="61">
        <f>+'COLOMBIA USD'!E45+'EL SALVADOR USD'!E45+'VENEZUELA USD'!E45+'PANAMA USD'!E45</f>
        <v>46370.114731612055</v>
      </c>
      <c r="F45" s="30">
        <f>+E45/$E$20</f>
        <v>0.20422160173156365</v>
      </c>
      <c r="G45" s="30">
        <f>IF(C45=0,"",(E45-C45)/ABS(C45)+1)</f>
        <v>0.6158541255330594</v>
      </c>
      <c r="H45" s="61">
        <f>+'COLOMBIA USD'!H45+'EL SALVADOR USD'!H45+'VENEZUELA USD'!H45+'PANAMA USD'!H45</f>
        <v>37676.10107682096</v>
      </c>
      <c r="I45" s="30">
        <f t="shared" si="16"/>
        <v>0.14070883561769043</v>
      </c>
      <c r="J45" s="30">
        <f>IF(H45=0,"",(E45-H45)/ABS(H45))</f>
        <v>0.23075672392597477</v>
      </c>
      <c r="K45" s="61">
        <f>+'COLOMBIA USD'!K45+'EL SALVADOR USD'!K45+'VENEZUELA USD'!K45+'PANAMA USD'!K45</f>
        <v>572365.72</v>
      </c>
      <c r="L45" s="30">
        <f t="shared" si="5"/>
        <v>0.18220439356603074</v>
      </c>
      <c r="M45" s="61">
        <f>+'COLOMBIA USD'!M45+'EL SALVADOR USD'!M45+'VENEZUELA USD'!M45+'PANAMA USD'!M45</f>
        <v>372881.68671434722</v>
      </c>
      <c r="N45" s="30">
        <f>+M45/$M$20</f>
        <v>0.1669065079625055</v>
      </c>
      <c r="O45" s="30">
        <f>IF(K45=0,"",(M45-K45)/ABS(K45)+1)</f>
        <v>0.65147452701106423</v>
      </c>
      <c r="P45" s="61">
        <f>+'COLOMBIA USD'!P45+'EL SALVADOR USD'!P45+'VENEZUELA USD'!P45+'PANAMA USD'!P45</f>
        <v>385411.72760829638</v>
      </c>
      <c r="Q45" s="30">
        <f t="shared" si="8"/>
        <v>0.15202372176758305</v>
      </c>
      <c r="R45" s="30">
        <f>IF(P45=0,"",(M45-P45)/ABS(P45))</f>
        <v>-3.2510792994560236E-2</v>
      </c>
    </row>
    <row r="46" spans="2:29" x14ac:dyDescent="0.2">
      <c r="B46" s="3" t="s">
        <v>34</v>
      </c>
      <c r="C46" s="61">
        <f>+'COLOMBIA USD'!C46+'EL SALVADOR USD'!C46+'VENEZUELA USD'!C46+'PANAMA USD'!C46</f>
        <v>112292.41823529413</v>
      </c>
      <c r="D46" s="30">
        <f t="shared" si="13"/>
        <v>0.39358692947012802</v>
      </c>
      <c r="E46" s="61">
        <f>+'COLOMBIA USD'!E46+'EL SALVADOR USD'!E46+'VENEZUELA USD'!E46+'PANAMA USD'!E46</f>
        <v>78261.139920585425</v>
      </c>
      <c r="F46" s="30">
        <f>+E46/$E$20</f>
        <v>0.3446749148762423</v>
      </c>
      <c r="G46" s="30">
        <f>IF(C46=0,"",(E46-C46)/ABS(C46)+1)</f>
        <v>0.69694055173519742</v>
      </c>
      <c r="H46" s="61">
        <f>+'COLOMBIA USD'!H46+'EL SALVADOR USD'!H46+'VENEZUELA USD'!H46+'PANAMA USD'!H46</f>
        <v>89298.068996408168</v>
      </c>
      <c r="I46" s="30">
        <f t="shared" si="16"/>
        <v>0.33350126346069853</v>
      </c>
      <c r="J46" s="30">
        <f>IF(H46=0,"",(E46-H46)/ABS(H46))</f>
        <v>-0.12359650325996054</v>
      </c>
      <c r="K46" s="61">
        <f>+'COLOMBIA USD'!K46+'EL SALVADOR USD'!K46+'VENEZUELA USD'!K46+'PANAMA USD'!K46</f>
        <v>1365856.7376470589</v>
      </c>
      <c r="L46" s="30">
        <f t="shared" si="5"/>
        <v>0.43480084478340092</v>
      </c>
      <c r="M46" s="61">
        <f>+'COLOMBIA USD'!M46+'EL SALVADOR USD'!M46+'VENEZUELA USD'!M46+'PANAMA USD'!M46</f>
        <v>947799.34367105667</v>
      </c>
      <c r="N46" s="30">
        <f>+M46/$M$20</f>
        <v>0.42424684380511829</v>
      </c>
      <c r="O46" s="30">
        <f>IF(K46=0,"",(M46-K46)/ABS(K46)+1)</f>
        <v>0.69392295512911295</v>
      </c>
      <c r="P46" s="61">
        <f>+'COLOMBIA USD'!P46+'EL SALVADOR USD'!P46+'VENEZUELA USD'!P46+'PANAMA USD'!P46</f>
        <v>1039525.431227938</v>
      </c>
      <c r="Q46" s="30">
        <f t="shared" si="8"/>
        <v>0.41003558949284302</v>
      </c>
      <c r="R46" s="30">
        <f>IF(P46=0,"",(M46-P46)/ABS(P46))</f>
        <v>-8.8238425729065664E-2</v>
      </c>
    </row>
  </sheetData>
  <conditionalFormatting sqref="D9:D46 J10:J46 G10:G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5E7B0-680B-41AA-92DF-EEDEE3A45DC2}">
  <dimension ref="A6:V595"/>
  <sheetViews>
    <sheetView topLeftCell="A124" workbookViewId="0">
      <selection activeCell="A35" sqref="A35"/>
    </sheetView>
  </sheetViews>
  <sheetFormatPr baseColWidth="10" defaultRowHeight="12" x14ac:dyDescent="0.2"/>
  <cols>
    <col min="1" max="1" width="40.85546875" style="114" customWidth="1"/>
    <col min="2" max="2" width="44.42578125" style="114" customWidth="1"/>
    <col min="3" max="3" width="29.140625" style="114" customWidth="1"/>
    <col min="4" max="4" width="8" style="114" customWidth="1"/>
    <col min="5" max="5" width="22.85546875" style="114" bestFit="1" customWidth="1"/>
    <col min="6" max="6" width="37.42578125" style="114" bestFit="1" customWidth="1"/>
    <col min="7" max="7" width="13.85546875" style="116" bestFit="1" customWidth="1"/>
    <col min="8" max="18" width="30.5703125" style="116" bestFit="1" customWidth="1"/>
    <col min="19" max="19" width="14.140625" style="116" bestFit="1" customWidth="1"/>
    <col min="20" max="22" width="11.42578125" style="116"/>
    <col min="23" max="16384" width="11.42578125" style="114"/>
  </cols>
  <sheetData>
    <row r="6" spans="1:2" x14ac:dyDescent="0.2">
      <c r="A6" s="112" t="s">
        <v>151</v>
      </c>
      <c r="B6" s="113" t="s">
        <v>152</v>
      </c>
    </row>
    <row r="7" spans="1:2" x14ac:dyDescent="0.2">
      <c r="A7" s="112" t="s">
        <v>69</v>
      </c>
      <c r="B7" s="113" t="s">
        <v>153</v>
      </c>
    </row>
    <row r="8" spans="1:2" x14ac:dyDescent="0.2">
      <c r="A8" s="112" t="s">
        <v>71</v>
      </c>
      <c r="B8" s="113" t="s">
        <v>154</v>
      </c>
    </row>
    <row r="9" spans="1:2" x14ac:dyDescent="0.2">
      <c r="A9" s="112" t="s">
        <v>80</v>
      </c>
      <c r="B9" s="113" t="s">
        <v>155</v>
      </c>
    </row>
    <row r="10" spans="1:2" x14ac:dyDescent="0.2">
      <c r="A10" s="112" t="s">
        <v>156</v>
      </c>
      <c r="B10" s="113" t="s">
        <v>157</v>
      </c>
    </row>
    <row r="11" spans="1:2" x14ac:dyDescent="0.2">
      <c r="A11" s="112" t="s">
        <v>158</v>
      </c>
      <c r="B11" s="113" t="s">
        <v>159</v>
      </c>
    </row>
    <row r="12" spans="1:2" x14ac:dyDescent="0.2">
      <c r="A12" s="112" t="s">
        <v>82</v>
      </c>
      <c r="B12" s="113" t="s">
        <v>160</v>
      </c>
    </row>
    <row r="13" spans="1:2" x14ac:dyDescent="0.2">
      <c r="A13" s="112" t="s">
        <v>161</v>
      </c>
      <c r="B13" s="113" t="s">
        <v>162</v>
      </c>
    </row>
    <row r="14" spans="1:2" x14ac:dyDescent="0.2">
      <c r="A14" s="112" t="s">
        <v>76</v>
      </c>
      <c r="B14" s="113" t="s">
        <v>163</v>
      </c>
    </row>
    <row r="15" spans="1:2" x14ac:dyDescent="0.2">
      <c r="A15" s="112" t="s">
        <v>164</v>
      </c>
      <c r="B15" s="113" t="s">
        <v>165</v>
      </c>
    </row>
    <row r="16" spans="1:2" x14ac:dyDescent="0.2">
      <c r="A16" s="112" t="s">
        <v>166</v>
      </c>
      <c r="B16" s="113" t="s">
        <v>167</v>
      </c>
    </row>
    <row r="33" spans="1:19" x14ac:dyDescent="0.2">
      <c r="B33" s="115" t="s">
        <v>168</v>
      </c>
      <c r="D33" s="114" t="s">
        <v>169</v>
      </c>
    </row>
    <row r="34" spans="1:19" x14ac:dyDescent="0.2">
      <c r="A34" s="114" t="s">
        <v>170</v>
      </c>
      <c r="B34" s="115" t="s">
        <v>171</v>
      </c>
    </row>
    <row r="35" spans="1:19" x14ac:dyDescent="0.2">
      <c r="A35" s="114" t="s">
        <v>172</v>
      </c>
      <c r="B35" s="115" t="s">
        <v>173</v>
      </c>
    </row>
    <row r="36" spans="1:19" x14ac:dyDescent="0.2">
      <c r="A36" s="114" t="s">
        <v>174</v>
      </c>
      <c r="B36" s="115" t="s">
        <v>175</v>
      </c>
    </row>
    <row r="37" spans="1:19" x14ac:dyDescent="0.2">
      <c r="A37" s="114" t="s">
        <v>176</v>
      </c>
      <c r="B37" s="115" t="s">
        <v>177</v>
      </c>
    </row>
    <row r="38" spans="1:19" x14ac:dyDescent="0.2">
      <c r="B38" s="115"/>
    </row>
    <row r="39" spans="1:19" x14ac:dyDescent="0.2">
      <c r="B39" s="115"/>
    </row>
    <row r="40" spans="1:19" x14ac:dyDescent="0.2">
      <c r="B40" s="115"/>
    </row>
    <row r="41" spans="1:19" x14ac:dyDescent="0.2">
      <c r="B41" s="115" t="s">
        <v>178</v>
      </c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</row>
    <row r="42" spans="1:19" x14ac:dyDescent="0.2">
      <c r="A42" s="117"/>
      <c r="B42" s="114" t="s">
        <v>179</v>
      </c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</row>
    <row r="43" spans="1:19" x14ac:dyDescent="0.2">
      <c r="A43" s="117" t="s">
        <v>180</v>
      </c>
      <c r="B43" s="113" t="s">
        <v>181</v>
      </c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</row>
    <row r="44" spans="1:19" x14ac:dyDescent="0.2">
      <c r="A44" s="114" t="s">
        <v>182</v>
      </c>
      <c r="B44" s="113" t="s">
        <v>183</v>
      </c>
      <c r="G44" s="114"/>
    </row>
    <row r="45" spans="1:19" x14ac:dyDescent="0.2">
      <c r="A45" s="117" t="s">
        <v>184</v>
      </c>
      <c r="B45" s="113" t="s">
        <v>185</v>
      </c>
      <c r="G45" s="114"/>
    </row>
    <row r="46" spans="1:19" x14ac:dyDescent="0.2">
      <c r="A46" s="112">
        <v>5295400000</v>
      </c>
      <c r="B46" s="113" t="s">
        <v>186</v>
      </c>
      <c r="G46" s="114"/>
    </row>
    <row r="47" spans="1:19" x14ac:dyDescent="0.2">
      <c r="A47" s="112">
        <v>5235500000</v>
      </c>
      <c r="B47" s="113" t="s">
        <v>187</v>
      </c>
    </row>
    <row r="48" spans="1:19" x14ac:dyDescent="0.2">
      <c r="A48" s="117" t="s">
        <v>188</v>
      </c>
      <c r="B48" s="113" t="s">
        <v>189</v>
      </c>
    </row>
    <row r="49" spans="1:5" x14ac:dyDescent="0.2">
      <c r="A49" s="117" t="s">
        <v>190</v>
      </c>
      <c r="B49" s="113" t="s">
        <v>191</v>
      </c>
    </row>
    <row r="50" spans="1:5" x14ac:dyDescent="0.2">
      <c r="A50" s="117" t="s">
        <v>192</v>
      </c>
      <c r="B50" s="113" t="s">
        <v>193</v>
      </c>
    </row>
    <row r="51" spans="1:5" x14ac:dyDescent="0.2">
      <c r="A51" s="118">
        <v>5295950300</v>
      </c>
      <c r="B51" s="113" t="s">
        <v>194</v>
      </c>
    </row>
    <row r="52" spans="1:5" x14ac:dyDescent="0.2">
      <c r="A52" s="117" t="s">
        <v>195</v>
      </c>
      <c r="B52" s="113" t="s">
        <v>196</v>
      </c>
    </row>
    <row r="53" spans="1:5" x14ac:dyDescent="0.2">
      <c r="A53" s="112">
        <v>5240200100</v>
      </c>
      <c r="B53" s="113" t="s">
        <v>197</v>
      </c>
    </row>
    <row r="54" spans="1:5" x14ac:dyDescent="0.2">
      <c r="A54" s="112">
        <v>5235150000</v>
      </c>
      <c r="B54" s="113" t="s">
        <v>198</v>
      </c>
    </row>
    <row r="55" spans="1:5" x14ac:dyDescent="0.2">
      <c r="A55" s="112">
        <v>5235100000</v>
      </c>
      <c r="B55" s="113" t="s">
        <v>199</v>
      </c>
    </row>
    <row r="56" spans="1:5" x14ac:dyDescent="0.2">
      <c r="A56" s="117" t="s">
        <v>200</v>
      </c>
      <c r="B56" s="113" t="s">
        <v>201</v>
      </c>
    </row>
    <row r="57" spans="1:5" x14ac:dyDescent="0.2">
      <c r="A57" s="112">
        <v>5299100000</v>
      </c>
      <c r="B57" s="113" t="s">
        <v>202</v>
      </c>
    </row>
    <row r="58" spans="1:5" x14ac:dyDescent="0.2">
      <c r="A58" s="118" t="s">
        <v>203</v>
      </c>
      <c r="B58" s="119" t="s">
        <v>204</v>
      </c>
    </row>
    <row r="59" spans="1:5" x14ac:dyDescent="0.2">
      <c r="A59" s="117"/>
      <c r="B59" s="119" t="s">
        <v>205</v>
      </c>
      <c r="C59" s="114">
        <f>+Paramet!B4</f>
        <v>202212</v>
      </c>
    </row>
    <row r="60" spans="1:5" x14ac:dyDescent="0.2">
      <c r="A60" s="117" t="s">
        <v>206</v>
      </c>
      <c r="B60" s="113" t="s">
        <v>207</v>
      </c>
      <c r="C60" s="120"/>
      <c r="D60" s="120"/>
      <c r="E60" s="121"/>
    </row>
    <row r="61" spans="1:5" x14ac:dyDescent="0.2">
      <c r="A61" s="114" t="s">
        <v>208</v>
      </c>
      <c r="B61" s="113" t="s">
        <v>209</v>
      </c>
      <c r="C61" s="120"/>
      <c r="D61" s="120"/>
      <c r="E61" s="121"/>
    </row>
    <row r="62" spans="1:5" x14ac:dyDescent="0.2">
      <c r="A62" s="117" t="s">
        <v>210</v>
      </c>
      <c r="B62" s="113" t="s">
        <v>211</v>
      </c>
      <c r="C62" s="120"/>
      <c r="D62" s="120"/>
      <c r="E62" s="121"/>
    </row>
    <row r="63" spans="1:5" x14ac:dyDescent="0.2">
      <c r="A63" s="117" t="s">
        <v>212</v>
      </c>
      <c r="B63" s="113" t="s">
        <v>213</v>
      </c>
      <c r="C63" s="120"/>
      <c r="D63" s="120"/>
      <c r="E63" s="121"/>
    </row>
    <row r="64" spans="1:5" x14ac:dyDescent="0.2">
      <c r="A64" s="117" t="s">
        <v>214</v>
      </c>
      <c r="B64" s="113" t="s">
        <v>215</v>
      </c>
      <c r="C64" s="120"/>
      <c r="D64" s="120"/>
      <c r="E64" s="121"/>
    </row>
    <row r="65" spans="1:5" x14ac:dyDescent="0.2">
      <c r="A65" s="117" t="s">
        <v>216</v>
      </c>
      <c r="B65" s="113" t="s">
        <v>217</v>
      </c>
      <c r="C65" s="120"/>
      <c r="D65" s="120"/>
      <c r="E65" s="121"/>
    </row>
    <row r="66" spans="1:5" x14ac:dyDescent="0.2">
      <c r="A66" s="117" t="s">
        <v>218</v>
      </c>
      <c r="B66" s="113" t="s">
        <v>219</v>
      </c>
      <c r="C66" s="120"/>
      <c r="D66" s="120"/>
      <c r="E66" s="121"/>
    </row>
    <row r="67" spans="1:5" x14ac:dyDescent="0.2">
      <c r="A67" s="117" t="s">
        <v>220</v>
      </c>
      <c r="B67" s="113" t="s">
        <v>221</v>
      </c>
      <c r="C67" s="120"/>
      <c r="D67" s="120"/>
      <c r="E67" s="121"/>
    </row>
    <row r="68" spans="1:5" x14ac:dyDescent="0.2">
      <c r="A68" s="112">
        <v>5265100000</v>
      </c>
      <c r="B68" s="113" t="s">
        <v>222</v>
      </c>
      <c r="C68" s="120"/>
      <c r="D68" s="120"/>
      <c r="E68" s="121"/>
    </row>
    <row r="69" spans="1:5" x14ac:dyDescent="0.2">
      <c r="A69" s="117" t="s">
        <v>223</v>
      </c>
      <c r="B69" s="113" t="s">
        <v>224</v>
      </c>
      <c r="C69" s="120"/>
      <c r="D69" s="120"/>
      <c r="E69" s="121"/>
    </row>
    <row r="70" spans="1:5" x14ac:dyDescent="0.2">
      <c r="A70" s="117" t="s">
        <v>225</v>
      </c>
      <c r="B70" s="113" t="s">
        <v>226</v>
      </c>
      <c r="C70" s="120"/>
      <c r="D70" s="120"/>
      <c r="E70" s="121"/>
    </row>
    <row r="71" spans="1:5" x14ac:dyDescent="0.2">
      <c r="A71" s="117" t="s">
        <v>227</v>
      </c>
      <c r="B71" s="113" t="s">
        <v>228</v>
      </c>
      <c r="C71" s="120"/>
      <c r="D71" s="120"/>
      <c r="E71" s="121"/>
    </row>
    <row r="72" spans="1:5" x14ac:dyDescent="0.2">
      <c r="A72" s="117" t="s">
        <v>229</v>
      </c>
      <c r="B72" s="113" t="s">
        <v>230</v>
      </c>
      <c r="C72" s="120"/>
      <c r="D72" s="120"/>
      <c r="E72" s="121"/>
    </row>
    <row r="73" spans="1:5" x14ac:dyDescent="0.2">
      <c r="A73" s="112" t="s">
        <v>231</v>
      </c>
      <c r="B73" s="113" t="s">
        <v>232</v>
      </c>
      <c r="C73" s="120"/>
      <c r="D73" s="120"/>
      <c r="E73" s="121"/>
    </row>
    <row r="74" spans="1:5" x14ac:dyDescent="0.2">
      <c r="A74" s="117" t="s">
        <v>233</v>
      </c>
      <c r="B74" s="113" t="s">
        <v>234</v>
      </c>
      <c r="C74" s="120"/>
      <c r="D74" s="120"/>
      <c r="E74" s="121"/>
    </row>
    <row r="75" spans="1:5" x14ac:dyDescent="0.2">
      <c r="A75" s="112">
        <v>5265150000</v>
      </c>
      <c r="B75" s="113" t="s">
        <v>235</v>
      </c>
      <c r="C75" s="120"/>
      <c r="D75" s="120"/>
      <c r="E75" s="121"/>
    </row>
    <row r="76" spans="1:5" x14ac:dyDescent="0.2">
      <c r="A76" s="117" t="s">
        <v>236</v>
      </c>
      <c r="B76" s="113" t="s">
        <v>237</v>
      </c>
      <c r="C76" s="120"/>
      <c r="D76" s="120"/>
      <c r="E76" s="121"/>
    </row>
    <row r="77" spans="1:5" x14ac:dyDescent="0.2">
      <c r="A77" s="117" t="s">
        <v>238</v>
      </c>
      <c r="B77" s="113" t="s">
        <v>239</v>
      </c>
      <c r="C77" s="120"/>
      <c r="D77" s="120"/>
      <c r="E77" s="121"/>
    </row>
    <row r="78" spans="1:5" x14ac:dyDescent="0.2">
      <c r="A78" s="117" t="s">
        <v>240</v>
      </c>
      <c r="B78" s="113" t="s">
        <v>241</v>
      </c>
      <c r="C78" s="120"/>
      <c r="D78" s="120"/>
      <c r="E78" s="121"/>
    </row>
    <row r="79" spans="1:5" x14ac:dyDescent="0.2">
      <c r="A79" s="117" t="s">
        <v>242</v>
      </c>
      <c r="B79" s="113" t="s">
        <v>243</v>
      </c>
      <c r="C79" s="120"/>
      <c r="D79" s="120"/>
      <c r="E79" s="121"/>
    </row>
    <row r="80" spans="1:5" x14ac:dyDescent="0.2">
      <c r="A80" s="117" t="s">
        <v>244</v>
      </c>
      <c r="B80" s="113" t="s">
        <v>245</v>
      </c>
      <c r="C80" s="120"/>
      <c r="D80" s="120"/>
      <c r="E80" s="121"/>
    </row>
    <row r="81" spans="1:5" x14ac:dyDescent="0.2">
      <c r="A81" s="117" t="s">
        <v>246</v>
      </c>
      <c r="B81" s="113" t="s">
        <v>247</v>
      </c>
      <c r="C81" s="120"/>
      <c r="D81" s="120"/>
      <c r="E81" s="121"/>
    </row>
    <row r="82" spans="1:5" x14ac:dyDescent="0.2">
      <c r="A82" s="112" t="s">
        <v>248</v>
      </c>
      <c r="B82" s="113" t="s">
        <v>249</v>
      </c>
      <c r="C82" s="120"/>
      <c r="D82" s="120"/>
      <c r="E82" s="121"/>
    </row>
    <row r="83" spans="1:5" x14ac:dyDescent="0.2">
      <c r="A83" s="117" t="s">
        <v>250</v>
      </c>
      <c r="B83" s="113" t="s">
        <v>251</v>
      </c>
      <c r="C83" s="120"/>
      <c r="D83" s="120"/>
      <c r="E83" s="121"/>
    </row>
    <row r="84" spans="1:5" x14ac:dyDescent="0.2">
      <c r="A84" s="117" t="s">
        <v>252</v>
      </c>
      <c r="B84" s="113" t="s">
        <v>253</v>
      </c>
      <c r="C84" s="120"/>
      <c r="D84" s="120"/>
      <c r="E84" s="121"/>
    </row>
    <row r="85" spans="1:5" x14ac:dyDescent="0.2">
      <c r="A85" s="117" t="s">
        <v>254</v>
      </c>
      <c r="B85" s="113" t="s">
        <v>255</v>
      </c>
      <c r="C85" s="120"/>
      <c r="D85" s="120"/>
      <c r="E85" s="121"/>
    </row>
    <row r="86" spans="1:5" x14ac:dyDescent="0.2">
      <c r="A86" s="122" t="s">
        <v>256</v>
      </c>
      <c r="B86" s="113" t="s">
        <v>257</v>
      </c>
      <c r="C86" s="120"/>
      <c r="D86" s="120"/>
      <c r="E86" s="121"/>
    </row>
    <row r="87" spans="1:5" x14ac:dyDescent="0.2">
      <c r="A87" s="117" t="s">
        <v>258</v>
      </c>
      <c r="B87" s="113" t="s">
        <v>259</v>
      </c>
      <c r="C87" s="120"/>
      <c r="D87" s="120"/>
      <c r="E87" s="121"/>
    </row>
    <row r="88" spans="1:5" x14ac:dyDescent="0.2">
      <c r="A88" s="117"/>
      <c r="B88" s="119" t="s">
        <v>260</v>
      </c>
      <c r="C88" s="121"/>
      <c r="D88" s="123"/>
      <c r="E88" s="124"/>
    </row>
    <row r="89" spans="1:5" x14ac:dyDescent="0.2">
      <c r="A89" s="117" t="s">
        <v>261</v>
      </c>
      <c r="B89" s="113" t="s">
        <v>262</v>
      </c>
    </row>
    <row r="90" spans="1:5" x14ac:dyDescent="0.2">
      <c r="A90" s="112">
        <v>5105180100</v>
      </c>
      <c r="B90" s="113" t="s">
        <v>263</v>
      </c>
    </row>
    <row r="91" spans="1:5" x14ac:dyDescent="0.2">
      <c r="A91" s="114" t="s">
        <v>264</v>
      </c>
      <c r="B91" s="113" t="s">
        <v>265</v>
      </c>
    </row>
    <row r="92" spans="1:5" x14ac:dyDescent="0.2">
      <c r="A92" s="112">
        <v>5105480100</v>
      </c>
      <c r="B92" s="113" t="s">
        <v>266</v>
      </c>
    </row>
    <row r="93" spans="1:5" x14ac:dyDescent="0.2">
      <c r="A93" s="117" t="s">
        <v>267</v>
      </c>
      <c r="B93" s="113" t="s">
        <v>268</v>
      </c>
    </row>
    <row r="94" spans="1:5" x14ac:dyDescent="0.2">
      <c r="A94" s="117" t="s">
        <v>269</v>
      </c>
      <c r="B94" s="113" t="s">
        <v>270</v>
      </c>
    </row>
    <row r="95" spans="1:5" x14ac:dyDescent="0.2">
      <c r="A95" s="117"/>
      <c r="B95" s="119" t="s">
        <v>271</v>
      </c>
    </row>
    <row r="96" spans="1:5" x14ac:dyDescent="0.2">
      <c r="A96" s="112">
        <v>5105180000</v>
      </c>
      <c r="B96" s="113" t="s">
        <v>272</v>
      </c>
      <c r="C96" s="120"/>
      <c r="E96" s="121"/>
    </row>
    <row r="97" spans="1:5" x14ac:dyDescent="0.2">
      <c r="A97" s="117" t="s">
        <v>273</v>
      </c>
      <c r="B97" s="113" t="s">
        <v>274</v>
      </c>
      <c r="C97" s="120"/>
      <c r="E97" s="121"/>
    </row>
    <row r="98" spans="1:5" x14ac:dyDescent="0.2">
      <c r="A98" s="117" t="s">
        <v>275</v>
      </c>
      <c r="B98" s="113" t="s">
        <v>276</v>
      </c>
      <c r="C98" s="120"/>
      <c r="E98" s="121"/>
    </row>
    <row r="99" spans="1:5" x14ac:dyDescent="0.2">
      <c r="A99" s="117" t="s">
        <v>277</v>
      </c>
      <c r="B99" s="113" t="s">
        <v>278</v>
      </c>
      <c r="C99" s="120"/>
      <c r="E99" s="121"/>
    </row>
    <row r="100" spans="1:5" x14ac:dyDescent="0.2">
      <c r="A100" s="112" t="s">
        <v>279</v>
      </c>
      <c r="B100" s="113" t="s">
        <v>280</v>
      </c>
      <c r="C100" s="120"/>
      <c r="E100" s="121"/>
    </row>
    <row r="101" spans="1:5" x14ac:dyDescent="0.2">
      <c r="A101" s="117" t="s">
        <v>281</v>
      </c>
      <c r="B101" s="113" t="s">
        <v>282</v>
      </c>
      <c r="C101" s="120"/>
      <c r="E101" s="121"/>
    </row>
    <row r="102" spans="1:5" x14ac:dyDescent="0.2">
      <c r="A102" s="117" t="s">
        <v>283</v>
      </c>
      <c r="B102" s="113" t="s">
        <v>284</v>
      </c>
      <c r="C102" s="120"/>
      <c r="E102" s="121"/>
    </row>
    <row r="103" spans="1:5" x14ac:dyDescent="0.2">
      <c r="A103" s="112" t="s">
        <v>285</v>
      </c>
      <c r="B103" s="113" t="s">
        <v>286</v>
      </c>
      <c r="C103" s="120"/>
      <c r="E103" s="121"/>
    </row>
    <row r="104" spans="1:5" x14ac:dyDescent="0.2">
      <c r="A104" s="112" t="s">
        <v>287</v>
      </c>
      <c r="B104" s="113" t="s">
        <v>288</v>
      </c>
      <c r="C104" s="120"/>
      <c r="E104" s="121"/>
    </row>
    <row r="105" spans="1:5" x14ac:dyDescent="0.2">
      <c r="A105" s="112">
        <v>5120100000</v>
      </c>
      <c r="B105" s="113" t="s">
        <v>289</v>
      </c>
      <c r="C105" s="120"/>
      <c r="E105" s="121"/>
    </row>
    <row r="106" spans="1:5" x14ac:dyDescent="0.2">
      <c r="A106" s="117" t="s">
        <v>290</v>
      </c>
      <c r="B106" s="113" t="s">
        <v>291</v>
      </c>
      <c r="C106" s="120"/>
      <c r="E106" s="121"/>
    </row>
    <row r="107" spans="1:5" x14ac:dyDescent="0.2">
      <c r="A107" s="117" t="s">
        <v>292</v>
      </c>
      <c r="B107" s="113" t="s">
        <v>293</v>
      </c>
      <c r="C107" s="120"/>
      <c r="E107" s="121"/>
    </row>
    <row r="108" spans="1:5" x14ac:dyDescent="0.2">
      <c r="A108" s="117" t="s">
        <v>294</v>
      </c>
      <c r="B108" s="113" t="s">
        <v>295</v>
      </c>
      <c r="C108" s="120"/>
      <c r="E108" s="121"/>
    </row>
    <row r="109" spans="1:5" x14ac:dyDescent="0.2">
      <c r="A109" s="117" t="s">
        <v>296</v>
      </c>
      <c r="B109" s="113" t="s">
        <v>297</v>
      </c>
      <c r="C109" s="120"/>
      <c r="E109" s="121"/>
    </row>
    <row r="110" spans="1:5" x14ac:dyDescent="0.2">
      <c r="A110" s="117" t="s">
        <v>298</v>
      </c>
      <c r="B110" s="113" t="s">
        <v>299</v>
      </c>
      <c r="C110" s="120"/>
      <c r="E110" s="121"/>
    </row>
    <row r="111" spans="1:5" x14ac:dyDescent="0.2">
      <c r="A111" s="117" t="s">
        <v>300</v>
      </c>
      <c r="B111" s="113" t="s">
        <v>301</v>
      </c>
      <c r="C111" s="120"/>
      <c r="E111" s="121"/>
    </row>
    <row r="112" spans="1:5" x14ac:dyDescent="0.2">
      <c r="A112" s="117" t="s">
        <v>302</v>
      </c>
      <c r="B112" s="113" t="s">
        <v>303</v>
      </c>
      <c r="C112" s="120"/>
      <c r="E112" s="121"/>
    </row>
    <row r="113" spans="1:11" x14ac:dyDescent="0.2">
      <c r="A113" s="117" t="s">
        <v>304</v>
      </c>
      <c r="B113" s="113" t="s">
        <v>305</v>
      </c>
      <c r="C113" s="120"/>
      <c r="E113" s="121"/>
    </row>
    <row r="114" spans="1:11" x14ac:dyDescent="0.2">
      <c r="A114" s="117" t="s">
        <v>306</v>
      </c>
      <c r="B114" s="113" t="s">
        <v>307</v>
      </c>
      <c r="C114" s="120"/>
      <c r="E114" s="121"/>
    </row>
    <row r="115" spans="1:11" x14ac:dyDescent="0.2">
      <c r="A115" s="117" t="s">
        <v>308</v>
      </c>
      <c r="B115" s="113" t="s">
        <v>309</v>
      </c>
      <c r="C115" s="120"/>
      <c r="E115" s="121"/>
    </row>
    <row r="116" spans="1:11" x14ac:dyDescent="0.2">
      <c r="A116" s="112" t="s">
        <v>310</v>
      </c>
      <c r="B116" s="113" t="s">
        <v>311</v>
      </c>
      <c r="C116" s="120"/>
      <c r="E116" s="121"/>
    </row>
    <row r="117" spans="1:11" x14ac:dyDescent="0.2">
      <c r="A117" s="117" t="s">
        <v>312</v>
      </c>
      <c r="B117" s="113" t="s">
        <v>313</v>
      </c>
      <c r="C117" s="120"/>
      <c r="E117" s="121"/>
    </row>
    <row r="118" spans="1:11" x14ac:dyDescent="0.2">
      <c r="A118" s="117" t="s">
        <v>314</v>
      </c>
      <c r="B118" s="113" t="s">
        <v>315</v>
      </c>
      <c r="C118" s="120"/>
      <c r="E118" s="121"/>
    </row>
    <row r="119" spans="1:11" x14ac:dyDescent="0.2">
      <c r="A119" s="117" t="s">
        <v>316</v>
      </c>
      <c r="B119" s="113" t="s">
        <v>317</v>
      </c>
      <c r="C119" s="120"/>
      <c r="E119" s="121"/>
    </row>
    <row r="120" spans="1:11" x14ac:dyDescent="0.2">
      <c r="A120" s="117" t="s">
        <v>318</v>
      </c>
      <c r="B120" s="113" t="s">
        <v>319</v>
      </c>
      <c r="C120" s="120"/>
      <c r="E120" s="121"/>
    </row>
    <row r="121" spans="1:11" x14ac:dyDescent="0.2">
      <c r="A121" s="112" t="s">
        <v>320</v>
      </c>
      <c r="B121" s="113" t="s">
        <v>321</v>
      </c>
      <c r="C121" s="120"/>
      <c r="E121" s="121"/>
    </row>
    <row r="122" spans="1:11" x14ac:dyDescent="0.2">
      <c r="A122" s="117" t="s">
        <v>322</v>
      </c>
      <c r="B122" s="113" t="s">
        <v>323</v>
      </c>
      <c r="C122" s="120"/>
      <c r="E122" s="121"/>
    </row>
    <row r="123" spans="1:11" x14ac:dyDescent="0.2">
      <c r="A123" s="117" t="s">
        <v>324</v>
      </c>
      <c r="B123" s="113" t="s">
        <v>325</v>
      </c>
      <c r="C123" s="120"/>
      <c r="E123" s="121"/>
    </row>
    <row r="124" spans="1:11" x14ac:dyDescent="0.2">
      <c r="A124" s="117" t="s">
        <v>326</v>
      </c>
      <c r="B124" s="113" t="s">
        <v>327</v>
      </c>
      <c r="C124" s="120"/>
      <c r="E124" s="121"/>
    </row>
    <row r="125" spans="1:11" x14ac:dyDescent="0.2">
      <c r="A125" s="117" t="s">
        <v>328</v>
      </c>
      <c r="B125" s="113" t="s">
        <v>329</v>
      </c>
      <c r="C125" s="120"/>
      <c r="E125" s="121"/>
    </row>
    <row r="126" spans="1:11" x14ac:dyDescent="0.2">
      <c r="A126" s="117" t="s">
        <v>330</v>
      </c>
      <c r="B126" s="113" t="s">
        <v>331</v>
      </c>
      <c r="C126" s="120"/>
      <c r="E126" s="114" t="s">
        <v>332</v>
      </c>
      <c r="G126" s="114"/>
      <c r="H126" s="114"/>
      <c r="I126" s="114"/>
      <c r="J126" s="114"/>
      <c r="K126" s="114"/>
    </row>
    <row r="127" spans="1:11" x14ac:dyDescent="0.2">
      <c r="A127" s="117"/>
      <c r="B127" s="119" t="s">
        <v>333</v>
      </c>
      <c r="C127" s="121"/>
      <c r="D127" s="121"/>
      <c r="E127" s="114" t="s">
        <v>334</v>
      </c>
      <c r="F127" s="114" t="s">
        <v>335</v>
      </c>
      <c r="G127" s="114" t="s">
        <v>113</v>
      </c>
      <c r="H127" s="114"/>
      <c r="I127" s="114"/>
      <c r="J127" s="114"/>
      <c r="K127" s="114"/>
    </row>
    <row r="128" spans="1:11" x14ac:dyDescent="0.2">
      <c r="A128" s="117" t="s">
        <v>336</v>
      </c>
      <c r="B128" s="113" t="s">
        <v>337</v>
      </c>
      <c r="E128" s="114" t="s">
        <v>338</v>
      </c>
      <c r="F128" s="114" t="s">
        <v>339</v>
      </c>
      <c r="G128" s="125">
        <v>-2083333</v>
      </c>
      <c r="H128" s="114"/>
      <c r="I128" s="114"/>
      <c r="J128" s="114"/>
      <c r="K128" s="114"/>
    </row>
    <row r="129" spans="1:11" x14ac:dyDescent="0.2">
      <c r="A129" s="117" t="s">
        <v>340</v>
      </c>
      <c r="B129" s="113" t="s">
        <v>341</v>
      </c>
      <c r="E129" s="114" t="s">
        <v>342</v>
      </c>
      <c r="G129" s="125">
        <v>-2083333</v>
      </c>
      <c r="H129" s="114"/>
      <c r="I129" s="114"/>
      <c r="J129" s="114"/>
      <c r="K129" s="114"/>
    </row>
    <row r="130" spans="1:11" x14ac:dyDescent="0.2">
      <c r="A130" s="112">
        <v>5110358000</v>
      </c>
      <c r="B130" s="113" t="s">
        <v>343</v>
      </c>
      <c r="G130" s="114"/>
      <c r="H130" s="114"/>
      <c r="I130" s="114"/>
      <c r="J130" s="114"/>
      <c r="K130" s="114"/>
    </row>
    <row r="131" spans="1:11" x14ac:dyDescent="0.2">
      <c r="A131" s="117"/>
      <c r="B131" s="119" t="s">
        <v>344</v>
      </c>
      <c r="G131" s="114"/>
      <c r="H131" s="114"/>
      <c r="I131" s="114"/>
      <c r="J131" s="114"/>
      <c r="K131" s="114"/>
    </row>
    <row r="132" spans="1:11" x14ac:dyDescent="0.2">
      <c r="A132" s="117" t="s">
        <v>345</v>
      </c>
      <c r="B132" s="113" t="s">
        <v>346</v>
      </c>
      <c r="G132" s="114"/>
      <c r="H132" s="114"/>
      <c r="I132" s="114"/>
      <c r="J132" s="114"/>
      <c r="K132" s="114"/>
    </row>
    <row r="133" spans="1:11" x14ac:dyDescent="0.2">
      <c r="A133" s="117" t="s">
        <v>347</v>
      </c>
      <c r="B133" s="113" t="s">
        <v>348</v>
      </c>
      <c r="G133" s="114"/>
      <c r="H133" s="114"/>
      <c r="I133" s="114"/>
      <c r="J133" s="114"/>
      <c r="K133" s="114"/>
    </row>
    <row r="134" spans="1:11" x14ac:dyDescent="0.2">
      <c r="A134" s="117" t="s">
        <v>349</v>
      </c>
      <c r="B134" s="113" t="s">
        <v>350</v>
      </c>
      <c r="G134" s="114"/>
      <c r="H134" s="114"/>
      <c r="I134" s="114"/>
      <c r="J134" s="114"/>
      <c r="K134" s="114"/>
    </row>
    <row r="135" spans="1:11" x14ac:dyDescent="0.2">
      <c r="A135" s="117" t="s">
        <v>351</v>
      </c>
      <c r="B135" s="113" t="s">
        <v>352</v>
      </c>
      <c r="G135" s="114"/>
      <c r="H135" s="114"/>
      <c r="I135" s="114"/>
      <c r="J135" s="114"/>
      <c r="K135" s="114"/>
    </row>
    <row r="136" spans="1:11" x14ac:dyDescent="0.2">
      <c r="G136" s="114"/>
      <c r="H136" s="114"/>
      <c r="I136" s="114"/>
      <c r="J136" s="114"/>
      <c r="K136" s="114"/>
    </row>
    <row r="137" spans="1:11" x14ac:dyDescent="0.2">
      <c r="A137" s="117"/>
      <c r="B137" s="119" t="s">
        <v>353</v>
      </c>
      <c r="G137" s="114"/>
      <c r="H137" s="114"/>
      <c r="I137" s="114"/>
      <c r="J137" s="114"/>
      <c r="K137" s="114"/>
    </row>
    <row r="138" spans="1:11" x14ac:dyDescent="0.2">
      <c r="A138" s="117" t="s">
        <v>354</v>
      </c>
      <c r="B138" s="113" t="s">
        <v>355</v>
      </c>
      <c r="G138" s="114"/>
      <c r="H138" s="114"/>
      <c r="I138" s="114"/>
      <c r="J138" s="114"/>
      <c r="K138" s="114"/>
    </row>
    <row r="139" spans="1:11" x14ac:dyDescent="0.2">
      <c r="A139" s="117" t="s">
        <v>356</v>
      </c>
      <c r="B139" s="113" t="s">
        <v>357</v>
      </c>
      <c r="G139" s="114"/>
      <c r="H139" s="114"/>
      <c r="I139" s="114"/>
      <c r="J139" s="114"/>
      <c r="K139" s="114"/>
    </row>
    <row r="140" spans="1:11" x14ac:dyDescent="0.2">
      <c r="A140" s="117" t="s">
        <v>358</v>
      </c>
      <c r="B140" s="113" t="s">
        <v>359</v>
      </c>
      <c r="G140" s="114"/>
      <c r="H140" s="114"/>
      <c r="I140" s="114"/>
      <c r="J140" s="114"/>
      <c r="K140" s="114"/>
    </row>
    <row r="141" spans="1:11" x14ac:dyDescent="0.2">
      <c r="A141" s="126" t="s">
        <v>360</v>
      </c>
      <c r="B141" s="113" t="s">
        <v>361</v>
      </c>
      <c r="G141" s="114"/>
    </row>
    <row r="142" spans="1:11" x14ac:dyDescent="0.2">
      <c r="A142" s="126"/>
      <c r="B142" s="119" t="s">
        <v>362</v>
      </c>
      <c r="G142" s="114"/>
    </row>
    <row r="143" spans="1:11" x14ac:dyDescent="0.2">
      <c r="A143" s="117" t="s">
        <v>363</v>
      </c>
      <c r="B143" s="113" t="s">
        <v>364</v>
      </c>
      <c r="G143" s="114"/>
    </row>
    <row r="144" spans="1:11" x14ac:dyDescent="0.2">
      <c r="A144" s="117"/>
      <c r="B144" s="119" t="s">
        <v>365</v>
      </c>
      <c r="G144" s="114"/>
    </row>
    <row r="145" spans="1:7" x14ac:dyDescent="0.2">
      <c r="A145" s="117"/>
      <c r="B145" s="119" t="s">
        <v>366</v>
      </c>
      <c r="G145" s="114"/>
    </row>
    <row r="146" spans="1:7" x14ac:dyDescent="0.2">
      <c r="A146" s="117"/>
      <c r="B146" s="119" t="s">
        <v>367</v>
      </c>
      <c r="G146" s="114"/>
    </row>
    <row r="147" spans="1:7" x14ac:dyDescent="0.2">
      <c r="A147" s="117" t="s">
        <v>368</v>
      </c>
      <c r="B147" s="113" t="s">
        <v>369</v>
      </c>
      <c r="G147" s="114"/>
    </row>
    <row r="148" spans="1:7" x14ac:dyDescent="0.2">
      <c r="G148" s="114"/>
    </row>
    <row r="149" spans="1:7" x14ac:dyDescent="0.2">
      <c r="G149" s="114"/>
    </row>
    <row r="150" spans="1:7" x14ac:dyDescent="0.2">
      <c r="B150" s="114" t="s">
        <v>370</v>
      </c>
    </row>
    <row r="151" spans="1:7" x14ac:dyDescent="0.2">
      <c r="A151" s="117" t="s">
        <v>180</v>
      </c>
      <c r="B151" s="113" t="s">
        <v>181</v>
      </c>
    </row>
    <row r="152" spans="1:7" x14ac:dyDescent="0.2">
      <c r="A152" s="114" t="s">
        <v>182</v>
      </c>
      <c r="B152" s="113" t="s">
        <v>183</v>
      </c>
    </row>
    <row r="153" spans="1:7" x14ac:dyDescent="0.2">
      <c r="A153" s="117" t="s">
        <v>206</v>
      </c>
      <c r="B153" s="113" t="s">
        <v>207</v>
      </c>
    </row>
    <row r="154" spans="1:7" x14ac:dyDescent="0.2">
      <c r="A154" s="114" t="s">
        <v>208</v>
      </c>
      <c r="B154" s="113" t="s">
        <v>209</v>
      </c>
    </row>
    <row r="155" spans="1:7" x14ac:dyDescent="0.2">
      <c r="A155" s="117" t="s">
        <v>261</v>
      </c>
      <c r="B155" s="113" t="s">
        <v>262</v>
      </c>
    </row>
    <row r="156" spans="1:7" x14ac:dyDescent="0.2">
      <c r="A156" s="112">
        <v>5105180100</v>
      </c>
      <c r="B156" s="113" t="s">
        <v>263</v>
      </c>
    </row>
    <row r="157" spans="1:7" x14ac:dyDescent="0.2">
      <c r="A157" s="114" t="s">
        <v>264</v>
      </c>
      <c r="B157" s="113" t="s">
        <v>265</v>
      </c>
    </row>
    <row r="158" spans="1:7" x14ac:dyDescent="0.2">
      <c r="A158" s="112">
        <v>5105180000</v>
      </c>
      <c r="B158" s="113" t="s">
        <v>272</v>
      </c>
    </row>
    <row r="159" spans="1:7" x14ac:dyDescent="0.2">
      <c r="A159" s="117" t="s">
        <v>273</v>
      </c>
      <c r="B159" s="113" t="s">
        <v>274</v>
      </c>
    </row>
    <row r="160" spans="1:7" x14ac:dyDescent="0.2">
      <c r="A160" s="117" t="s">
        <v>275</v>
      </c>
      <c r="B160" s="113" t="s">
        <v>276</v>
      </c>
    </row>
    <row r="161" spans="1:5" x14ac:dyDescent="0.2">
      <c r="A161" s="117" t="s">
        <v>277</v>
      </c>
      <c r="B161" s="113" t="s">
        <v>278</v>
      </c>
    </row>
    <row r="164" spans="1:5" x14ac:dyDescent="0.2">
      <c r="B164" s="114" t="s">
        <v>371</v>
      </c>
    </row>
    <row r="165" spans="1:5" x14ac:dyDescent="0.2">
      <c r="A165" s="114" t="s">
        <v>188</v>
      </c>
      <c r="B165" s="114" t="s">
        <v>189</v>
      </c>
    </row>
    <row r="166" spans="1:5" x14ac:dyDescent="0.2">
      <c r="A166" s="114" t="s">
        <v>267</v>
      </c>
      <c r="B166" s="114" t="s">
        <v>268</v>
      </c>
    </row>
    <row r="167" spans="1:5" x14ac:dyDescent="0.2">
      <c r="A167" s="114" t="s">
        <v>269</v>
      </c>
      <c r="B167" s="114" t="s">
        <v>270</v>
      </c>
    </row>
    <row r="173" spans="1:5" x14ac:dyDescent="0.2">
      <c r="A173" s="127" t="s">
        <v>372</v>
      </c>
    </row>
    <row r="174" spans="1:5" x14ac:dyDescent="0.2">
      <c r="A174" s="115" t="s">
        <v>373</v>
      </c>
      <c r="E174" s="114" t="s">
        <v>374</v>
      </c>
    </row>
    <row r="175" spans="1:5" x14ac:dyDescent="0.2">
      <c r="A175" s="114" t="s">
        <v>375</v>
      </c>
      <c r="B175" s="114" t="s">
        <v>376</v>
      </c>
    </row>
    <row r="176" spans="1:5" x14ac:dyDescent="0.2">
      <c r="A176" s="114">
        <v>4155950000</v>
      </c>
      <c r="B176" s="114" t="s">
        <v>377</v>
      </c>
    </row>
    <row r="177" spans="1:5" x14ac:dyDescent="0.2">
      <c r="A177" s="114">
        <v>4155950100</v>
      </c>
      <c r="B177" s="114" t="s">
        <v>378</v>
      </c>
    </row>
    <row r="178" spans="1:5" x14ac:dyDescent="0.2">
      <c r="A178" s="114">
        <v>4155951500</v>
      </c>
      <c r="B178" s="114" t="s">
        <v>379</v>
      </c>
    </row>
    <row r="179" spans="1:5" x14ac:dyDescent="0.2">
      <c r="A179" s="114">
        <v>4135950900</v>
      </c>
      <c r="B179" s="114" t="s">
        <v>380</v>
      </c>
    </row>
    <row r="180" spans="1:5" x14ac:dyDescent="0.2">
      <c r="A180" s="114">
        <v>4135950000</v>
      </c>
      <c r="B180" s="114" t="s">
        <v>381</v>
      </c>
      <c r="E180" s="114">
        <v>4135950000</v>
      </c>
    </row>
    <row r="181" spans="1:5" x14ac:dyDescent="0.2">
      <c r="A181" s="114">
        <v>4155950500</v>
      </c>
      <c r="B181" s="114" t="s">
        <v>381</v>
      </c>
    </row>
    <row r="182" spans="1:5" x14ac:dyDescent="0.2">
      <c r="A182" s="114">
        <v>4170250300</v>
      </c>
      <c r="B182" s="114" t="s">
        <v>381</v>
      </c>
    </row>
    <row r="183" spans="1:5" x14ac:dyDescent="0.2">
      <c r="A183" s="114" t="s">
        <v>382</v>
      </c>
      <c r="B183" s="114" t="s">
        <v>383</v>
      </c>
    </row>
    <row r="184" spans="1:5" x14ac:dyDescent="0.2">
      <c r="A184" s="114">
        <v>6135950000</v>
      </c>
      <c r="B184" s="114" t="s">
        <v>384</v>
      </c>
    </row>
    <row r="186" spans="1:5" x14ac:dyDescent="0.2">
      <c r="B186" s="114" t="s">
        <v>385</v>
      </c>
    </row>
    <row r="187" spans="1:5" x14ac:dyDescent="0.2">
      <c r="A187" s="114">
        <v>5205180100</v>
      </c>
      <c r="B187" s="114" t="s">
        <v>386</v>
      </c>
      <c r="C187" s="114" t="s">
        <v>387</v>
      </c>
    </row>
    <row r="188" spans="1:5" x14ac:dyDescent="0.2">
      <c r="A188" s="114">
        <v>5205361000</v>
      </c>
      <c r="B188" s="114" t="s">
        <v>388</v>
      </c>
      <c r="C188" s="114" t="s">
        <v>389</v>
      </c>
      <c r="D188" s="114" t="s">
        <v>113</v>
      </c>
    </row>
    <row r="189" spans="1:5" x14ac:dyDescent="0.2">
      <c r="A189" s="114">
        <v>5205391000</v>
      </c>
      <c r="B189" s="114" t="s">
        <v>388</v>
      </c>
      <c r="C189" s="114" t="s">
        <v>390</v>
      </c>
      <c r="D189" s="114">
        <v>4638.9799999999996</v>
      </c>
    </row>
    <row r="190" spans="1:5" x14ac:dyDescent="0.2">
      <c r="A190" s="114">
        <v>5205422000</v>
      </c>
      <c r="B190" s="114" t="s">
        <v>388</v>
      </c>
      <c r="C190" s="114" t="s">
        <v>391</v>
      </c>
      <c r="D190" s="114">
        <v>1230.26</v>
      </c>
    </row>
    <row r="191" spans="1:5" x14ac:dyDescent="0.2">
      <c r="A191" s="114">
        <v>5205691000</v>
      </c>
      <c r="B191" s="114" t="s">
        <v>388</v>
      </c>
      <c r="C191" s="114" t="s">
        <v>392</v>
      </c>
      <c r="D191" s="114">
        <v>307.56</v>
      </c>
    </row>
    <row r="192" spans="1:5" x14ac:dyDescent="0.2">
      <c r="A192" s="114">
        <v>5205701000</v>
      </c>
      <c r="B192" s="114" t="s">
        <v>388</v>
      </c>
      <c r="C192" s="114" t="s">
        <v>393</v>
      </c>
      <c r="D192" s="114">
        <v>896.8</v>
      </c>
    </row>
    <row r="193" spans="1:4" x14ac:dyDescent="0.2">
      <c r="A193" s="114">
        <v>5160200000</v>
      </c>
      <c r="B193" s="114" t="s">
        <v>394</v>
      </c>
      <c r="C193" s="114" t="s">
        <v>395</v>
      </c>
      <c r="D193" s="114">
        <v>604.20000000000005</v>
      </c>
    </row>
    <row r="194" spans="1:4" x14ac:dyDescent="0.2">
      <c r="A194" s="114">
        <v>5260100000</v>
      </c>
      <c r="B194" s="114" t="s">
        <v>394</v>
      </c>
      <c r="C194" s="114" t="s">
        <v>396</v>
      </c>
      <c r="D194" s="114">
        <v>27.16</v>
      </c>
    </row>
    <row r="195" spans="1:4" x14ac:dyDescent="0.2">
      <c r="A195" s="114">
        <v>5260200000</v>
      </c>
      <c r="B195" s="114" t="s">
        <v>394</v>
      </c>
      <c r="C195" s="114" t="s">
        <v>342</v>
      </c>
      <c r="D195" s="114">
        <v>7704.96</v>
      </c>
    </row>
    <row r="196" spans="1:4" x14ac:dyDescent="0.2">
      <c r="A196" s="114">
        <v>5260150000</v>
      </c>
      <c r="B196" s="114" t="s">
        <v>394</v>
      </c>
    </row>
    <row r="197" spans="1:4" x14ac:dyDescent="0.2">
      <c r="A197" s="114">
        <v>5260350000</v>
      </c>
      <c r="B197" s="114" t="s">
        <v>394</v>
      </c>
    </row>
    <row r="198" spans="1:4" x14ac:dyDescent="0.2">
      <c r="A198" s="114">
        <v>5160150000</v>
      </c>
      <c r="B198" s="114" t="s">
        <v>397</v>
      </c>
    </row>
    <row r="199" spans="1:4" x14ac:dyDescent="0.2">
      <c r="A199" s="114">
        <v>5145150100</v>
      </c>
      <c r="B199" s="114" t="s">
        <v>398</v>
      </c>
    </row>
    <row r="200" spans="1:4" x14ac:dyDescent="0.2">
      <c r="A200" s="114">
        <v>5235300000</v>
      </c>
      <c r="B200" s="114" t="s">
        <v>398</v>
      </c>
    </row>
    <row r="201" spans="1:4" x14ac:dyDescent="0.2">
      <c r="A201" s="114">
        <v>5245100000</v>
      </c>
      <c r="B201" s="114" t="s">
        <v>398</v>
      </c>
    </row>
    <row r="202" spans="1:4" x14ac:dyDescent="0.2">
      <c r="A202" s="114">
        <v>5245150000</v>
      </c>
      <c r="B202" s="114" t="s">
        <v>398</v>
      </c>
    </row>
    <row r="203" spans="1:4" x14ac:dyDescent="0.2">
      <c r="A203" s="114">
        <v>5245150100</v>
      </c>
      <c r="B203" s="114" t="s">
        <v>398</v>
      </c>
    </row>
    <row r="204" spans="1:4" x14ac:dyDescent="0.2">
      <c r="A204" s="114">
        <v>5245200000</v>
      </c>
      <c r="B204" s="114" t="s">
        <v>398</v>
      </c>
    </row>
    <row r="205" spans="1:4" x14ac:dyDescent="0.2">
      <c r="A205" s="114">
        <v>5245250000</v>
      </c>
      <c r="B205" s="114" t="s">
        <v>398</v>
      </c>
    </row>
    <row r="206" spans="1:4" x14ac:dyDescent="0.2">
      <c r="A206" s="114">
        <v>5250050000</v>
      </c>
      <c r="B206" s="114" t="s">
        <v>398</v>
      </c>
    </row>
    <row r="207" spans="1:4" x14ac:dyDescent="0.2">
      <c r="A207" s="114">
        <v>5250100000</v>
      </c>
      <c r="B207" s="114" t="s">
        <v>398</v>
      </c>
    </row>
    <row r="208" spans="1:4" x14ac:dyDescent="0.2">
      <c r="A208" s="114">
        <v>5250950000</v>
      </c>
      <c r="B208" s="114" t="s">
        <v>398</v>
      </c>
    </row>
    <row r="209" spans="1:2" x14ac:dyDescent="0.2">
      <c r="A209" s="114">
        <v>5295250000</v>
      </c>
      <c r="B209" s="114" t="s">
        <v>398</v>
      </c>
    </row>
    <row r="210" spans="1:2" x14ac:dyDescent="0.2">
      <c r="A210" s="114">
        <v>5295950300</v>
      </c>
      <c r="B210" s="114" t="s">
        <v>398</v>
      </c>
    </row>
    <row r="211" spans="1:2" x14ac:dyDescent="0.2">
      <c r="A211" s="114">
        <v>5235050000</v>
      </c>
      <c r="B211" s="114" t="s">
        <v>399</v>
      </c>
    </row>
    <row r="212" spans="1:2" x14ac:dyDescent="0.2">
      <c r="A212" s="114">
        <v>5235200000</v>
      </c>
      <c r="B212" s="114" t="s">
        <v>399</v>
      </c>
    </row>
    <row r="213" spans="1:2" x14ac:dyDescent="0.2">
      <c r="A213" s="114">
        <v>5235950100</v>
      </c>
      <c r="B213" s="114" t="s">
        <v>399</v>
      </c>
    </row>
    <row r="214" spans="1:2" x14ac:dyDescent="0.2">
      <c r="A214" s="114">
        <v>5235950400</v>
      </c>
      <c r="B214" s="114" t="s">
        <v>399</v>
      </c>
    </row>
    <row r="215" spans="1:2" x14ac:dyDescent="0.2">
      <c r="A215" s="114">
        <v>5235950500</v>
      </c>
      <c r="B215" s="114" t="s">
        <v>399</v>
      </c>
    </row>
    <row r="216" spans="1:2" x14ac:dyDescent="0.2">
      <c r="A216" s="114">
        <v>5235950600</v>
      </c>
      <c r="B216" s="114" t="s">
        <v>399</v>
      </c>
    </row>
    <row r="217" spans="1:2" x14ac:dyDescent="0.2">
      <c r="A217" s="114">
        <v>5235950600</v>
      </c>
      <c r="B217" s="114" t="s">
        <v>399</v>
      </c>
    </row>
    <row r="218" spans="1:2" x14ac:dyDescent="0.2">
      <c r="A218" s="114">
        <v>5235950600</v>
      </c>
      <c r="B218" s="114" t="s">
        <v>399</v>
      </c>
    </row>
    <row r="219" spans="1:2" x14ac:dyDescent="0.2">
      <c r="A219" s="114">
        <v>5295950500</v>
      </c>
      <c r="B219" s="114" t="s">
        <v>399</v>
      </c>
    </row>
    <row r="220" spans="1:2" x14ac:dyDescent="0.2">
      <c r="A220" s="114">
        <v>5295950100</v>
      </c>
      <c r="B220" s="114" t="s">
        <v>400</v>
      </c>
    </row>
    <row r="221" spans="1:2" x14ac:dyDescent="0.2">
      <c r="A221" s="114">
        <v>5299100000</v>
      </c>
      <c r="B221" s="114" t="s">
        <v>401</v>
      </c>
    </row>
    <row r="222" spans="1:2" x14ac:dyDescent="0.2">
      <c r="A222" s="114">
        <v>5160100000</v>
      </c>
      <c r="B222" s="114" t="s">
        <v>402</v>
      </c>
    </row>
    <row r="223" spans="1:2" x14ac:dyDescent="0.2">
      <c r="B223" s="114" t="s">
        <v>403</v>
      </c>
    </row>
    <row r="224" spans="1:2" x14ac:dyDescent="0.2">
      <c r="A224" s="114">
        <v>5205630100</v>
      </c>
      <c r="B224" s="114" t="s">
        <v>404</v>
      </c>
    </row>
    <row r="225" spans="1:2" x14ac:dyDescent="0.2">
      <c r="A225" s="114">
        <v>5205630200</v>
      </c>
      <c r="B225" s="114" t="s">
        <v>404</v>
      </c>
    </row>
    <row r="226" spans="1:2" x14ac:dyDescent="0.2">
      <c r="A226" s="114">
        <v>5205060100</v>
      </c>
      <c r="B226" s="114" t="s">
        <v>405</v>
      </c>
    </row>
    <row r="227" spans="1:2" x14ac:dyDescent="0.2">
      <c r="A227" s="114">
        <v>5205150100</v>
      </c>
      <c r="B227" s="114" t="s">
        <v>405</v>
      </c>
    </row>
    <row r="228" spans="1:2" x14ac:dyDescent="0.2">
      <c r="A228" s="114">
        <v>5205360100</v>
      </c>
      <c r="B228" s="114" t="s">
        <v>406</v>
      </c>
    </row>
    <row r="229" spans="1:2" x14ac:dyDescent="0.2">
      <c r="A229" s="114">
        <v>5205390100</v>
      </c>
      <c r="B229" s="114" t="s">
        <v>406</v>
      </c>
    </row>
    <row r="230" spans="1:2" x14ac:dyDescent="0.2">
      <c r="A230" s="114">
        <v>5205600100</v>
      </c>
      <c r="B230" s="114" t="s">
        <v>406</v>
      </c>
    </row>
    <row r="231" spans="1:2" x14ac:dyDescent="0.2">
      <c r="A231" s="114">
        <v>5205690100</v>
      </c>
      <c r="B231" s="114" t="s">
        <v>406</v>
      </c>
    </row>
    <row r="232" spans="1:2" x14ac:dyDescent="0.2">
      <c r="A232" s="114">
        <v>5205700100</v>
      </c>
      <c r="B232" s="114" t="s">
        <v>406</v>
      </c>
    </row>
    <row r="233" spans="1:2" x14ac:dyDescent="0.2">
      <c r="A233" s="114">
        <v>5205700100</v>
      </c>
      <c r="B233" s="114" t="s">
        <v>406</v>
      </c>
    </row>
    <row r="234" spans="1:2" x14ac:dyDescent="0.2">
      <c r="A234" s="114">
        <v>5205700200</v>
      </c>
      <c r="B234" s="114" t="s">
        <v>406</v>
      </c>
    </row>
    <row r="235" spans="1:2" x14ac:dyDescent="0.2">
      <c r="A235" s="114">
        <v>5205780100</v>
      </c>
      <c r="B235" s="114" t="s">
        <v>406</v>
      </c>
    </row>
    <row r="236" spans="1:2" x14ac:dyDescent="0.2">
      <c r="A236" s="114">
        <v>5205660100</v>
      </c>
      <c r="B236" s="114" t="s">
        <v>407</v>
      </c>
    </row>
    <row r="237" spans="1:2" x14ac:dyDescent="0.2">
      <c r="A237" s="114">
        <v>5210250000</v>
      </c>
      <c r="B237" s="114" t="s">
        <v>408</v>
      </c>
    </row>
    <row r="238" spans="1:2" x14ac:dyDescent="0.2">
      <c r="A238" s="114">
        <v>5210350000</v>
      </c>
      <c r="B238" s="114" t="s">
        <v>408</v>
      </c>
    </row>
    <row r="239" spans="1:2" x14ac:dyDescent="0.2">
      <c r="A239" s="114">
        <v>5210950000</v>
      </c>
      <c r="B239" s="114" t="s">
        <v>408</v>
      </c>
    </row>
    <row r="240" spans="1:2" x14ac:dyDescent="0.2">
      <c r="A240" s="114">
        <v>5115950000</v>
      </c>
      <c r="B240" s="114" t="s">
        <v>409</v>
      </c>
    </row>
    <row r="241" spans="1:2" x14ac:dyDescent="0.2">
      <c r="A241" s="114">
        <v>5215100000</v>
      </c>
      <c r="B241" s="114" t="s">
        <v>409</v>
      </c>
    </row>
    <row r="242" spans="1:2" x14ac:dyDescent="0.2">
      <c r="A242" s="114">
        <v>5215950000</v>
      </c>
      <c r="B242" s="114" t="s">
        <v>409</v>
      </c>
    </row>
    <row r="243" spans="1:2" x14ac:dyDescent="0.2">
      <c r="A243" s="114">
        <v>5240100000</v>
      </c>
      <c r="B243" s="114" t="s">
        <v>409</v>
      </c>
    </row>
    <row r="244" spans="1:2" x14ac:dyDescent="0.2">
      <c r="A244" s="114">
        <v>5240150000</v>
      </c>
      <c r="B244" s="114" t="s">
        <v>409</v>
      </c>
    </row>
    <row r="245" spans="1:2" x14ac:dyDescent="0.2">
      <c r="A245" s="114">
        <v>5245400000</v>
      </c>
      <c r="B245" s="114" t="s">
        <v>410</v>
      </c>
    </row>
    <row r="246" spans="1:2" x14ac:dyDescent="0.2">
      <c r="A246" s="114">
        <v>5295350000</v>
      </c>
      <c r="B246" s="114" t="s">
        <v>410</v>
      </c>
    </row>
    <row r="247" spans="1:2" x14ac:dyDescent="0.2">
      <c r="A247" s="114">
        <v>5295100000</v>
      </c>
      <c r="B247" s="114" t="s">
        <v>411</v>
      </c>
    </row>
    <row r="248" spans="1:2" x14ac:dyDescent="0.2">
      <c r="A248" s="114">
        <v>5295300000</v>
      </c>
      <c r="B248" s="114" t="s">
        <v>411</v>
      </c>
    </row>
    <row r="249" spans="1:2" x14ac:dyDescent="0.2">
      <c r="A249" s="114">
        <v>5235600000</v>
      </c>
      <c r="B249" s="114" t="s">
        <v>412</v>
      </c>
    </row>
    <row r="250" spans="1:2" x14ac:dyDescent="0.2">
      <c r="A250" s="114">
        <v>5235350000</v>
      </c>
      <c r="B250" s="114" t="s">
        <v>413</v>
      </c>
    </row>
    <row r="251" spans="1:2" x14ac:dyDescent="0.2">
      <c r="A251" s="114">
        <v>5235400100</v>
      </c>
      <c r="B251" s="114" t="s">
        <v>413</v>
      </c>
    </row>
    <row r="252" spans="1:2" x14ac:dyDescent="0.2">
      <c r="A252" s="114">
        <v>5235400200</v>
      </c>
      <c r="B252" s="114" t="s">
        <v>413</v>
      </c>
    </row>
    <row r="253" spans="1:2" x14ac:dyDescent="0.2">
      <c r="A253" s="114">
        <v>5235450000</v>
      </c>
      <c r="B253" s="114" t="s">
        <v>413</v>
      </c>
    </row>
    <row r="254" spans="1:2" x14ac:dyDescent="0.2">
      <c r="A254" s="114">
        <v>5230250000</v>
      </c>
      <c r="B254" s="114" t="s">
        <v>414</v>
      </c>
    </row>
    <row r="255" spans="1:2" x14ac:dyDescent="0.2">
      <c r="A255" s="114">
        <v>5230950000</v>
      </c>
      <c r="B255" s="114" t="s">
        <v>414</v>
      </c>
    </row>
    <row r="256" spans="1:2" x14ac:dyDescent="0.2">
      <c r="A256" s="114">
        <v>5295700000</v>
      </c>
      <c r="B256" s="114" t="s">
        <v>414</v>
      </c>
    </row>
    <row r="257" spans="1:2" x14ac:dyDescent="0.2">
      <c r="A257" s="114">
        <v>5225100000</v>
      </c>
      <c r="B257" s="114" t="s">
        <v>415</v>
      </c>
    </row>
    <row r="258" spans="1:2" x14ac:dyDescent="0.2">
      <c r="A258" s="114">
        <v>5205480100</v>
      </c>
      <c r="B258" s="114" t="s">
        <v>416</v>
      </c>
    </row>
    <row r="259" spans="1:2" x14ac:dyDescent="0.2">
      <c r="A259" s="114">
        <v>5205480200</v>
      </c>
      <c r="B259" s="114" t="s">
        <v>416</v>
      </c>
    </row>
    <row r="260" spans="1:2" x14ac:dyDescent="0.2">
      <c r="A260" s="114">
        <v>5205481000</v>
      </c>
      <c r="B260" s="114" t="s">
        <v>416</v>
      </c>
    </row>
    <row r="261" spans="1:2" x14ac:dyDescent="0.2">
      <c r="A261" s="114">
        <v>5205481100</v>
      </c>
      <c r="B261" s="114" t="s">
        <v>416</v>
      </c>
    </row>
    <row r="262" spans="1:2" x14ac:dyDescent="0.2">
      <c r="A262" s="114">
        <v>5205210100</v>
      </c>
      <c r="B262" s="114" t="s">
        <v>417</v>
      </c>
    </row>
    <row r="263" spans="1:2" x14ac:dyDescent="0.2">
      <c r="A263" s="114">
        <v>5205210200</v>
      </c>
      <c r="B263" s="114" t="s">
        <v>417</v>
      </c>
    </row>
    <row r="264" spans="1:2" x14ac:dyDescent="0.2">
      <c r="A264" s="114">
        <v>5255050100</v>
      </c>
      <c r="B264" s="114" t="s">
        <v>417</v>
      </c>
    </row>
    <row r="265" spans="1:2" x14ac:dyDescent="0.2">
      <c r="A265" s="114">
        <v>5255060100</v>
      </c>
      <c r="B265" s="114" t="s">
        <v>417</v>
      </c>
    </row>
    <row r="266" spans="1:2" x14ac:dyDescent="0.2">
      <c r="A266" s="114">
        <v>5255150100</v>
      </c>
      <c r="B266" s="114" t="s">
        <v>417</v>
      </c>
    </row>
    <row r="267" spans="1:2" x14ac:dyDescent="0.2">
      <c r="A267" s="114">
        <v>5255200100</v>
      </c>
      <c r="B267" s="114" t="s">
        <v>417</v>
      </c>
    </row>
    <row r="268" spans="1:2" x14ac:dyDescent="0.2">
      <c r="A268" s="114">
        <v>5255200200</v>
      </c>
      <c r="B268" s="114" t="s">
        <v>417</v>
      </c>
    </row>
    <row r="269" spans="1:2" x14ac:dyDescent="0.2">
      <c r="A269" s="114">
        <v>5255950100</v>
      </c>
      <c r="B269" s="114" t="s">
        <v>417</v>
      </c>
    </row>
    <row r="270" spans="1:2" x14ac:dyDescent="0.2">
      <c r="A270" s="114">
        <v>5240050000</v>
      </c>
      <c r="B270" s="114" t="s">
        <v>418</v>
      </c>
    </row>
    <row r="271" spans="1:2" x14ac:dyDescent="0.2">
      <c r="A271" s="114">
        <v>5240200400</v>
      </c>
      <c r="B271" s="114" t="s">
        <v>418</v>
      </c>
    </row>
    <row r="272" spans="1:2" x14ac:dyDescent="0.2">
      <c r="A272" s="114">
        <v>5220050000</v>
      </c>
      <c r="B272" s="114" t="s">
        <v>419</v>
      </c>
    </row>
    <row r="273" spans="1:2" x14ac:dyDescent="0.2">
      <c r="A273" s="114">
        <v>5220100000</v>
      </c>
      <c r="B273" s="114" t="s">
        <v>419</v>
      </c>
    </row>
    <row r="274" spans="1:2" x14ac:dyDescent="0.2">
      <c r="A274" s="114">
        <v>5220100100</v>
      </c>
      <c r="B274" s="114" t="s">
        <v>419</v>
      </c>
    </row>
    <row r="275" spans="1:2" x14ac:dyDescent="0.2">
      <c r="A275" s="114">
        <v>5220950000</v>
      </c>
      <c r="B275" s="114" t="s">
        <v>419</v>
      </c>
    </row>
    <row r="278" spans="1:2" x14ac:dyDescent="0.2">
      <c r="B278" s="114" t="s">
        <v>420</v>
      </c>
    </row>
    <row r="279" spans="1:2" x14ac:dyDescent="0.2">
      <c r="A279" s="114">
        <v>5105060000</v>
      </c>
      <c r="B279" s="114" t="s">
        <v>421</v>
      </c>
    </row>
    <row r="280" spans="1:2" x14ac:dyDescent="0.2">
      <c r="A280" s="114">
        <v>5105150000</v>
      </c>
      <c r="B280" s="114" t="s">
        <v>421</v>
      </c>
    </row>
    <row r="281" spans="1:2" x14ac:dyDescent="0.2">
      <c r="A281" s="114">
        <v>5105360000</v>
      </c>
      <c r="B281" s="114" t="s">
        <v>422</v>
      </c>
    </row>
    <row r="282" spans="1:2" x14ac:dyDescent="0.2">
      <c r="A282" s="114">
        <v>5105390000</v>
      </c>
      <c r="B282" s="114" t="s">
        <v>422</v>
      </c>
    </row>
    <row r="283" spans="1:2" x14ac:dyDescent="0.2">
      <c r="A283" s="114">
        <v>5105600000</v>
      </c>
      <c r="B283" s="114" t="s">
        <v>422</v>
      </c>
    </row>
    <row r="284" spans="1:2" x14ac:dyDescent="0.2">
      <c r="A284" s="114">
        <v>5105690000</v>
      </c>
      <c r="B284" s="114" t="s">
        <v>422</v>
      </c>
    </row>
    <row r="285" spans="1:2" x14ac:dyDescent="0.2">
      <c r="A285" s="114">
        <v>5105700000</v>
      </c>
      <c r="B285" s="114" t="s">
        <v>422</v>
      </c>
    </row>
    <row r="286" spans="1:2" x14ac:dyDescent="0.2">
      <c r="A286" s="114">
        <v>5105780000</v>
      </c>
      <c r="B286" s="114" t="s">
        <v>422</v>
      </c>
    </row>
    <row r="287" spans="1:2" x14ac:dyDescent="0.2">
      <c r="A287" s="114">
        <v>5105950000</v>
      </c>
      <c r="B287" s="114" t="s">
        <v>422</v>
      </c>
    </row>
    <row r="288" spans="1:2" x14ac:dyDescent="0.2">
      <c r="A288" s="114">
        <v>5105180000</v>
      </c>
      <c r="B288" s="114" t="s">
        <v>423</v>
      </c>
    </row>
    <row r="289" spans="1:2" x14ac:dyDescent="0.2">
      <c r="A289" s="114">
        <v>5105630000</v>
      </c>
      <c r="B289" s="114" t="s">
        <v>424</v>
      </c>
    </row>
    <row r="290" spans="1:2" x14ac:dyDescent="0.2">
      <c r="A290" s="114">
        <v>5105391000</v>
      </c>
      <c r="B290" s="114" t="s">
        <v>425</v>
      </c>
    </row>
    <row r="291" spans="1:2" x14ac:dyDescent="0.2">
      <c r="A291" s="114">
        <v>5105691000</v>
      </c>
      <c r="B291" s="114" t="s">
        <v>425</v>
      </c>
    </row>
    <row r="292" spans="1:2" x14ac:dyDescent="0.2">
      <c r="A292" s="114">
        <v>5105701000</v>
      </c>
      <c r="B292" s="114" t="s">
        <v>425</v>
      </c>
    </row>
    <row r="293" spans="1:2" x14ac:dyDescent="0.2">
      <c r="A293" s="114">
        <v>5135050000</v>
      </c>
      <c r="B293" s="114" t="s">
        <v>399</v>
      </c>
    </row>
    <row r="294" spans="1:2" x14ac:dyDescent="0.2">
      <c r="A294" s="114">
        <v>5135150000</v>
      </c>
      <c r="B294" s="114" t="s">
        <v>399</v>
      </c>
    </row>
    <row r="295" spans="1:2" x14ac:dyDescent="0.2">
      <c r="A295" s="114">
        <v>5135200000</v>
      </c>
      <c r="B295" s="114" t="s">
        <v>399</v>
      </c>
    </row>
    <row r="296" spans="1:2" x14ac:dyDescent="0.2">
      <c r="A296" s="114">
        <v>5135950500</v>
      </c>
      <c r="B296" s="114" t="s">
        <v>399</v>
      </c>
    </row>
    <row r="297" spans="1:2" x14ac:dyDescent="0.2">
      <c r="A297" s="114">
        <v>5120100000</v>
      </c>
      <c r="B297" s="114" t="s">
        <v>426</v>
      </c>
    </row>
    <row r="298" spans="1:2" x14ac:dyDescent="0.2">
      <c r="A298" s="114">
        <v>5105660000</v>
      </c>
      <c r="B298" s="114" t="s">
        <v>427</v>
      </c>
    </row>
    <row r="299" spans="1:2" x14ac:dyDescent="0.2">
      <c r="A299" s="114">
        <v>5155960000</v>
      </c>
      <c r="B299" s="114" t="s">
        <v>427</v>
      </c>
    </row>
    <row r="300" spans="1:2" x14ac:dyDescent="0.2">
      <c r="A300" s="114">
        <v>5195950300</v>
      </c>
      <c r="B300" s="114" t="s">
        <v>428</v>
      </c>
    </row>
    <row r="301" spans="1:2" x14ac:dyDescent="0.2">
      <c r="A301" s="114">
        <v>5110100000</v>
      </c>
      <c r="B301" s="114" t="s">
        <v>429</v>
      </c>
    </row>
    <row r="302" spans="1:2" x14ac:dyDescent="0.2">
      <c r="A302" s="114">
        <v>5110200000</v>
      </c>
      <c r="B302" s="114" t="s">
        <v>429</v>
      </c>
    </row>
    <row r="303" spans="1:2" x14ac:dyDescent="0.2">
      <c r="A303" s="114">
        <v>5110250000</v>
      </c>
      <c r="B303" s="114" t="s">
        <v>429</v>
      </c>
    </row>
    <row r="304" spans="1:2" x14ac:dyDescent="0.2">
      <c r="A304" s="114">
        <v>5110300000</v>
      </c>
      <c r="B304" s="114" t="s">
        <v>429</v>
      </c>
    </row>
    <row r="305" spans="1:2" x14ac:dyDescent="0.2">
      <c r="A305" s="114">
        <v>5110350000</v>
      </c>
      <c r="B305" s="114" t="s">
        <v>429</v>
      </c>
    </row>
    <row r="306" spans="1:2" x14ac:dyDescent="0.2">
      <c r="A306" s="114">
        <v>5110950000</v>
      </c>
      <c r="B306" s="114" t="s">
        <v>429</v>
      </c>
    </row>
    <row r="307" spans="1:2" x14ac:dyDescent="0.2">
      <c r="A307" s="114">
        <v>5130</v>
      </c>
      <c r="B307" s="114" t="s">
        <v>430</v>
      </c>
    </row>
    <row r="308" spans="1:2" x14ac:dyDescent="0.2">
      <c r="A308" s="114">
        <v>5145400000</v>
      </c>
      <c r="B308" s="114" t="s">
        <v>431</v>
      </c>
    </row>
    <row r="309" spans="1:2" x14ac:dyDescent="0.2">
      <c r="A309" s="114">
        <v>5195350000</v>
      </c>
      <c r="B309" s="114" t="s">
        <v>431</v>
      </c>
    </row>
    <row r="310" spans="1:2" x14ac:dyDescent="0.2">
      <c r="A310" s="114">
        <v>5195300000</v>
      </c>
      <c r="B310" s="114" t="s">
        <v>411</v>
      </c>
    </row>
    <row r="311" spans="1:2" x14ac:dyDescent="0.2">
      <c r="A311" s="114">
        <v>5135350000</v>
      </c>
      <c r="B311" s="114" t="s">
        <v>432</v>
      </c>
    </row>
    <row r="312" spans="1:2" x14ac:dyDescent="0.2">
      <c r="A312" s="114">
        <v>5145050000</v>
      </c>
      <c r="B312" s="114" t="s">
        <v>433</v>
      </c>
    </row>
    <row r="313" spans="1:2" x14ac:dyDescent="0.2">
      <c r="A313" s="114">
        <v>5145100000</v>
      </c>
      <c r="B313" s="114" t="s">
        <v>433</v>
      </c>
    </row>
    <row r="314" spans="1:2" x14ac:dyDescent="0.2">
      <c r="A314" s="114">
        <v>5145200000</v>
      </c>
      <c r="B314" s="114" t="s">
        <v>433</v>
      </c>
    </row>
    <row r="315" spans="1:2" x14ac:dyDescent="0.2">
      <c r="A315" s="114">
        <v>5145250000</v>
      </c>
      <c r="B315" s="114" t="s">
        <v>433</v>
      </c>
    </row>
    <row r="316" spans="1:2" x14ac:dyDescent="0.2">
      <c r="A316" s="114">
        <v>5150050000</v>
      </c>
      <c r="B316" s="114" t="s">
        <v>433</v>
      </c>
    </row>
    <row r="317" spans="1:2" x14ac:dyDescent="0.2">
      <c r="A317" s="114">
        <v>5150100000</v>
      </c>
      <c r="B317" s="114" t="s">
        <v>433</v>
      </c>
    </row>
    <row r="318" spans="1:2" x14ac:dyDescent="0.2">
      <c r="A318" s="114">
        <v>5150150000</v>
      </c>
      <c r="B318" s="114" t="s">
        <v>433</v>
      </c>
    </row>
    <row r="319" spans="1:2" x14ac:dyDescent="0.2">
      <c r="A319" s="114">
        <v>5150950000</v>
      </c>
      <c r="B319" s="114" t="s">
        <v>433</v>
      </c>
    </row>
    <row r="320" spans="1:2" x14ac:dyDescent="0.2">
      <c r="A320" s="114">
        <v>5195150000</v>
      </c>
      <c r="B320" s="114" t="s">
        <v>433</v>
      </c>
    </row>
    <row r="321" spans="1:2" x14ac:dyDescent="0.2">
      <c r="A321" s="114">
        <v>5195250000</v>
      </c>
      <c r="B321" s="114" t="s">
        <v>433</v>
      </c>
    </row>
    <row r="322" spans="1:2" x14ac:dyDescent="0.2">
      <c r="A322" s="114">
        <v>5195400000</v>
      </c>
      <c r="B322" s="114" t="s">
        <v>433</v>
      </c>
    </row>
    <row r="323" spans="1:2" x14ac:dyDescent="0.2">
      <c r="A323" s="128">
        <v>5140050000</v>
      </c>
      <c r="B323" s="114" t="s">
        <v>434</v>
      </c>
    </row>
    <row r="324" spans="1:2" x14ac:dyDescent="0.2">
      <c r="A324" s="128">
        <v>5140100000</v>
      </c>
      <c r="B324" s="114" t="s">
        <v>435</v>
      </c>
    </row>
    <row r="325" spans="1:2" x14ac:dyDescent="0.2">
      <c r="A325" s="114">
        <v>5105210000</v>
      </c>
      <c r="B325" s="114" t="s">
        <v>436</v>
      </c>
    </row>
    <row r="326" spans="1:2" x14ac:dyDescent="0.2">
      <c r="A326" s="114">
        <v>5155050000</v>
      </c>
      <c r="B326" s="114" t="s">
        <v>436</v>
      </c>
    </row>
    <row r="327" spans="1:2" x14ac:dyDescent="0.2">
      <c r="A327" s="114">
        <v>5155060000</v>
      </c>
      <c r="B327" s="114" t="s">
        <v>436</v>
      </c>
    </row>
    <row r="328" spans="1:2" x14ac:dyDescent="0.2">
      <c r="A328" s="114">
        <v>5155150000</v>
      </c>
      <c r="B328" s="114" t="s">
        <v>436</v>
      </c>
    </row>
    <row r="329" spans="1:2" x14ac:dyDescent="0.2">
      <c r="A329" s="114">
        <v>5155200000</v>
      </c>
      <c r="B329" s="114" t="s">
        <v>436</v>
      </c>
    </row>
    <row r="330" spans="1:2" x14ac:dyDescent="0.2">
      <c r="A330" s="114">
        <v>5155950000</v>
      </c>
      <c r="B330" s="114" t="s">
        <v>436</v>
      </c>
    </row>
    <row r="332" spans="1:2" x14ac:dyDescent="0.2">
      <c r="B332" s="114" t="s">
        <v>437</v>
      </c>
    </row>
    <row r="333" spans="1:2" x14ac:dyDescent="0.2">
      <c r="A333" s="114">
        <v>5135950300</v>
      </c>
      <c r="B333" s="114" t="s">
        <v>438</v>
      </c>
    </row>
    <row r="334" spans="1:2" x14ac:dyDescent="0.2">
      <c r="A334" s="114">
        <v>5198530000</v>
      </c>
      <c r="B334" s="114" t="s">
        <v>438</v>
      </c>
    </row>
    <row r="335" spans="1:2" x14ac:dyDescent="0.2">
      <c r="A335" s="114">
        <v>5398050000</v>
      </c>
      <c r="B335" s="114" t="s">
        <v>438</v>
      </c>
    </row>
    <row r="336" spans="1:2" x14ac:dyDescent="0.2">
      <c r="A336" s="114">
        <v>5398210000</v>
      </c>
      <c r="B336" s="114" t="s">
        <v>439</v>
      </c>
    </row>
    <row r="337" spans="1:2" x14ac:dyDescent="0.2">
      <c r="A337" s="114">
        <v>5110358000</v>
      </c>
      <c r="B337" s="114" t="s">
        <v>440</v>
      </c>
    </row>
    <row r="338" spans="1:2" x14ac:dyDescent="0.2">
      <c r="A338" s="114">
        <v>5210358000</v>
      </c>
      <c r="B338" s="114" t="s">
        <v>440</v>
      </c>
    </row>
    <row r="340" spans="1:2" x14ac:dyDescent="0.2">
      <c r="B340" s="114" t="s">
        <v>441</v>
      </c>
    </row>
    <row r="341" spans="1:2" x14ac:dyDescent="0.2">
      <c r="A341" s="114">
        <v>4210200100</v>
      </c>
      <c r="B341" s="114" t="s">
        <v>442</v>
      </c>
    </row>
    <row r="342" spans="1:2" x14ac:dyDescent="0.2">
      <c r="A342" s="114">
        <v>4210200200</v>
      </c>
      <c r="B342" s="114" t="s">
        <v>442</v>
      </c>
    </row>
    <row r="343" spans="1:2" x14ac:dyDescent="0.2">
      <c r="A343" s="114">
        <v>4210200400</v>
      </c>
      <c r="B343" s="114" t="s">
        <v>443</v>
      </c>
    </row>
    <row r="344" spans="1:2" x14ac:dyDescent="0.2">
      <c r="A344" s="114">
        <v>4210200500</v>
      </c>
      <c r="B344" s="114" t="s">
        <v>443</v>
      </c>
    </row>
    <row r="345" spans="1:2" x14ac:dyDescent="0.2">
      <c r="A345" s="114">
        <v>4210200501</v>
      </c>
      <c r="B345" s="114" t="s">
        <v>443</v>
      </c>
    </row>
    <row r="346" spans="1:2" x14ac:dyDescent="0.2">
      <c r="A346" s="114">
        <v>4210201000</v>
      </c>
      <c r="B346" s="114" t="s">
        <v>443</v>
      </c>
    </row>
    <row r="347" spans="1:2" x14ac:dyDescent="0.2">
      <c r="A347" s="114">
        <v>4210201001</v>
      </c>
      <c r="B347" s="114" t="s">
        <v>443</v>
      </c>
    </row>
    <row r="348" spans="1:2" x14ac:dyDescent="0.2">
      <c r="A348" s="114">
        <v>4210201100</v>
      </c>
      <c r="B348" s="114" t="s">
        <v>443</v>
      </c>
    </row>
    <row r="349" spans="1:2" x14ac:dyDescent="0.2">
      <c r="A349" s="114">
        <v>4210051000</v>
      </c>
      <c r="B349" s="114" t="s">
        <v>444</v>
      </c>
    </row>
    <row r="350" spans="1:2" x14ac:dyDescent="0.2">
      <c r="A350" s="114">
        <v>4210201000</v>
      </c>
      <c r="B350" s="114" t="s">
        <v>444</v>
      </c>
    </row>
    <row r="351" spans="1:2" x14ac:dyDescent="0.2">
      <c r="A351" s="114">
        <v>4210400000</v>
      </c>
      <c r="B351" s="114" t="s">
        <v>444</v>
      </c>
    </row>
    <row r="352" spans="1:2" x14ac:dyDescent="0.2">
      <c r="A352" s="114">
        <v>4245010000</v>
      </c>
      <c r="B352" s="114" t="s">
        <v>444</v>
      </c>
    </row>
    <row r="353" spans="1:2" x14ac:dyDescent="0.2">
      <c r="A353" s="114">
        <v>4250500100</v>
      </c>
      <c r="B353" s="114" t="s">
        <v>444</v>
      </c>
    </row>
    <row r="354" spans="1:2" x14ac:dyDescent="0.2">
      <c r="A354" s="114">
        <v>4250500200</v>
      </c>
      <c r="B354" s="114" t="s">
        <v>444</v>
      </c>
    </row>
    <row r="355" spans="1:2" x14ac:dyDescent="0.2">
      <c r="A355" s="114">
        <v>4250500300</v>
      </c>
      <c r="B355" s="114" t="s">
        <v>444</v>
      </c>
    </row>
    <row r="356" spans="1:2" x14ac:dyDescent="0.2">
      <c r="A356" s="114">
        <v>4250506600</v>
      </c>
      <c r="B356" s="114" t="s">
        <v>444</v>
      </c>
    </row>
    <row r="357" spans="1:2" x14ac:dyDescent="0.2">
      <c r="A357" s="114">
        <v>4255200000</v>
      </c>
      <c r="B357" s="114" t="s">
        <v>444</v>
      </c>
    </row>
    <row r="358" spans="1:2" x14ac:dyDescent="0.2">
      <c r="A358" s="114">
        <v>4295050000</v>
      </c>
      <c r="B358" s="114" t="s">
        <v>444</v>
      </c>
    </row>
    <row r="359" spans="1:2" x14ac:dyDescent="0.2">
      <c r="A359" s="114">
        <v>4295810000</v>
      </c>
      <c r="B359" s="114" t="s">
        <v>444</v>
      </c>
    </row>
    <row r="361" spans="1:2" x14ac:dyDescent="0.2">
      <c r="B361" s="114" t="s">
        <v>445</v>
      </c>
    </row>
    <row r="362" spans="1:2" x14ac:dyDescent="0.2">
      <c r="A362" s="114">
        <v>5305350000</v>
      </c>
      <c r="B362" s="114" t="s">
        <v>446</v>
      </c>
    </row>
    <row r="363" spans="1:2" x14ac:dyDescent="0.2">
      <c r="A363" s="114">
        <v>5310150000</v>
      </c>
      <c r="B363" s="114" t="s">
        <v>446</v>
      </c>
    </row>
    <row r="364" spans="1:2" x14ac:dyDescent="0.2">
      <c r="A364" s="114">
        <v>5310300000</v>
      </c>
      <c r="B364" s="114" t="s">
        <v>446</v>
      </c>
    </row>
    <row r="365" spans="1:2" x14ac:dyDescent="0.2">
      <c r="A365" s="114">
        <v>5310350000</v>
      </c>
      <c r="B365" s="114" t="s">
        <v>446</v>
      </c>
    </row>
    <row r="366" spans="1:2" x14ac:dyDescent="0.2">
      <c r="A366" s="114">
        <v>5313050000</v>
      </c>
      <c r="B366" s="114" t="s">
        <v>446</v>
      </c>
    </row>
    <row r="367" spans="1:2" x14ac:dyDescent="0.2">
      <c r="A367" s="114">
        <v>5315150200</v>
      </c>
      <c r="B367" s="114" t="s">
        <v>446</v>
      </c>
    </row>
    <row r="368" spans="1:2" x14ac:dyDescent="0.2">
      <c r="A368" s="114">
        <v>5315160000</v>
      </c>
      <c r="B368" s="114" t="s">
        <v>446</v>
      </c>
    </row>
    <row r="369" spans="1:3" x14ac:dyDescent="0.2">
      <c r="A369" s="114">
        <v>5315200000</v>
      </c>
      <c r="B369" s="114" t="s">
        <v>446</v>
      </c>
    </row>
    <row r="370" spans="1:3" x14ac:dyDescent="0.2">
      <c r="A370" s="114">
        <v>5315200100</v>
      </c>
      <c r="B370" s="114" t="s">
        <v>446</v>
      </c>
    </row>
    <row r="371" spans="1:3" x14ac:dyDescent="0.2">
      <c r="A371" s="114">
        <v>5315950000</v>
      </c>
      <c r="B371" s="114" t="s">
        <v>446</v>
      </c>
    </row>
    <row r="372" spans="1:3" x14ac:dyDescent="0.2">
      <c r="A372" s="114">
        <v>5395200000</v>
      </c>
      <c r="B372" s="114" t="s">
        <v>446</v>
      </c>
    </row>
    <row r="373" spans="1:3" x14ac:dyDescent="0.2">
      <c r="A373" s="114">
        <v>5395300000</v>
      </c>
      <c r="B373" s="114" t="s">
        <v>446</v>
      </c>
    </row>
    <row r="374" spans="1:3" x14ac:dyDescent="0.2">
      <c r="A374" s="114">
        <v>5395950000</v>
      </c>
      <c r="B374" s="114" t="s">
        <v>446</v>
      </c>
    </row>
    <row r="375" spans="1:3" x14ac:dyDescent="0.2">
      <c r="A375" s="114">
        <v>5305250500</v>
      </c>
      <c r="B375" s="114" t="s">
        <v>447</v>
      </c>
    </row>
    <row r="376" spans="1:3" x14ac:dyDescent="0.2">
      <c r="A376" s="114">
        <v>5305050000</v>
      </c>
      <c r="B376" s="114" t="s">
        <v>448</v>
      </c>
      <c r="C376" s="114">
        <v>5305050000</v>
      </c>
    </row>
    <row r="377" spans="1:3" x14ac:dyDescent="0.2">
      <c r="A377" s="114">
        <v>5305150000</v>
      </c>
      <c r="B377" s="114" t="s">
        <v>448</v>
      </c>
      <c r="C377" s="114">
        <v>5305200100</v>
      </c>
    </row>
    <row r="378" spans="1:3" x14ac:dyDescent="0.2">
      <c r="A378" s="114">
        <v>5305200100</v>
      </c>
      <c r="B378" s="114" t="s">
        <v>448</v>
      </c>
      <c r="C378" s="114">
        <v>5305202200</v>
      </c>
    </row>
    <row r="379" spans="1:3" x14ac:dyDescent="0.2">
      <c r="A379" s="114">
        <v>5305200200</v>
      </c>
      <c r="B379" s="114" t="s">
        <v>448</v>
      </c>
      <c r="C379" s="114">
        <v>5305150000</v>
      </c>
    </row>
    <row r="380" spans="1:3" x14ac:dyDescent="0.2">
      <c r="A380" s="114">
        <v>5305200300</v>
      </c>
      <c r="B380" s="114" t="s">
        <v>448</v>
      </c>
      <c r="C380" s="114">
        <v>5305200101</v>
      </c>
    </row>
    <row r="381" spans="1:3" x14ac:dyDescent="0.2">
      <c r="A381" s="114">
        <v>5305200400</v>
      </c>
      <c r="B381" s="114" t="s">
        <v>448</v>
      </c>
    </row>
    <row r="382" spans="1:3" x14ac:dyDescent="0.2">
      <c r="A382" s="114">
        <v>5305950000</v>
      </c>
      <c r="B382" s="114" t="s">
        <v>448</v>
      </c>
    </row>
    <row r="383" spans="1:3" x14ac:dyDescent="0.2">
      <c r="A383" s="114">
        <v>5315150000</v>
      </c>
      <c r="B383" s="114" t="s">
        <v>448</v>
      </c>
    </row>
    <row r="385" spans="1:2" x14ac:dyDescent="0.2">
      <c r="A385" s="114">
        <v>5405050100</v>
      </c>
      <c r="B385" s="114" t="s">
        <v>449</v>
      </c>
    </row>
    <row r="389" spans="1:2" x14ac:dyDescent="0.2">
      <c r="B389" s="114" t="s">
        <v>370</v>
      </c>
    </row>
    <row r="390" spans="1:2" x14ac:dyDescent="0.2">
      <c r="A390" s="114">
        <v>5205180100</v>
      </c>
      <c r="B390" s="114" t="s">
        <v>386</v>
      </c>
    </row>
    <row r="391" spans="1:2" x14ac:dyDescent="0.2">
      <c r="A391" s="114">
        <v>5205361000</v>
      </c>
      <c r="B391" s="114" t="s">
        <v>388</v>
      </c>
    </row>
    <row r="392" spans="1:2" x14ac:dyDescent="0.2">
      <c r="A392" s="114">
        <v>5205391000</v>
      </c>
      <c r="B392" s="114" t="s">
        <v>388</v>
      </c>
    </row>
    <row r="393" spans="1:2" x14ac:dyDescent="0.2">
      <c r="A393" s="114">
        <v>5205422000</v>
      </c>
      <c r="B393" s="114" t="s">
        <v>388</v>
      </c>
    </row>
    <row r="394" spans="1:2" x14ac:dyDescent="0.2">
      <c r="A394" s="114">
        <v>5205691000</v>
      </c>
      <c r="B394" s="114" t="s">
        <v>388</v>
      </c>
    </row>
    <row r="395" spans="1:2" x14ac:dyDescent="0.2">
      <c r="A395" s="114">
        <v>5205701000</v>
      </c>
      <c r="B395" s="114" t="s">
        <v>388</v>
      </c>
    </row>
    <row r="396" spans="1:2" x14ac:dyDescent="0.2">
      <c r="A396" s="114">
        <v>5205060100</v>
      </c>
      <c r="B396" s="114" t="s">
        <v>405</v>
      </c>
    </row>
    <row r="397" spans="1:2" x14ac:dyDescent="0.2">
      <c r="A397" s="114">
        <v>5205150100</v>
      </c>
      <c r="B397" s="114" t="s">
        <v>405</v>
      </c>
    </row>
    <row r="398" spans="1:2" x14ac:dyDescent="0.2">
      <c r="A398" s="114">
        <v>5205360100</v>
      </c>
      <c r="B398" s="114" t="s">
        <v>406</v>
      </c>
    </row>
    <row r="399" spans="1:2" x14ac:dyDescent="0.2">
      <c r="A399" s="114">
        <v>5205390100</v>
      </c>
      <c r="B399" s="114" t="s">
        <v>406</v>
      </c>
    </row>
    <row r="400" spans="1:2" x14ac:dyDescent="0.2">
      <c r="A400" s="114">
        <v>5205600100</v>
      </c>
      <c r="B400" s="114" t="s">
        <v>406</v>
      </c>
    </row>
    <row r="401" spans="1:2" x14ac:dyDescent="0.2">
      <c r="A401" s="114">
        <v>5205690100</v>
      </c>
      <c r="B401" s="114" t="s">
        <v>406</v>
      </c>
    </row>
    <row r="402" spans="1:2" x14ac:dyDescent="0.2">
      <c r="A402" s="114">
        <v>5205700100</v>
      </c>
      <c r="B402" s="114" t="s">
        <v>406</v>
      </c>
    </row>
    <row r="403" spans="1:2" x14ac:dyDescent="0.2">
      <c r="A403" s="114">
        <v>5205700100</v>
      </c>
      <c r="B403" s="114" t="s">
        <v>406</v>
      </c>
    </row>
    <row r="404" spans="1:2" x14ac:dyDescent="0.2">
      <c r="A404" s="114">
        <v>5205700200</v>
      </c>
      <c r="B404" s="114" t="s">
        <v>406</v>
      </c>
    </row>
    <row r="405" spans="1:2" x14ac:dyDescent="0.2">
      <c r="A405" s="114">
        <v>5205780100</v>
      </c>
      <c r="B405" s="114" t="s">
        <v>406</v>
      </c>
    </row>
    <row r="406" spans="1:2" x14ac:dyDescent="0.2">
      <c r="A406" s="114">
        <v>5105060000</v>
      </c>
      <c r="B406" s="114" t="s">
        <v>421</v>
      </c>
    </row>
    <row r="407" spans="1:2" x14ac:dyDescent="0.2">
      <c r="A407" s="114">
        <v>5105150000</v>
      </c>
      <c r="B407" s="114" t="s">
        <v>421</v>
      </c>
    </row>
    <row r="408" spans="1:2" x14ac:dyDescent="0.2">
      <c r="A408" s="114">
        <v>5105360000</v>
      </c>
      <c r="B408" s="114" t="s">
        <v>422</v>
      </c>
    </row>
    <row r="409" spans="1:2" x14ac:dyDescent="0.2">
      <c r="A409" s="114">
        <v>5105390000</v>
      </c>
      <c r="B409" s="114" t="s">
        <v>422</v>
      </c>
    </row>
    <row r="410" spans="1:2" x14ac:dyDescent="0.2">
      <c r="A410" s="114">
        <v>5105600000</v>
      </c>
      <c r="B410" s="114" t="s">
        <v>422</v>
      </c>
    </row>
    <row r="411" spans="1:2" x14ac:dyDescent="0.2">
      <c r="A411" s="114">
        <v>5105690000</v>
      </c>
      <c r="B411" s="114" t="s">
        <v>422</v>
      </c>
    </row>
    <row r="412" spans="1:2" x14ac:dyDescent="0.2">
      <c r="A412" s="114">
        <v>5105700000</v>
      </c>
      <c r="B412" s="114" t="s">
        <v>422</v>
      </c>
    </row>
    <row r="413" spans="1:2" x14ac:dyDescent="0.2">
      <c r="A413" s="114">
        <v>5105780000</v>
      </c>
      <c r="B413" s="114" t="s">
        <v>422</v>
      </c>
    </row>
    <row r="414" spans="1:2" x14ac:dyDescent="0.2">
      <c r="A414" s="114">
        <v>5105950000</v>
      </c>
      <c r="B414" s="114" t="s">
        <v>422</v>
      </c>
    </row>
    <row r="415" spans="1:2" x14ac:dyDescent="0.2">
      <c r="A415" s="114">
        <v>5105180000</v>
      </c>
      <c r="B415" s="114" t="s">
        <v>423</v>
      </c>
    </row>
    <row r="416" spans="1:2" x14ac:dyDescent="0.2">
      <c r="A416" s="114">
        <v>5105391000</v>
      </c>
      <c r="B416" s="114" t="s">
        <v>425</v>
      </c>
    </row>
    <row r="417" spans="1:3" x14ac:dyDescent="0.2">
      <c r="A417" s="114">
        <v>5105691000</v>
      </c>
      <c r="B417" s="114" t="s">
        <v>425</v>
      </c>
    </row>
    <row r="418" spans="1:3" x14ac:dyDescent="0.2">
      <c r="A418" s="114">
        <v>5105701000</v>
      </c>
      <c r="B418" s="114" t="s">
        <v>425</v>
      </c>
    </row>
    <row r="421" spans="1:3" x14ac:dyDescent="0.2">
      <c r="A421" s="114">
        <v>5160100000</v>
      </c>
      <c r="B421" s="114" t="s">
        <v>450</v>
      </c>
      <c r="C421" s="114" t="s">
        <v>451</v>
      </c>
    </row>
    <row r="427" spans="1:3" x14ac:dyDescent="0.2">
      <c r="A427" s="115" t="s">
        <v>452</v>
      </c>
    </row>
    <row r="428" spans="1:3" x14ac:dyDescent="0.2">
      <c r="A428" s="114">
        <v>1105050100</v>
      </c>
      <c r="B428" s="114" t="s">
        <v>453</v>
      </c>
      <c r="C428" s="116">
        <v>0</v>
      </c>
    </row>
    <row r="429" spans="1:3" x14ac:dyDescent="0.2">
      <c r="A429" s="114">
        <v>1105100200</v>
      </c>
      <c r="B429" s="114" t="s">
        <v>454</v>
      </c>
      <c r="C429" s="116">
        <v>7650000</v>
      </c>
    </row>
    <row r="430" spans="1:3" x14ac:dyDescent="0.2">
      <c r="A430" s="114">
        <v>1110050101</v>
      </c>
      <c r="B430" s="114" t="s">
        <v>455</v>
      </c>
      <c r="C430" s="116">
        <v>87094833.519999996</v>
      </c>
    </row>
    <row r="431" spans="1:3" x14ac:dyDescent="0.2">
      <c r="A431" s="114">
        <v>1110050106</v>
      </c>
      <c r="B431" s="114" t="s">
        <v>456</v>
      </c>
      <c r="C431" s="116">
        <v>4020934.46</v>
      </c>
    </row>
    <row r="432" spans="1:3" x14ac:dyDescent="0.2">
      <c r="A432" s="114">
        <v>1110050108</v>
      </c>
      <c r="B432" s="114" t="s">
        <v>457</v>
      </c>
      <c r="C432" s="116">
        <v>2182803.0099999998</v>
      </c>
    </row>
    <row r="433" spans="1:3" x14ac:dyDescent="0.2">
      <c r="A433" s="114">
        <v>1110050110</v>
      </c>
      <c r="B433" s="114" t="s">
        <v>458</v>
      </c>
      <c r="C433" s="116">
        <v>562187.67000000004</v>
      </c>
    </row>
    <row r="434" spans="1:3" x14ac:dyDescent="0.2">
      <c r="A434" s="114">
        <v>1110050111</v>
      </c>
      <c r="B434" s="114" t="s">
        <v>459</v>
      </c>
      <c r="C434" s="116">
        <v>4855691.87</v>
      </c>
    </row>
    <row r="435" spans="1:3" x14ac:dyDescent="0.2">
      <c r="A435" s="114">
        <v>1110100101</v>
      </c>
      <c r="B435" s="114" t="s">
        <v>460</v>
      </c>
      <c r="C435" s="116">
        <v>6300643.9299999997</v>
      </c>
    </row>
    <row r="436" spans="1:3" x14ac:dyDescent="0.2">
      <c r="A436" s="114">
        <v>1125100200</v>
      </c>
      <c r="B436" s="114" t="s">
        <v>461</v>
      </c>
      <c r="C436" s="116">
        <v>1355004.36</v>
      </c>
    </row>
    <row r="437" spans="1:3" x14ac:dyDescent="0.2">
      <c r="A437" s="114">
        <v>1130050100</v>
      </c>
      <c r="B437" s="114" t="s">
        <v>462</v>
      </c>
      <c r="C437" s="116">
        <v>377428.44</v>
      </c>
    </row>
    <row r="438" spans="1:3" x14ac:dyDescent="0.2">
      <c r="A438" s="115"/>
      <c r="C438" s="116">
        <f>SUM(C428:C437)</f>
        <v>114399527.26000001</v>
      </c>
    </row>
    <row r="439" spans="1:3" x14ac:dyDescent="0.2">
      <c r="A439" s="115"/>
    </row>
    <row r="440" spans="1:3" x14ac:dyDescent="0.2">
      <c r="A440" s="114">
        <v>1101</v>
      </c>
      <c r="B440" s="114" t="s">
        <v>463</v>
      </c>
    </row>
    <row r="441" spans="1:3" x14ac:dyDescent="0.2">
      <c r="A441" s="114">
        <v>1102</v>
      </c>
      <c r="B441" s="114" t="s">
        <v>464</v>
      </c>
    </row>
    <row r="442" spans="1:3" x14ac:dyDescent="0.2">
      <c r="A442" s="114">
        <v>1103</v>
      </c>
      <c r="B442" s="114" t="s">
        <v>465</v>
      </c>
    </row>
    <row r="443" spans="1:3" x14ac:dyDescent="0.2">
      <c r="A443" s="114">
        <v>1104</v>
      </c>
      <c r="B443" s="114" t="s">
        <v>466</v>
      </c>
    </row>
    <row r="444" spans="1:3" x14ac:dyDescent="0.2">
      <c r="A444" s="114" t="s">
        <v>467</v>
      </c>
      <c r="B444" s="114" t="s">
        <v>468</v>
      </c>
    </row>
    <row r="445" spans="1:3" x14ac:dyDescent="0.2">
      <c r="A445" s="114">
        <v>1106</v>
      </c>
      <c r="B445" s="114" t="s">
        <v>469</v>
      </c>
    </row>
    <row r="446" spans="1:3" x14ac:dyDescent="0.2">
      <c r="B446" s="114" t="s">
        <v>470</v>
      </c>
    </row>
    <row r="448" spans="1:3" x14ac:dyDescent="0.2">
      <c r="B448" s="114" t="s">
        <v>471</v>
      </c>
    </row>
    <row r="450" spans="1:2" x14ac:dyDescent="0.2">
      <c r="B450" s="114" t="s">
        <v>98</v>
      </c>
    </row>
    <row r="451" spans="1:2" x14ac:dyDescent="0.2">
      <c r="A451" s="114">
        <v>1201</v>
      </c>
      <c r="B451" s="114" t="s">
        <v>472</v>
      </c>
    </row>
    <row r="452" spans="1:2" x14ac:dyDescent="0.2">
      <c r="A452" s="114">
        <v>1202</v>
      </c>
      <c r="B452" s="114" t="s">
        <v>473</v>
      </c>
    </row>
    <row r="453" spans="1:2" x14ac:dyDescent="0.2">
      <c r="A453" s="114">
        <v>1203</v>
      </c>
      <c r="B453" s="114" t="s">
        <v>474</v>
      </c>
    </row>
    <row r="454" spans="1:2" x14ac:dyDescent="0.2">
      <c r="A454" s="114">
        <v>1204</v>
      </c>
      <c r="B454" s="114" t="s">
        <v>475</v>
      </c>
    </row>
    <row r="455" spans="1:2" x14ac:dyDescent="0.2">
      <c r="A455" s="114">
        <v>1205</v>
      </c>
      <c r="B455" s="114" t="s">
        <v>476</v>
      </c>
    </row>
    <row r="456" spans="1:2" x14ac:dyDescent="0.2">
      <c r="A456" s="114">
        <v>1206</v>
      </c>
      <c r="B456" s="114" t="s">
        <v>477</v>
      </c>
    </row>
    <row r="458" spans="1:2" x14ac:dyDescent="0.2">
      <c r="B458" s="114" t="s">
        <v>478</v>
      </c>
    </row>
    <row r="460" spans="1:2" x14ac:dyDescent="0.2">
      <c r="B460" s="114" t="s">
        <v>479</v>
      </c>
    </row>
    <row r="461" spans="1:2" x14ac:dyDescent="0.2">
      <c r="A461" s="114">
        <v>1208</v>
      </c>
      <c r="B461" s="114" t="s">
        <v>480</v>
      </c>
    </row>
    <row r="463" spans="1:2" x14ac:dyDescent="0.2">
      <c r="B463" s="114" t="s">
        <v>99</v>
      </c>
    </row>
    <row r="464" spans="1:2" x14ac:dyDescent="0.2">
      <c r="A464" s="114" t="s">
        <v>481</v>
      </c>
      <c r="B464" s="114" t="s">
        <v>482</v>
      </c>
    </row>
    <row r="465" spans="1:2" x14ac:dyDescent="0.2">
      <c r="A465" s="114">
        <v>1210</v>
      </c>
      <c r="B465" s="114" t="s">
        <v>483</v>
      </c>
    </row>
    <row r="466" spans="1:2" x14ac:dyDescent="0.2">
      <c r="A466" s="114">
        <v>1211</v>
      </c>
      <c r="B466" s="114" t="s">
        <v>484</v>
      </c>
    </row>
    <row r="467" spans="1:2" x14ac:dyDescent="0.2">
      <c r="A467" s="114">
        <v>1212</v>
      </c>
      <c r="B467" s="114" t="s">
        <v>485</v>
      </c>
    </row>
    <row r="468" spans="1:2" x14ac:dyDescent="0.2">
      <c r="B468" s="114" t="s">
        <v>486</v>
      </c>
    </row>
    <row r="470" spans="1:2" x14ac:dyDescent="0.2">
      <c r="B470" s="114" t="s">
        <v>100</v>
      </c>
    </row>
    <row r="471" spans="1:2" x14ac:dyDescent="0.2">
      <c r="A471" s="114">
        <v>1214</v>
      </c>
      <c r="B471" s="114" t="s">
        <v>487</v>
      </c>
    </row>
    <row r="472" spans="1:2" x14ac:dyDescent="0.2">
      <c r="A472" s="114">
        <v>1242</v>
      </c>
      <c r="B472" s="114" t="s">
        <v>488</v>
      </c>
    </row>
    <row r="473" spans="1:2" x14ac:dyDescent="0.2">
      <c r="A473" s="114">
        <v>1243</v>
      </c>
      <c r="B473" s="114" t="s">
        <v>489</v>
      </c>
    </row>
    <row r="474" spans="1:2" x14ac:dyDescent="0.2">
      <c r="A474" s="114">
        <v>1244</v>
      </c>
      <c r="B474" s="114" t="s">
        <v>490</v>
      </c>
    </row>
    <row r="475" spans="1:2" x14ac:dyDescent="0.2">
      <c r="A475" s="114">
        <v>1245</v>
      </c>
      <c r="B475" s="114" t="s">
        <v>491</v>
      </c>
    </row>
    <row r="476" spans="1:2" x14ac:dyDescent="0.2">
      <c r="A476" s="114">
        <v>1246</v>
      </c>
      <c r="B476" s="114" t="s">
        <v>492</v>
      </c>
    </row>
    <row r="477" spans="1:2" x14ac:dyDescent="0.2">
      <c r="A477" s="114">
        <v>1215</v>
      </c>
      <c r="B477" s="114" t="s">
        <v>493</v>
      </c>
    </row>
    <row r="478" spans="1:2" x14ac:dyDescent="0.2">
      <c r="A478" s="114">
        <v>1216</v>
      </c>
      <c r="B478" s="114" t="s">
        <v>494</v>
      </c>
    </row>
    <row r="479" spans="1:2" x14ac:dyDescent="0.2">
      <c r="A479" s="114">
        <v>1217</v>
      </c>
      <c r="B479" s="114" t="s">
        <v>495</v>
      </c>
    </row>
    <row r="480" spans="1:2" x14ac:dyDescent="0.2">
      <c r="A480" s="114">
        <v>1218</v>
      </c>
      <c r="B480" s="114" t="s">
        <v>496</v>
      </c>
    </row>
    <row r="481" spans="1:2" x14ac:dyDescent="0.2">
      <c r="A481" s="114">
        <v>1219</v>
      </c>
      <c r="B481" s="114" t="s">
        <v>497</v>
      </c>
    </row>
    <row r="482" spans="1:2" x14ac:dyDescent="0.2">
      <c r="A482" s="114">
        <v>1220</v>
      </c>
      <c r="B482" s="114" t="s">
        <v>498</v>
      </c>
    </row>
    <row r="483" spans="1:2" x14ac:dyDescent="0.2">
      <c r="A483" s="114">
        <v>1221</v>
      </c>
      <c r="B483" s="114" t="s">
        <v>499</v>
      </c>
    </row>
    <row r="484" spans="1:2" x14ac:dyDescent="0.2">
      <c r="A484" s="114">
        <v>1222</v>
      </c>
      <c r="B484" s="114" t="s">
        <v>500</v>
      </c>
    </row>
    <row r="485" spans="1:2" x14ac:dyDescent="0.2">
      <c r="A485" s="114">
        <v>1223</v>
      </c>
      <c r="B485" s="114" t="s">
        <v>501</v>
      </c>
    </row>
    <row r="486" spans="1:2" x14ac:dyDescent="0.2">
      <c r="A486" s="114">
        <v>1224</v>
      </c>
      <c r="B486" s="114" t="s">
        <v>502</v>
      </c>
    </row>
    <row r="487" spans="1:2" x14ac:dyDescent="0.2">
      <c r="A487" s="114">
        <v>1225</v>
      </c>
      <c r="B487" s="114" t="s">
        <v>503</v>
      </c>
    </row>
    <row r="488" spans="1:2" x14ac:dyDescent="0.2">
      <c r="A488" s="114">
        <v>1226</v>
      </c>
      <c r="B488" s="114" t="s">
        <v>504</v>
      </c>
    </row>
    <row r="489" spans="1:2" x14ac:dyDescent="0.2">
      <c r="A489" s="114">
        <v>1227</v>
      </c>
      <c r="B489" s="114" t="s">
        <v>505</v>
      </c>
    </row>
    <row r="490" spans="1:2" x14ac:dyDescent="0.2">
      <c r="A490" s="114">
        <v>1228</v>
      </c>
      <c r="B490" s="114" t="s">
        <v>506</v>
      </c>
    </row>
    <row r="491" spans="1:2" x14ac:dyDescent="0.2">
      <c r="A491" s="114">
        <v>1229</v>
      </c>
      <c r="B491" s="114" t="s">
        <v>507</v>
      </c>
    </row>
    <row r="492" spans="1:2" x14ac:dyDescent="0.2">
      <c r="A492" s="114">
        <v>1230</v>
      </c>
      <c r="B492" s="114" t="s">
        <v>508</v>
      </c>
    </row>
    <row r="493" spans="1:2" x14ac:dyDescent="0.2">
      <c r="A493" s="114">
        <v>1231</v>
      </c>
      <c r="B493" s="114" t="s">
        <v>509</v>
      </c>
    </row>
    <row r="494" spans="1:2" x14ac:dyDescent="0.2">
      <c r="A494" s="114">
        <v>1232</v>
      </c>
      <c r="B494" s="114" t="s">
        <v>510</v>
      </c>
    </row>
    <row r="495" spans="1:2" x14ac:dyDescent="0.2">
      <c r="A495" s="114">
        <v>1233</v>
      </c>
      <c r="B495" s="114" t="s">
        <v>511</v>
      </c>
    </row>
    <row r="496" spans="1:2" x14ac:dyDescent="0.2">
      <c r="A496" s="114">
        <v>1234</v>
      </c>
      <c r="B496" s="114" t="s">
        <v>512</v>
      </c>
    </row>
    <row r="497" spans="1:2" x14ac:dyDescent="0.2">
      <c r="A497" s="114">
        <v>1235</v>
      </c>
      <c r="B497" s="114" t="s">
        <v>513</v>
      </c>
    </row>
    <row r="498" spans="1:2" x14ac:dyDescent="0.2">
      <c r="A498" s="114">
        <v>1236</v>
      </c>
      <c r="B498" s="114" t="s">
        <v>514</v>
      </c>
    </row>
    <row r="499" spans="1:2" x14ac:dyDescent="0.2">
      <c r="A499" s="114">
        <v>1237</v>
      </c>
      <c r="B499" s="114" t="s">
        <v>515</v>
      </c>
    </row>
    <row r="500" spans="1:2" x14ac:dyDescent="0.2">
      <c r="A500" s="114">
        <v>1238</v>
      </c>
      <c r="B500" s="114" t="s">
        <v>516</v>
      </c>
    </row>
    <row r="501" spans="1:2" x14ac:dyDescent="0.2">
      <c r="A501" s="114">
        <v>1239</v>
      </c>
      <c r="B501" s="114" t="s">
        <v>517</v>
      </c>
    </row>
    <row r="502" spans="1:2" x14ac:dyDescent="0.2">
      <c r="A502" s="114">
        <v>1240</v>
      </c>
      <c r="B502" s="114" t="s">
        <v>518</v>
      </c>
    </row>
    <row r="503" spans="1:2" x14ac:dyDescent="0.2">
      <c r="A503" s="114">
        <v>1241</v>
      </c>
      <c r="B503" s="114" t="s">
        <v>519</v>
      </c>
    </row>
    <row r="504" spans="1:2" x14ac:dyDescent="0.2">
      <c r="B504" s="114" t="s">
        <v>520</v>
      </c>
    </row>
    <row r="506" spans="1:2" x14ac:dyDescent="0.2">
      <c r="B506" s="114" t="s">
        <v>521</v>
      </c>
    </row>
    <row r="508" spans="1:2" x14ac:dyDescent="0.2">
      <c r="B508" s="114" t="s">
        <v>522</v>
      </c>
    </row>
    <row r="510" spans="1:2" x14ac:dyDescent="0.2">
      <c r="B510" s="114" t="s">
        <v>523</v>
      </c>
    </row>
    <row r="512" spans="1:2" x14ac:dyDescent="0.2">
      <c r="B512" s="114" t="s">
        <v>524</v>
      </c>
    </row>
    <row r="513" spans="1:2" x14ac:dyDescent="0.2">
      <c r="A513" s="114">
        <v>2101</v>
      </c>
      <c r="B513" s="114" t="s">
        <v>525</v>
      </c>
    </row>
    <row r="514" spans="1:2" x14ac:dyDescent="0.2">
      <c r="A514" s="114">
        <v>2102</v>
      </c>
      <c r="B514" s="114" t="s">
        <v>526</v>
      </c>
    </row>
    <row r="515" spans="1:2" x14ac:dyDescent="0.2">
      <c r="A515" s="114">
        <v>2103</v>
      </c>
      <c r="B515" s="114" t="s">
        <v>527</v>
      </c>
    </row>
    <row r="516" spans="1:2" x14ac:dyDescent="0.2">
      <c r="A516" s="114">
        <v>1207</v>
      </c>
      <c r="B516" s="114" t="s">
        <v>528</v>
      </c>
    </row>
    <row r="517" spans="1:2" x14ac:dyDescent="0.2">
      <c r="B517" s="114" t="s">
        <v>529</v>
      </c>
    </row>
    <row r="519" spans="1:2" x14ac:dyDescent="0.2">
      <c r="B519" s="114" t="s">
        <v>101</v>
      </c>
    </row>
    <row r="520" spans="1:2" x14ac:dyDescent="0.2">
      <c r="A520" s="114">
        <v>3101</v>
      </c>
      <c r="B520" s="114" t="s">
        <v>530</v>
      </c>
    </row>
    <row r="521" spans="1:2" x14ac:dyDescent="0.2">
      <c r="A521" s="114" t="s">
        <v>531</v>
      </c>
      <c r="B521" s="114" t="s">
        <v>532</v>
      </c>
    </row>
    <row r="522" spans="1:2" x14ac:dyDescent="0.2">
      <c r="A522" s="114">
        <v>3103</v>
      </c>
      <c r="B522" s="114" t="s">
        <v>533</v>
      </c>
    </row>
    <row r="523" spans="1:2" x14ac:dyDescent="0.2">
      <c r="A523" s="114">
        <v>3104</v>
      </c>
      <c r="B523" s="114" t="s">
        <v>534</v>
      </c>
    </row>
    <row r="524" spans="1:2" x14ac:dyDescent="0.2">
      <c r="B524" s="114" t="s">
        <v>535</v>
      </c>
    </row>
    <row r="526" spans="1:2" x14ac:dyDescent="0.2">
      <c r="B526" s="114" t="s">
        <v>536</v>
      </c>
    </row>
    <row r="534" spans="1:12" x14ac:dyDescent="0.2">
      <c r="B534" s="114" t="s">
        <v>537</v>
      </c>
    </row>
    <row r="535" spans="1:12" x14ac:dyDescent="0.2">
      <c r="B535" s="114" t="s">
        <v>538</v>
      </c>
    </row>
    <row r="536" spans="1:12" x14ac:dyDescent="0.2">
      <c r="A536" s="114">
        <v>5101</v>
      </c>
      <c r="B536" s="114" t="s">
        <v>539</v>
      </c>
    </row>
    <row r="537" spans="1:12" x14ac:dyDescent="0.2">
      <c r="A537" s="114">
        <v>5102</v>
      </c>
      <c r="B537" s="114" t="s">
        <v>540</v>
      </c>
    </row>
    <row r="538" spans="1:12" x14ac:dyDescent="0.2">
      <c r="A538" s="114">
        <v>5103</v>
      </c>
      <c r="B538" s="114" t="s">
        <v>541</v>
      </c>
    </row>
    <row r="539" spans="1:12" x14ac:dyDescent="0.2">
      <c r="A539" s="114">
        <v>5104</v>
      </c>
      <c r="B539" s="114" t="s">
        <v>542</v>
      </c>
    </row>
    <row r="540" spans="1:12" x14ac:dyDescent="0.2">
      <c r="A540" s="114">
        <v>5105</v>
      </c>
      <c r="B540" s="114" t="s">
        <v>543</v>
      </c>
      <c r="E540" s="114" t="s">
        <v>544</v>
      </c>
      <c r="F540" s="114" t="s">
        <v>545</v>
      </c>
    </row>
    <row r="541" spans="1:12" x14ac:dyDescent="0.2">
      <c r="B541" s="114" t="s">
        <v>546</v>
      </c>
    </row>
    <row r="542" spans="1:12" x14ac:dyDescent="0.2">
      <c r="E542" s="114" t="s">
        <v>547</v>
      </c>
      <c r="G542" s="114"/>
      <c r="H542" s="114"/>
      <c r="I542" s="114"/>
      <c r="J542" s="114"/>
      <c r="K542" s="114"/>
      <c r="L542" s="114"/>
    </row>
    <row r="543" spans="1:12" x14ac:dyDescent="0.2">
      <c r="B543" s="114" t="s">
        <v>536</v>
      </c>
      <c r="E543" s="114" t="s">
        <v>548</v>
      </c>
      <c r="F543" s="114" t="s">
        <v>549</v>
      </c>
      <c r="G543" s="114" t="s">
        <v>113</v>
      </c>
      <c r="H543" s="114"/>
      <c r="I543" s="114"/>
      <c r="J543" s="114"/>
      <c r="K543" s="114"/>
      <c r="L543" s="114"/>
    </row>
    <row r="544" spans="1:12" x14ac:dyDescent="0.2">
      <c r="A544" s="114">
        <v>6190</v>
      </c>
      <c r="B544" s="114" t="s">
        <v>550</v>
      </c>
      <c r="E544" s="114" t="s">
        <v>551</v>
      </c>
      <c r="F544" s="114" t="s">
        <v>552</v>
      </c>
      <c r="G544" s="125">
        <v>15856000</v>
      </c>
      <c r="H544" s="114"/>
      <c r="I544" s="114"/>
      <c r="J544" s="114"/>
      <c r="K544" s="114"/>
      <c r="L544" s="114"/>
    </row>
    <row r="545" spans="1:12" x14ac:dyDescent="0.2">
      <c r="A545" s="114">
        <v>7101</v>
      </c>
      <c r="B545" s="114" t="s">
        <v>553</v>
      </c>
      <c r="E545" s="114" t="s">
        <v>554</v>
      </c>
      <c r="F545" s="114" t="s">
        <v>555</v>
      </c>
      <c r="G545" s="125">
        <v>89381000</v>
      </c>
      <c r="H545" s="114"/>
      <c r="I545" s="114"/>
      <c r="J545" s="114"/>
      <c r="K545" s="114"/>
      <c r="L545" s="114"/>
    </row>
    <row r="546" spans="1:12" x14ac:dyDescent="0.2">
      <c r="A546" s="114">
        <v>7102</v>
      </c>
      <c r="B546" s="114" t="s">
        <v>555</v>
      </c>
      <c r="E546" s="114" t="s">
        <v>556</v>
      </c>
      <c r="F546" s="114" t="s">
        <v>557</v>
      </c>
      <c r="G546" s="125">
        <v>42000000</v>
      </c>
      <c r="H546" s="114"/>
      <c r="I546" s="114"/>
      <c r="J546" s="114"/>
      <c r="K546" s="114"/>
      <c r="L546" s="114"/>
    </row>
    <row r="547" spans="1:12" x14ac:dyDescent="0.2">
      <c r="A547" s="114">
        <v>7103</v>
      </c>
      <c r="B547" s="114" t="s">
        <v>558</v>
      </c>
      <c r="E547" s="114" t="s">
        <v>342</v>
      </c>
      <c r="G547" s="125">
        <v>147237000</v>
      </c>
      <c r="H547" s="114"/>
      <c r="I547" s="114"/>
      <c r="J547" s="114"/>
      <c r="K547" s="114"/>
      <c r="L547" s="114"/>
    </row>
    <row r="548" spans="1:12" x14ac:dyDescent="0.2">
      <c r="A548" s="114">
        <v>7104</v>
      </c>
      <c r="B548" s="114" t="s">
        <v>559</v>
      </c>
      <c r="G548" s="114"/>
      <c r="H548" s="114"/>
      <c r="I548" s="114"/>
      <c r="J548" s="114"/>
      <c r="K548" s="114"/>
      <c r="L548" s="114"/>
    </row>
    <row r="549" spans="1:12" x14ac:dyDescent="0.2">
      <c r="A549" s="114">
        <v>7105</v>
      </c>
      <c r="B549" s="114" t="s">
        <v>560</v>
      </c>
      <c r="G549" s="114"/>
      <c r="H549" s="114"/>
      <c r="I549" s="114"/>
      <c r="J549" s="114"/>
      <c r="K549" s="114"/>
      <c r="L549" s="114"/>
    </row>
    <row r="550" spans="1:12" x14ac:dyDescent="0.2">
      <c r="A550" s="114" t="s">
        <v>561</v>
      </c>
      <c r="B550" s="114" t="s">
        <v>562</v>
      </c>
      <c r="G550" s="114"/>
      <c r="H550" s="114"/>
      <c r="I550" s="114"/>
      <c r="J550" s="114"/>
      <c r="K550" s="114"/>
      <c r="L550" s="114"/>
    </row>
    <row r="551" spans="1:12" x14ac:dyDescent="0.2">
      <c r="A551" s="114">
        <v>4101</v>
      </c>
      <c r="B551" s="114" t="s">
        <v>563</v>
      </c>
      <c r="G551" s="114"/>
      <c r="H551" s="114"/>
      <c r="I551" s="114"/>
      <c r="J551" s="114"/>
      <c r="K551" s="114"/>
    </row>
    <row r="552" spans="1:12" x14ac:dyDescent="0.2">
      <c r="A552" s="114">
        <v>4102</v>
      </c>
      <c r="B552" s="114" t="s">
        <v>552</v>
      </c>
      <c r="G552" s="114"/>
      <c r="H552" s="114"/>
      <c r="I552" s="114"/>
      <c r="J552" s="114"/>
      <c r="K552" s="114"/>
    </row>
    <row r="553" spans="1:12" x14ac:dyDescent="0.2">
      <c r="G553" s="114"/>
      <c r="H553" s="114"/>
      <c r="I553" s="114"/>
      <c r="J553" s="114"/>
      <c r="K553" s="114"/>
    </row>
    <row r="554" spans="1:12" x14ac:dyDescent="0.2">
      <c r="G554" s="114"/>
      <c r="H554" s="114"/>
      <c r="I554" s="114"/>
      <c r="J554" s="114"/>
      <c r="K554" s="114"/>
    </row>
    <row r="555" spans="1:12" x14ac:dyDescent="0.2">
      <c r="B555" s="114" t="s">
        <v>564</v>
      </c>
      <c r="G555" s="114"/>
      <c r="H555" s="114"/>
      <c r="I555" s="114"/>
      <c r="J555" s="114"/>
      <c r="K555" s="114"/>
    </row>
    <row r="556" spans="1:12" x14ac:dyDescent="0.2">
      <c r="A556" s="115" t="s">
        <v>565</v>
      </c>
      <c r="G556" s="114"/>
    </row>
    <row r="557" spans="1:12" x14ac:dyDescent="0.2">
      <c r="A557" s="129">
        <v>1110050100</v>
      </c>
      <c r="B557" s="130" t="s">
        <v>566</v>
      </c>
      <c r="G557" s="114"/>
    </row>
    <row r="558" spans="1:12" x14ac:dyDescent="0.2">
      <c r="A558" s="129">
        <v>1110050200</v>
      </c>
      <c r="B558" s="114" t="s">
        <v>567</v>
      </c>
      <c r="G558" s="114"/>
    </row>
    <row r="559" spans="1:12" x14ac:dyDescent="0.2">
      <c r="G559" s="114"/>
    </row>
    <row r="563" spans="1:2" x14ac:dyDescent="0.2">
      <c r="A563" s="114">
        <v>4170250000</v>
      </c>
      <c r="B563" s="114" t="s">
        <v>568</v>
      </c>
    </row>
    <row r="565" spans="1:2" x14ac:dyDescent="0.2">
      <c r="A565" s="114">
        <v>4218050000</v>
      </c>
      <c r="B565" s="114" t="s">
        <v>569</v>
      </c>
    </row>
    <row r="568" spans="1:2" x14ac:dyDescent="0.2">
      <c r="A568" s="114">
        <v>5210350000</v>
      </c>
      <c r="B568" s="114" t="s">
        <v>570</v>
      </c>
    </row>
    <row r="569" spans="1:2" x14ac:dyDescent="0.2">
      <c r="A569" s="114">
        <v>5140950000</v>
      </c>
    </row>
    <row r="571" spans="1:2" x14ac:dyDescent="0.2">
      <c r="A571" s="129">
        <v>5305950000</v>
      </c>
      <c r="B571" s="114" t="s">
        <v>571</v>
      </c>
    </row>
    <row r="572" spans="1:2" x14ac:dyDescent="0.2">
      <c r="A572" s="129">
        <v>5313050000</v>
      </c>
      <c r="B572" s="114" t="s">
        <v>569</v>
      </c>
    </row>
    <row r="573" spans="1:2" x14ac:dyDescent="0.2">
      <c r="A573" s="114">
        <v>5310950000</v>
      </c>
      <c r="B573" s="114" t="s">
        <v>572</v>
      </c>
    </row>
    <row r="577" spans="1:3" x14ac:dyDescent="0.2">
      <c r="A577" s="114">
        <v>1101</v>
      </c>
      <c r="B577" s="114" t="s">
        <v>573</v>
      </c>
    </row>
    <row r="578" spans="1:3" x14ac:dyDescent="0.2">
      <c r="A578" s="114">
        <v>1102</v>
      </c>
      <c r="B578" s="114" t="s">
        <v>574</v>
      </c>
    </row>
    <row r="579" spans="1:3" x14ac:dyDescent="0.2">
      <c r="A579" s="114">
        <v>1103</v>
      </c>
      <c r="B579" s="114" t="s">
        <v>575</v>
      </c>
    </row>
    <row r="580" spans="1:3" x14ac:dyDescent="0.2">
      <c r="A580" s="114">
        <v>1104</v>
      </c>
      <c r="B580" s="114" t="s">
        <v>576</v>
      </c>
    </row>
    <row r="581" spans="1:3" x14ac:dyDescent="0.2">
      <c r="A581" s="114">
        <v>1106</v>
      </c>
      <c r="B581" s="114" t="s">
        <v>577</v>
      </c>
    </row>
    <row r="582" spans="1:3" x14ac:dyDescent="0.2">
      <c r="A582" s="114">
        <v>9999</v>
      </c>
      <c r="B582" s="114" t="s">
        <v>578</v>
      </c>
      <c r="C582" s="114" t="s">
        <v>579</v>
      </c>
    </row>
    <row r="584" spans="1:3" x14ac:dyDescent="0.2">
      <c r="A584" s="114">
        <v>1218</v>
      </c>
      <c r="B584" s="114" t="s">
        <v>580</v>
      </c>
    </row>
    <row r="585" spans="1:3" x14ac:dyDescent="0.2">
      <c r="A585" s="114">
        <v>1223</v>
      </c>
      <c r="B585" s="114" t="s">
        <v>581</v>
      </c>
    </row>
    <row r="586" spans="1:3" x14ac:dyDescent="0.2">
      <c r="A586" s="114">
        <v>1231</v>
      </c>
      <c r="B586" s="114" t="s">
        <v>582</v>
      </c>
    </row>
    <row r="587" spans="1:3" x14ac:dyDescent="0.2">
      <c r="A587" s="114">
        <v>1235</v>
      </c>
      <c r="B587" s="114" t="s">
        <v>583</v>
      </c>
    </row>
    <row r="588" spans="1:3" x14ac:dyDescent="0.2">
      <c r="A588" s="114">
        <v>1201</v>
      </c>
      <c r="B588" s="114" t="s">
        <v>584</v>
      </c>
    </row>
    <row r="591" spans="1:3" x14ac:dyDescent="0.2">
      <c r="A591" s="114">
        <v>5103</v>
      </c>
      <c r="B591" s="114" t="s">
        <v>541</v>
      </c>
      <c r="C591" s="114" t="s">
        <v>585</v>
      </c>
    </row>
    <row r="592" spans="1:3" x14ac:dyDescent="0.2">
      <c r="A592" s="114">
        <v>5104</v>
      </c>
      <c r="B592" s="114" t="s">
        <v>542</v>
      </c>
      <c r="C592" s="114" t="s">
        <v>579</v>
      </c>
    </row>
    <row r="593" spans="1:3" x14ac:dyDescent="0.2">
      <c r="A593" s="114">
        <v>5105</v>
      </c>
      <c r="B593" s="114" t="s">
        <v>586</v>
      </c>
      <c r="C593" s="114" t="s">
        <v>579</v>
      </c>
    </row>
    <row r="594" spans="1:3" x14ac:dyDescent="0.2">
      <c r="A594" s="114">
        <v>5106</v>
      </c>
      <c r="B594" s="114" t="s">
        <v>587</v>
      </c>
      <c r="C594" s="114" t="s">
        <v>585</v>
      </c>
    </row>
    <row r="595" spans="1:3" x14ac:dyDescent="0.2">
      <c r="A595" s="114">
        <v>7101</v>
      </c>
      <c r="B595" s="114" t="s">
        <v>588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ABAAD-0C48-4EE4-A13C-1B8764549BED}">
  <sheetPr>
    <tabColor theme="2" tint="-0.749992370372631"/>
  </sheetPr>
  <dimension ref="A1:AG47"/>
  <sheetViews>
    <sheetView showGridLines="0" topLeftCell="L3" zoomScaleNormal="100" workbookViewId="0">
      <selection activeCell="U10" sqref="U10"/>
    </sheetView>
  </sheetViews>
  <sheetFormatPr baseColWidth="10" defaultRowHeight="12.75" x14ac:dyDescent="0.2"/>
  <cols>
    <col min="1" max="1" width="4.140625" style="12" customWidth="1"/>
    <col min="2" max="2" width="26.28515625" style="12" customWidth="1"/>
    <col min="3" max="3" width="9.42578125" style="12" customWidth="1"/>
    <col min="4" max="4" width="6.42578125" style="12" customWidth="1"/>
    <col min="5" max="5" width="10.28515625" style="12" customWidth="1"/>
    <col min="6" max="7" width="7.140625" style="12" customWidth="1"/>
    <col min="8" max="8" width="11" style="12" customWidth="1"/>
    <col min="9" max="9" width="6.42578125" style="12" customWidth="1"/>
    <col min="10" max="10" width="9.5703125" style="12" customWidth="1"/>
    <col min="11" max="11" width="10.5703125" style="12" customWidth="1"/>
    <col min="12" max="12" width="5.42578125" style="12" customWidth="1"/>
    <col min="13" max="13" width="9.140625" style="12" bestFit="1" customWidth="1"/>
    <col min="14" max="14" width="5.42578125" style="12" customWidth="1"/>
    <col min="15" max="15" width="7.140625" style="12" customWidth="1"/>
    <col min="16" max="16" width="10.7109375" style="12" customWidth="1"/>
    <col min="17" max="17" width="5.140625" style="12" customWidth="1"/>
    <col min="18" max="18" width="7.140625" style="12" customWidth="1"/>
    <col min="19" max="19" width="10.85546875" style="13" customWidth="1"/>
    <col min="20" max="20" width="17.42578125" style="12" customWidth="1"/>
    <col min="21" max="28" width="11.42578125" style="12"/>
    <col min="29" max="29" width="5.7109375" style="12" bestFit="1" customWidth="1"/>
    <col min="30" max="31" width="11.42578125" style="12"/>
    <col min="32" max="32" width="13.42578125" style="12" customWidth="1"/>
    <col min="33" max="16384" width="11.42578125" style="12"/>
  </cols>
  <sheetData>
    <row r="1" spans="1:33" s="9" customFormat="1" ht="12.75" customHeight="1" x14ac:dyDescent="0.2">
      <c r="B1" s="10"/>
      <c r="S1" s="11"/>
    </row>
    <row r="2" spans="1:33" ht="11.25" customHeight="1" x14ac:dyDescent="0.2">
      <c r="A2" s="9"/>
      <c r="X2" s="14"/>
      <c r="Y2" s="14"/>
      <c r="Z2" s="14"/>
      <c r="AA2" s="14"/>
      <c r="AB2" s="14"/>
    </row>
    <row r="3" spans="1:33" ht="18" x14ac:dyDescent="0.25">
      <c r="B3" s="15" t="s">
        <v>18</v>
      </c>
      <c r="S3" s="16"/>
      <c r="T3" s="17" t="str">
        <f>+B3</f>
        <v>MUSICAR S.A. COLOMBIA CONSOLIDADO</v>
      </c>
    </row>
    <row r="4" spans="1:33" x14ac:dyDescent="0.2">
      <c r="B4" s="2" t="s">
        <v>19</v>
      </c>
      <c r="S4" s="16"/>
      <c r="T4" s="18" t="s">
        <v>20</v>
      </c>
    </row>
    <row r="5" spans="1:33" x14ac:dyDescent="0.2">
      <c r="B5" s="3" t="s">
        <v>21</v>
      </c>
      <c r="S5" s="16"/>
      <c r="T5" s="18" t="s">
        <v>21</v>
      </c>
    </row>
    <row r="6" spans="1:33" ht="13.5" thickBot="1" x14ac:dyDescent="0.25">
      <c r="B6" s="19" t="str">
        <f>+'COLOMB$ '!B6</f>
        <v>DICIEMBRE De 2022</v>
      </c>
      <c r="K6" s="20" t="s">
        <v>22</v>
      </c>
      <c r="L6" s="20"/>
      <c r="M6" s="20"/>
      <c r="N6" s="20"/>
      <c r="O6" s="20"/>
      <c r="P6" s="20"/>
      <c r="Q6" s="20"/>
      <c r="R6" s="20"/>
      <c r="S6" s="16"/>
      <c r="T6" s="12" t="str">
        <f>+B6</f>
        <v>DICIEMBRE De 2022</v>
      </c>
      <c r="X6" s="20" t="s">
        <v>22</v>
      </c>
      <c r="Y6" s="20"/>
      <c r="Z6" s="20"/>
      <c r="AA6" s="20"/>
      <c r="AB6" s="20"/>
      <c r="AC6" s="20"/>
    </row>
    <row r="7" spans="1:33" ht="17.25" customHeight="1" x14ac:dyDescent="0.2">
      <c r="C7" s="21" t="str">
        <f>+'COLOMB$ '!D7:D7</f>
        <v>Ppto 2022</v>
      </c>
      <c r="E7" s="12" t="str">
        <f>+'COLOMB$ '!F7:F7</f>
        <v>Real 2022</v>
      </c>
      <c r="G7" s="9" t="s">
        <v>23</v>
      </c>
      <c r="H7" s="12" t="str">
        <f>+'COLOMB$ '!I7:I7</f>
        <v>Real 2021</v>
      </c>
      <c r="J7" s="9" t="s">
        <v>24</v>
      </c>
      <c r="K7" s="12" t="str">
        <f>+C7</f>
        <v>Ppto 2022</v>
      </c>
      <c r="M7" s="22" t="str">
        <f>+E7</f>
        <v>Real 2022</v>
      </c>
      <c r="N7" s="22"/>
      <c r="O7" s="9" t="s">
        <v>23</v>
      </c>
      <c r="P7" s="12" t="str">
        <f>+H7</f>
        <v>Real 2021</v>
      </c>
      <c r="R7" s="9" t="s">
        <v>24</v>
      </c>
      <c r="S7" s="23"/>
      <c r="T7" s="14"/>
      <c r="U7" s="14" t="str">
        <f>+C7</f>
        <v>Ppto 2022</v>
      </c>
      <c r="V7" s="14" t="str">
        <f>+M7</f>
        <v>Real 2022</v>
      </c>
      <c r="W7" s="14" t="str">
        <f>+H7</f>
        <v>Real 2021</v>
      </c>
      <c r="X7" s="14" t="str">
        <f>+U7</f>
        <v>Ppto 2022</v>
      </c>
      <c r="Y7" s="14" t="str">
        <f>+V7</f>
        <v>Real 2022</v>
      </c>
      <c r="Z7" s="14" t="s">
        <v>25</v>
      </c>
      <c r="AA7" s="14" t="s">
        <v>23</v>
      </c>
      <c r="AB7" s="14" t="str">
        <f>+W7</f>
        <v>Real 2021</v>
      </c>
      <c r="AC7" s="14" t="s">
        <v>24</v>
      </c>
    </row>
    <row r="8" spans="1:33" ht="15.75" customHeight="1" thickBot="1" x14ac:dyDescent="0.25">
      <c r="B8" s="24" t="s">
        <v>26</v>
      </c>
      <c r="C8" s="25" t="s">
        <v>27</v>
      </c>
      <c r="D8" s="25" t="s">
        <v>28</v>
      </c>
      <c r="E8" s="25" t="s">
        <v>27</v>
      </c>
      <c r="F8" s="25" t="s">
        <v>28</v>
      </c>
      <c r="G8" s="25" t="s">
        <v>29</v>
      </c>
      <c r="H8" s="25" t="s">
        <v>27</v>
      </c>
      <c r="I8" s="25" t="s">
        <v>28</v>
      </c>
      <c r="J8" s="25" t="s">
        <v>29</v>
      </c>
      <c r="K8" s="25" t="s">
        <v>27</v>
      </c>
      <c r="L8" s="25" t="s">
        <v>28</v>
      </c>
      <c r="M8" s="25" t="s">
        <v>27</v>
      </c>
      <c r="N8" s="25" t="s">
        <v>28</v>
      </c>
      <c r="O8" s="25" t="s">
        <v>29</v>
      </c>
      <c r="P8" s="25" t="s">
        <v>27</v>
      </c>
      <c r="Q8" s="25" t="s">
        <v>28</v>
      </c>
      <c r="R8" s="25" t="s">
        <v>29</v>
      </c>
      <c r="S8" s="11"/>
      <c r="T8" s="26"/>
      <c r="U8" s="27"/>
      <c r="V8" s="27"/>
      <c r="W8" s="27"/>
      <c r="X8" s="27"/>
      <c r="Y8" s="27"/>
      <c r="Z8" s="27"/>
      <c r="AA8" s="27" t="s">
        <v>29</v>
      </c>
      <c r="AB8" s="27"/>
      <c r="AC8" s="27" t="s">
        <v>29</v>
      </c>
    </row>
    <row r="9" spans="1:33" x14ac:dyDescent="0.2">
      <c r="S9" s="16"/>
      <c r="U9" s="14"/>
      <c r="V9" s="14"/>
      <c r="W9" s="14"/>
      <c r="X9" s="14"/>
      <c r="Y9" s="14"/>
      <c r="Z9" s="14"/>
      <c r="AB9" s="14"/>
    </row>
    <row r="10" spans="1:33" x14ac:dyDescent="0.2">
      <c r="B10" s="18" t="str">
        <f>+'COLOMB$ '!B10</f>
        <v>Musical Experience  (Ambiental)</v>
      </c>
      <c r="C10" s="28">
        <f>+'COLOMB$ '!C10+'PROY SAT$'!C10</f>
        <v>405779</v>
      </c>
      <c r="D10" s="29">
        <f t="shared" ref="D10:D20" si="0">+C10/$C$20</f>
        <v>0.41472291437133213</v>
      </c>
      <c r="E10" s="28">
        <f>+'COLOMB$ '!E10+'PROY SAT$'!E10</f>
        <v>452956.58100000001</v>
      </c>
      <c r="F10" s="29">
        <f t="shared" ref="F10:F20" si="1">+E10/$E$20</f>
        <v>0.4100457734340065</v>
      </c>
      <c r="G10" s="29">
        <f t="shared" ref="G10:G20" si="2">IF(C10=0,"",(E10-C10)/ABS(C10)+1)</f>
        <v>1.1162642251077557</v>
      </c>
      <c r="H10" s="28">
        <f>+'COLOMB$ '!H10+'PROY SAT$'!H10</f>
        <v>396858.32299999997</v>
      </c>
      <c r="I10" s="29">
        <f t="shared" ref="I10:I19" si="3">+H10/$H$20</f>
        <v>0.39749449465394682</v>
      </c>
      <c r="J10" s="30">
        <f t="shared" ref="J10:J20" si="4">IF(H10=0,"",(E10-H10)/ABS(H10))</f>
        <v>0.14135588130275911</v>
      </c>
      <c r="K10" s="28">
        <f>+'COLOMB$ '!K10+'PROY SAT$'!K10</f>
        <v>4467738</v>
      </c>
      <c r="L10" s="29">
        <f t="shared" ref="L10:L20" si="5">+K10/$K$20</f>
        <v>0.412994981742758</v>
      </c>
      <c r="M10" s="28">
        <f>+'COLOMB$ '!M10+'PROY SAT$'!M10</f>
        <v>4387599.8420000002</v>
      </c>
      <c r="N10" s="29">
        <f t="shared" ref="N10:N20" si="6">+M10/$M$20</f>
        <v>0.4053232044393375</v>
      </c>
      <c r="O10" s="29">
        <f t="shared" ref="O10:O20" si="7">IF(K10=0,"",(M10-K10)/ABS(K10)+1)</f>
        <v>0.98206292356445257</v>
      </c>
      <c r="P10" s="28">
        <f>+'COLOMB$ '!P10+'PROY SAT$'!P10</f>
        <v>4187542.0929999999</v>
      </c>
      <c r="Q10" s="29">
        <f t="shared" ref="Q10:Q20" si="8">+P10/$P$20</f>
        <v>0.42803246761709252</v>
      </c>
      <c r="R10" s="30">
        <f t="shared" ref="R10:R20" si="9">IF(P10=0,"",(M10-P10)/ABS(P10))</f>
        <v>4.7774504603648481E-2</v>
      </c>
      <c r="S10" s="23"/>
      <c r="T10" s="18" t="s">
        <v>30</v>
      </c>
      <c r="U10" s="28">
        <f>+'COLOMB$ '!U10</f>
        <v>47189</v>
      </c>
      <c r="V10" s="28">
        <f>+'COLOMB$ '!V10</f>
        <v>76757</v>
      </c>
      <c r="W10" s="28">
        <f>+'COLOMB$ '!W10</f>
        <v>442631</v>
      </c>
      <c r="X10" s="28">
        <f>+'COLOMB$ '!X10</f>
        <v>484392</v>
      </c>
      <c r="Y10" s="28">
        <f>+'COLOMB$ '!Y10</f>
        <v>484392</v>
      </c>
      <c r="Z10" s="31">
        <f>+Y10-X10</f>
        <v>0</v>
      </c>
      <c r="AA10" s="32">
        <f>IF(X10=0,"",(Y10-X10)/ABS(X10)+1)</f>
        <v>1</v>
      </c>
      <c r="AB10" s="28">
        <f>+'COLOMB$ '!AB10</f>
        <v>590384</v>
      </c>
      <c r="AC10" s="30">
        <f>IF(W10=0,"",(Y10-AB10)/ABS(AB10))</f>
        <v>-0.17953061058565273</v>
      </c>
    </row>
    <row r="11" spans="1:33" x14ac:dyDescent="0.2">
      <c r="B11" s="18" t="str">
        <f>+'COLOMB$ '!B11</f>
        <v>Instalaciones</v>
      </c>
      <c r="C11" s="28">
        <f>+'COLOMB$ '!C11+'PROY SAT$'!C11</f>
        <v>43582</v>
      </c>
      <c r="D11" s="29">
        <f t="shared" si="0"/>
        <v>4.4542605837491339E-2</v>
      </c>
      <c r="E11" s="28">
        <f>+'COLOMB$ '!E11+'PROY SAT$'!E11</f>
        <v>57590.595000000001</v>
      </c>
      <c r="F11" s="29">
        <f t="shared" si="1"/>
        <v>5.2134754322731937E-2</v>
      </c>
      <c r="G11" s="29">
        <f t="shared" si="2"/>
        <v>1.3214307512275711</v>
      </c>
      <c r="H11" s="28">
        <f>+'COLOMB$ '!H11+'PROY SAT$'!H11</f>
        <v>57366.069000000003</v>
      </c>
      <c r="I11" s="29">
        <f t="shared" si="3"/>
        <v>5.745802793063369E-2</v>
      </c>
      <c r="J11" s="30">
        <f t="shared" si="4"/>
        <v>3.91391643028561E-3</v>
      </c>
      <c r="K11" s="28">
        <f>+'COLOMB$ '!K11+'PROY SAT$'!K11</f>
        <v>544760</v>
      </c>
      <c r="L11" s="29">
        <f t="shared" si="5"/>
        <v>5.0357282869806792E-2</v>
      </c>
      <c r="M11" s="28">
        <f>+'COLOMB$ '!M11+'PROY SAT$'!M11</f>
        <v>475062.11199999996</v>
      </c>
      <c r="N11" s="29">
        <f t="shared" si="6"/>
        <v>4.38858839633351E-2</v>
      </c>
      <c r="O11" s="29">
        <f t="shared" si="7"/>
        <v>0.87205762537631237</v>
      </c>
      <c r="P11" s="28">
        <f>+'COLOMB$ '!P11+'PROY SAT$'!P11</f>
        <v>473705.00400000002</v>
      </c>
      <c r="Q11" s="29">
        <f t="shared" si="8"/>
        <v>4.8420079674810976E-2</v>
      </c>
      <c r="R11" s="30">
        <f t="shared" si="9"/>
        <v>2.864880017184596E-3</v>
      </c>
      <c r="S11" s="23"/>
      <c r="T11" s="18" t="s">
        <v>31</v>
      </c>
      <c r="U11" s="28">
        <f>+'COLOMB$ '!U11</f>
        <v>1182060</v>
      </c>
      <c r="V11" s="28">
        <f>+'COLOMB$ '!V11</f>
        <v>1021615.04044</v>
      </c>
      <c r="W11" s="28">
        <f>+'COLOMB$ '!W11</f>
        <v>1292768.58877</v>
      </c>
      <c r="X11" s="28">
        <f>+'COLOMB$ '!X11</f>
        <v>12456662</v>
      </c>
      <c r="Y11" s="28">
        <f>+'COLOMB$ '!Y11</f>
        <v>12280239.80257</v>
      </c>
      <c r="Z11" s="31">
        <f>+Y11-X11</f>
        <v>-176422.19742999971</v>
      </c>
      <c r="AA11" s="32">
        <f>IF(X11=0,"",(Y11-X11)/ABS(X11)+1)</f>
        <v>0.98583712093737474</v>
      </c>
      <c r="AB11" s="28">
        <f>+'COLOMB$ '!AB11</f>
        <v>11729911.156860001</v>
      </c>
      <c r="AC11" s="30">
        <f>IF(AB11=0,"",(Y11-AB11)/ABS(AB11))</f>
        <v>4.6916693430209856E-2</v>
      </c>
    </row>
    <row r="12" spans="1:33" x14ac:dyDescent="0.2">
      <c r="B12" s="18" t="str">
        <f>+'COLOMB$ '!B12</f>
        <v>Voice Experience (Publihold)</v>
      </c>
      <c r="C12" s="28">
        <f>+'COLOMB$ '!C12+'PROY SAT$'!C12</f>
        <v>88855</v>
      </c>
      <c r="D12" s="29">
        <f t="shared" si="0"/>
        <v>9.0813483587038057E-2</v>
      </c>
      <c r="E12" s="28">
        <f>+'COLOMB$ '!E12+'PROY SAT$'!E12</f>
        <v>100319.38499999999</v>
      </c>
      <c r="F12" s="29">
        <f t="shared" si="1"/>
        <v>9.0815635622145577E-2</v>
      </c>
      <c r="G12" s="29">
        <f t="shared" si="2"/>
        <v>1.1290235214675595</v>
      </c>
      <c r="H12" s="28">
        <f>+'COLOMB$ '!H12+'PROY SAT$'!H12</f>
        <v>93718.816999999995</v>
      </c>
      <c r="I12" s="29">
        <f t="shared" si="3"/>
        <v>9.386905009670346E-2</v>
      </c>
      <c r="J12" s="30">
        <f t="shared" si="4"/>
        <v>7.042948482800418E-2</v>
      </c>
      <c r="K12" s="28">
        <f>+'COLOMB$ '!K12+'PROY SAT$'!K12</f>
        <v>958969</v>
      </c>
      <c r="L12" s="29">
        <f t="shared" si="5"/>
        <v>8.8646510750377688E-2</v>
      </c>
      <c r="M12" s="28">
        <f>+'COLOMB$ '!M12+'PROY SAT$'!M12</f>
        <v>1044993.7378</v>
      </c>
      <c r="N12" s="29">
        <f t="shared" si="6"/>
        <v>9.6535742929342735E-2</v>
      </c>
      <c r="O12" s="29">
        <f t="shared" si="7"/>
        <v>1.0897054417817469</v>
      </c>
      <c r="P12" s="28">
        <f>+'COLOMB$ '!P12+'PROY SAT$'!P12</f>
        <v>1102585.4952</v>
      </c>
      <c r="Q12" s="29">
        <f t="shared" si="8"/>
        <v>0.11270152748032805</v>
      </c>
      <c r="R12" s="30">
        <f t="shared" si="9"/>
        <v>-5.2233371154182764E-2</v>
      </c>
      <c r="S12" s="23"/>
      <c r="AC12" s="2"/>
    </row>
    <row r="13" spans="1:33" x14ac:dyDescent="0.2">
      <c r="B13" s="18" t="str">
        <f>+'COLOMB$ '!B13</f>
        <v>Service &amp; Equipment Experience</v>
      </c>
      <c r="C13" s="28">
        <f>+'COLOMB$ '!C13+'PROY SAT$'!C13</f>
        <v>92960</v>
      </c>
      <c r="D13" s="29">
        <f t="shared" si="0"/>
        <v>9.5008963302583516E-2</v>
      </c>
      <c r="E13" s="28">
        <f>+'COLOMB$ '!E13+'PROY SAT$'!E13</f>
        <v>155225.94500000001</v>
      </c>
      <c r="F13" s="29">
        <f t="shared" si="1"/>
        <v>0.14052062679833227</v>
      </c>
      <c r="G13" s="29">
        <f t="shared" si="2"/>
        <v>1.6698143825301206</v>
      </c>
      <c r="H13" s="28">
        <f>+'COLOMB$ '!H13+'PROY SAT$'!H13</f>
        <v>198037.24900000001</v>
      </c>
      <c r="I13" s="29">
        <f t="shared" si="3"/>
        <v>0.19835470658357049</v>
      </c>
      <c r="J13" s="30">
        <f t="shared" si="4"/>
        <v>-0.21617803830429902</v>
      </c>
      <c r="K13" s="28">
        <f>+'COLOMB$ '!K13+'PROY SAT$'!K13</f>
        <v>1138194</v>
      </c>
      <c r="L13" s="29">
        <f t="shared" si="5"/>
        <v>0.10521396067757705</v>
      </c>
      <c r="M13" s="28">
        <f>+'COLOMB$ '!M13+'PROY SAT$'!M13</f>
        <v>1203076.0819999999</v>
      </c>
      <c r="N13" s="29">
        <f t="shared" si="6"/>
        <v>0.11113927210788771</v>
      </c>
      <c r="O13" s="29">
        <f t="shared" si="7"/>
        <v>1.0570044140102652</v>
      </c>
      <c r="P13" s="28">
        <f>+'COLOMB$ '!P13+'PROY SAT$'!P13</f>
        <v>949427.05999999994</v>
      </c>
      <c r="Q13" s="29">
        <f t="shared" si="8"/>
        <v>9.7046333693830977E-2</v>
      </c>
      <c r="R13" s="30">
        <f t="shared" si="9"/>
        <v>0.267160093372523</v>
      </c>
      <c r="S13" s="23"/>
      <c r="T13" s="18" t="s">
        <v>32</v>
      </c>
      <c r="U13" s="28">
        <f>+'COLOMB$ '!U13</f>
        <v>104937</v>
      </c>
      <c r="V13" s="28">
        <f>+'COLOMB$ '!V13</f>
        <v>114500.35</v>
      </c>
      <c r="W13" s="28">
        <f>+'COLOMB$ '!W13</f>
        <v>262728.31641999999</v>
      </c>
      <c r="X13" s="28">
        <f>+'COLOMB$ '!X13</f>
        <v>1520643</v>
      </c>
      <c r="Y13" s="28">
        <f>+'COLOMB$ '!Y13</f>
        <v>1531835.8294300002</v>
      </c>
      <c r="Z13" s="31">
        <f>+X13-Y13</f>
        <v>-11192.829430000158</v>
      </c>
      <c r="AA13" s="32">
        <f>IF(X13=0,"",(Y13-X13)/ABS(X13)+1)</f>
        <v>1.0073605898491627</v>
      </c>
      <c r="AB13" s="28">
        <f>+'COLOMB$ '!AB13</f>
        <v>2863270.9825900001</v>
      </c>
      <c r="AC13" s="30">
        <f>IF(AB13=0,"",(Y13-AB13)/ABS(AB13))</f>
        <v>-0.46500494059267738</v>
      </c>
      <c r="AE13" s="33"/>
      <c r="AF13" s="33"/>
    </row>
    <row r="14" spans="1:33" x14ac:dyDescent="0.2">
      <c r="B14" s="18" t="str">
        <f>+'COLOMB$ '!B14</f>
        <v>POP Satelital</v>
      </c>
      <c r="C14" s="28">
        <f>+'COLOMB$ '!C14+'PROY SAT$'!C14</f>
        <v>0</v>
      </c>
      <c r="D14" s="29">
        <f t="shared" si="0"/>
        <v>0</v>
      </c>
      <c r="E14" s="28">
        <f>+'COLOMB$ '!E14+'PROY SAT$'!E14</f>
        <v>0</v>
      </c>
      <c r="F14" s="29">
        <f t="shared" si="1"/>
        <v>0</v>
      </c>
      <c r="G14" s="29" t="str">
        <f t="shared" si="2"/>
        <v/>
      </c>
      <c r="H14" s="28">
        <f>+'COLOMB$ '!H14+'PROY SAT$'!H14</f>
        <v>0</v>
      </c>
      <c r="I14" s="29">
        <f t="shared" si="3"/>
        <v>0</v>
      </c>
      <c r="J14" s="30" t="str">
        <f t="shared" si="4"/>
        <v/>
      </c>
      <c r="K14" s="28">
        <f>+'COLOMB$ '!K14+'PROY SAT$'!K14</f>
        <v>0</v>
      </c>
      <c r="L14" s="29">
        <f t="shared" si="5"/>
        <v>0</v>
      </c>
      <c r="M14" s="28">
        <f>+'COLOMB$ '!M14+'PROY SAT$'!M14</f>
        <v>0</v>
      </c>
      <c r="N14" s="29">
        <f t="shared" si="6"/>
        <v>0</v>
      </c>
      <c r="O14" s="29" t="str">
        <f t="shared" si="7"/>
        <v/>
      </c>
      <c r="P14" s="28">
        <f>+'COLOMB$ '!P14+'PROY SAT$'!P14</f>
        <v>0</v>
      </c>
      <c r="Q14" s="29">
        <f t="shared" si="8"/>
        <v>0</v>
      </c>
      <c r="R14" s="30" t="str">
        <f t="shared" si="9"/>
        <v/>
      </c>
      <c r="S14" s="23"/>
      <c r="T14" s="18" t="s">
        <v>33</v>
      </c>
      <c r="U14" s="28">
        <f>+'COLOMB$ '!U14</f>
        <v>8350</v>
      </c>
      <c r="V14" s="28">
        <f>+'COLOMB$ '!V14</f>
        <v>10149.914000000001</v>
      </c>
      <c r="W14" s="28">
        <f>+'COLOMB$ '!W14</f>
        <v>9300.2860000000001</v>
      </c>
      <c r="X14" s="28">
        <f>+'COLOMB$ '!X14</f>
        <v>100230</v>
      </c>
      <c r="Y14" s="28">
        <f>+'COLOMB$ '!Y14</f>
        <v>124964.72934000001</v>
      </c>
      <c r="Z14" s="31">
        <f>+X14-Y14</f>
        <v>-24734.729340000005</v>
      </c>
      <c r="AA14" s="32">
        <f>IF(X14=0,"",(Y14-X14)/ABS(X14)+1)</f>
        <v>1.2467797000897936</v>
      </c>
      <c r="AB14" s="28">
        <f>+'COLOMB$ '!AB14</f>
        <v>91599.292000000001</v>
      </c>
      <c r="AC14" s="30">
        <f>IF(AB14=0,"",(Y14-AB14)/ABS(AB14))</f>
        <v>0.36425431476042419</v>
      </c>
      <c r="AE14" s="33"/>
    </row>
    <row r="15" spans="1:33" x14ac:dyDescent="0.2">
      <c r="B15" s="18" t="str">
        <f>+'COLOMB$ '!B15</f>
        <v>Voice Experience (Audicóm)</v>
      </c>
      <c r="C15" s="28">
        <f>+'COLOMB$ '!C15+'PROY SAT$'!C15</f>
        <v>143352</v>
      </c>
      <c r="D15" s="29">
        <f t="shared" si="0"/>
        <v>0.14651167069010276</v>
      </c>
      <c r="E15" s="28">
        <f>+'COLOMB$ '!E15+'PROY SAT$'!E15</f>
        <v>129744.712</v>
      </c>
      <c r="F15" s="29">
        <f t="shared" si="1"/>
        <v>0.11745335648630841</v>
      </c>
      <c r="G15" s="29">
        <f t="shared" si="2"/>
        <v>0.90507779451978343</v>
      </c>
      <c r="H15" s="28">
        <f>+'COLOMB$ '!H15+'PROY SAT$'!H15</f>
        <v>113660.492</v>
      </c>
      <c r="I15" s="29">
        <f t="shared" si="3"/>
        <v>0.11384269199176898</v>
      </c>
      <c r="J15" s="30">
        <f t="shared" si="4"/>
        <v>0.14151108900707557</v>
      </c>
      <c r="K15" s="28">
        <f>+'COLOMB$ '!K15+'PROY SAT$'!K15</f>
        <v>1517107</v>
      </c>
      <c r="L15" s="29">
        <f t="shared" si="5"/>
        <v>0.14024044779859748</v>
      </c>
      <c r="M15" s="28">
        <f>+'COLOMB$ '!M15+'PROY SAT$'!M15</f>
        <v>1480972.6459999999</v>
      </c>
      <c r="N15" s="29">
        <f t="shared" si="6"/>
        <v>0.13681114964442662</v>
      </c>
      <c r="O15" s="29">
        <f t="shared" si="7"/>
        <v>0.97618206626164139</v>
      </c>
      <c r="P15" s="28">
        <f>+'COLOMB$ '!P15+'PROY SAT$'!P15</f>
        <v>1382499.422</v>
      </c>
      <c r="Q15" s="29">
        <f t="shared" si="8"/>
        <v>0.14131312018739012</v>
      </c>
      <c r="R15" s="30">
        <f t="shared" si="9"/>
        <v>7.1228401569631852E-2</v>
      </c>
      <c r="S15" s="23"/>
      <c r="T15" s="18" t="s">
        <v>34</v>
      </c>
      <c r="U15" s="28">
        <f>+'COLOMB$ '!U15</f>
        <v>522267</v>
      </c>
      <c r="V15" s="28">
        <f>+'COLOMB$ '!V15</f>
        <v>481670.66899999999</v>
      </c>
      <c r="W15" s="28">
        <f>+'COLOMB$ '!W15</f>
        <v>445399.85100000002</v>
      </c>
      <c r="X15" s="28">
        <f>+'COLOMB$ '!X15</f>
        <v>4798083</v>
      </c>
      <c r="Y15" s="28">
        <f>+'COLOMB$ '!Y15</f>
        <v>4651491.8542799996</v>
      </c>
      <c r="Z15" s="31">
        <f>+X15-Y15</f>
        <v>146591.14572000038</v>
      </c>
      <c r="AA15" s="32">
        <f>IF(X15=0,"",(Y15-X15)/ABS(X15)+1)</f>
        <v>0.96944797626051893</v>
      </c>
      <c r="AB15" s="28">
        <f>+'COLOMB$ '!AB15</f>
        <v>4090776.7919999999</v>
      </c>
      <c r="AC15" s="30">
        <f>IF(AB15=0,"",(Y15-AB15)/ABS(AB15))</f>
        <v>0.13706811463694246</v>
      </c>
      <c r="AE15" s="33"/>
      <c r="AF15" s="33"/>
      <c r="AG15" s="33"/>
    </row>
    <row r="16" spans="1:33" x14ac:dyDescent="0.2">
      <c r="B16" s="18" t="str">
        <f>+'COLOMB$ '!B16</f>
        <v>Fact. Servicio Satelital</v>
      </c>
      <c r="C16" s="28">
        <f>+'COLOMB$ '!C16+'PROY SAT$'!C16</f>
        <v>0</v>
      </c>
      <c r="D16" s="29">
        <f t="shared" si="0"/>
        <v>0</v>
      </c>
      <c r="E16" s="28">
        <f>+'COLOMB$ '!E16+'PROY SAT$'!E16</f>
        <v>0</v>
      </c>
      <c r="F16" s="29">
        <f t="shared" si="1"/>
        <v>0</v>
      </c>
      <c r="G16" s="29" t="str">
        <f t="shared" si="2"/>
        <v/>
      </c>
      <c r="H16" s="28">
        <f>+'COLOMB$ '!H16+'PROY SAT$'!H16</f>
        <v>0</v>
      </c>
      <c r="I16" s="29">
        <f t="shared" si="3"/>
        <v>0</v>
      </c>
      <c r="J16" s="30" t="str">
        <f t="shared" si="4"/>
        <v/>
      </c>
      <c r="K16" s="28">
        <f>+'COLOMB$ '!K16+'PROY SAT$'!K16</f>
        <v>0</v>
      </c>
      <c r="L16" s="29">
        <f t="shared" si="5"/>
        <v>0</v>
      </c>
      <c r="M16" s="28">
        <f>+'COLOMB$ '!M16+'PROY SAT$'!M16</f>
        <v>0</v>
      </c>
      <c r="N16" s="29">
        <f t="shared" si="6"/>
        <v>0</v>
      </c>
      <c r="O16" s="29" t="str">
        <f t="shared" si="7"/>
        <v/>
      </c>
      <c r="P16" s="28">
        <f>+'COLOMB$ '!P16+'PROY SAT$'!P16</f>
        <v>0</v>
      </c>
      <c r="Q16" s="29">
        <f t="shared" si="8"/>
        <v>0</v>
      </c>
      <c r="R16" s="30" t="str">
        <f t="shared" si="9"/>
        <v/>
      </c>
      <c r="S16" s="23"/>
      <c r="T16" s="18" t="s">
        <v>35</v>
      </c>
      <c r="U16" s="28">
        <f>+'COLOMB$ '!U16</f>
        <v>234136</v>
      </c>
      <c r="V16" s="28">
        <f>+'COLOMB$ '!V16</f>
        <v>331647.86215</v>
      </c>
      <c r="W16" s="28">
        <f>+'COLOMB$ '!W16</f>
        <v>244516.69524</v>
      </c>
      <c r="X16" s="28">
        <f>+'COLOMB$ '!X16</f>
        <v>2952776</v>
      </c>
      <c r="Y16" s="28">
        <f>+'COLOMB$ '!Y16</f>
        <v>3019527.01401</v>
      </c>
      <c r="Z16" s="31">
        <f>+X16-Y16</f>
        <v>-66751.014010000043</v>
      </c>
      <c r="AA16" s="32">
        <f>IF(X16=0,"",(Y16-X16)/ABS(X16)+1)</f>
        <v>1.0226061895687313</v>
      </c>
      <c r="AB16" s="28">
        <f>+'COLOMB$ '!AB16</f>
        <v>2091514.3385999999</v>
      </c>
      <c r="AC16" s="30">
        <f>IF(AB16=0,"",(Y16-AB16)/ABS(AB16))</f>
        <v>0.44370371184315444</v>
      </c>
      <c r="AE16" s="33"/>
      <c r="AF16" s="13"/>
    </row>
    <row r="17" spans="2:32" x14ac:dyDescent="0.2">
      <c r="B17" s="18" t="str">
        <f>+'COLOMB$ '!B17</f>
        <v>Visual Experience</v>
      </c>
      <c r="C17" s="28">
        <f>+'COLOMB$ '!C17+'PROY SAT$'!C17</f>
        <v>22611</v>
      </c>
      <c r="D17" s="29">
        <f t="shared" si="0"/>
        <v>2.3109376820511143E-2</v>
      </c>
      <c r="E17" s="28">
        <f>+'COLOMB$ '!E17+'PROY SAT$'!E17</f>
        <v>22274.138999999999</v>
      </c>
      <c r="F17" s="29">
        <f t="shared" si="1"/>
        <v>2.0164000120425601E-2</v>
      </c>
      <c r="G17" s="29">
        <f t="shared" si="2"/>
        <v>0.98510189730662068</v>
      </c>
      <c r="H17" s="28">
        <f>+'COLOMB$ '!H17+'PROY SAT$'!H17</f>
        <v>16996.571</v>
      </c>
      <c r="I17" s="29">
        <f t="shared" si="3"/>
        <v>1.7023816835750043E-2</v>
      </c>
      <c r="J17" s="30">
        <f t="shared" si="4"/>
        <v>0.31050780772192221</v>
      </c>
      <c r="K17" s="28">
        <f>+'COLOMB$ '!K17+'PROY SAT$'!K17</f>
        <v>308963</v>
      </c>
      <c r="L17" s="29">
        <f t="shared" si="5"/>
        <v>2.856035169121102E-2</v>
      </c>
      <c r="M17" s="28">
        <f>+'COLOMB$ '!M17+'PROY SAT$'!M17</f>
        <v>308711.39500000002</v>
      </c>
      <c r="N17" s="29">
        <f t="shared" si="6"/>
        <v>2.8518528665845932E-2</v>
      </c>
      <c r="O17" s="29">
        <f t="shared" si="7"/>
        <v>0.99918564682502442</v>
      </c>
      <c r="P17" s="28">
        <f>+'COLOMB$ '!P17+'PROY SAT$'!P17</f>
        <v>263052.19300000003</v>
      </c>
      <c r="Q17" s="29">
        <f t="shared" si="8"/>
        <v>2.6888059100371578E-2</v>
      </c>
      <c r="R17" s="30">
        <f t="shared" si="9"/>
        <v>0.17357468675427459</v>
      </c>
      <c r="S17" s="23"/>
      <c r="T17" s="18" t="s">
        <v>36</v>
      </c>
      <c r="U17" s="28">
        <f>U13+U14+U15+U16</f>
        <v>869690</v>
      </c>
      <c r="V17" s="28">
        <f>V13+V14+V15+V16</f>
        <v>937968.7951499999</v>
      </c>
      <c r="W17" s="28">
        <f>W13+W14+W15+W16</f>
        <v>961945.14866000006</v>
      </c>
      <c r="X17" s="28">
        <f>X13+X14+X15+X16</f>
        <v>9371732</v>
      </c>
      <c r="Y17" s="28">
        <f>Y13+Y14+Y15+Y16</f>
        <v>9327819.4270600006</v>
      </c>
      <c r="Z17" s="31">
        <f>+Y17-X17</f>
        <v>-43912.572939999402</v>
      </c>
      <c r="AA17" s="32">
        <f>IF(X17=0,"",(Y17-X17)/ABS(X17)+1)</f>
        <v>0.99531435886770991</v>
      </c>
      <c r="AB17" s="28">
        <f>+'COLOMB$ '!AB17</f>
        <v>9137161.4051900003</v>
      </c>
      <c r="AC17" s="30">
        <f>IF(AB17=0,"",(Y17-AB17)/ABS(AB17))</f>
        <v>2.0866220198507666E-2</v>
      </c>
      <c r="AE17" s="33"/>
      <c r="AF17" s="33"/>
    </row>
    <row r="18" spans="2:32" x14ac:dyDescent="0.2">
      <c r="B18" s="18" t="str">
        <f>+'COLOMB$ '!B18</f>
        <v>Olfa Experience</v>
      </c>
      <c r="C18" s="28">
        <f>+'COLOMB$ '!C18+'PROY SAT$'!C18</f>
        <v>137201</v>
      </c>
      <c r="D18" s="29">
        <f t="shared" si="0"/>
        <v>0.14022509438551808</v>
      </c>
      <c r="E18" s="28">
        <f>+'COLOMB$ '!E18+'PROY SAT$'!E18</f>
        <v>132988.75</v>
      </c>
      <c r="F18" s="29">
        <f t="shared" si="1"/>
        <v>0.12039007079085078</v>
      </c>
      <c r="G18" s="29">
        <f t="shared" si="2"/>
        <v>0.96929869315821315</v>
      </c>
      <c r="H18" s="28">
        <f>+'COLOMB$ '!H18+'PROY SAT$'!H18</f>
        <v>87142.206999999995</v>
      </c>
      <c r="I18" s="29">
        <f t="shared" si="3"/>
        <v>8.7281897662241106E-2</v>
      </c>
      <c r="J18" s="34">
        <f t="shared" si="4"/>
        <v>0.52611179563079014</v>
      </c>
      <c r="K18" s="28">
        <f>+'COLOMB$ '!K18+'PROY SAT$'!K18</f>
        <v>1361215</v>
      </c>
      <c r="L18" s="29">
        <f t="shared" si="5"/>
        <v>0.12582988619139446</v>
      </c>
      <c r="M18" s="28">
        <f>+'COLOMB$ '!M18+'PROY SAT$'!M18</f>
        <v>1292419.6410000001</v>
      </c>
      <c r="N18" s="29">
        <f t="shared" si="6"/>
        <v>0.11939276352322792</v>
      </c>
      <c r="O18" s="29">
        <f t="shared" si="7"/>
        <v>0.9494603284565627</v>
      </c>
      <c r="P18" s="28">
        <f>+'COLOMB$ '!P18+'PROY SAT$'!P18</f>
        <v>1016523.611</v>
      </c>
      <c r="Q18" s="29">
        <f t="shared" si="8"/>
        <v>0.10390465336090593</v>
      </c>
      <c r="R18" s="30">
        <f t="shared" si="9"/>
        <v>0.27141133468467954</v>
      </c>
      <c r="S18" s="23"/>
      <c r="AC18" s="2"/>
      <c r="AE18" s="33"/>
    </row>
    <row r="19" spans="2:32" x14ac:dyDescent="0.2">
      <c r="B19" s="18" t="str">
        <f>+'COLOMB$ '!B19</f>
        <v>Locutor virtual</v>
      </c>
      <c r="C19" s="28">
        <f>+'COLOMB$ '!C19+'PROY SAT$'!C19</f>
        <v>44094</v>
      </c>
      <c r="D19" s="29">
        <f t="shared" si="0"/>
        <v>4.5065891005422951E-2</v>
      </c>
      <c r="E19" s="28">
        <f>+'COLOMB$ '!E19+'PROY SAT$'!E19</f>
        <v>53548.716</v>
      </c>
      <c r="F19" s="29">
        <f t="shared" si="1"/>
        <v>4.847578242519885E-2</v>
      </c>
      <c r="G19" s="29">
        <f t="shared" si="2"/>
        <v>1.2144218260987889</v>
      </c>
      <c r="H19" s="28">
        <f>+'COLOMB$ '!H19+'PROY SAT$'!H19</f>
        <v>34619.817999999999</v>
      </c>
      <c r="I19" s="29">
        <f t="shared" si="3"/>
        <v>3.467531424538528E-2</v>
      </c>
      <c r="J19" s="30">
        <f t="shared" si="4"/>
        <v>0.54676480390509274</v>
      </c>
      <c r="K19" s="28">
        <f>+'COLOMB$ '!K19+'PROY SAT$'!K19</f>
        <v>520953</v>
      </c>
      <c r="L19" s="29">
        <f t="shared" si="5"/>
        <v>4.8156578278277511E-2</v>
      </c>
      <c r="M19" s="28">
        <f>+'COLOMB$ '!M19+'PROY SAT$'!M19</f>
        <v>632105.71200000006</v>
      </c>
      <c r="N19" s="29">
        <f t="shared" si="6"/>
        <v>5.839345472659651E-2</v>
      </c>
      <c r="O19" s="29">
        <f t="shared" si="7"/>
        <v>1.213364184484973</v>
      </c>
      <c r="P19" s="28">
        <f>+'COLOMB$ '!P19+'PROY SAT$'!P19</f>
        <v>407899.82900000003</v>
      </c>
      <c r="Q19" s="29">
        <f t="shared" si="8"/>
        <v>4.1693758885269813E-2</v>
      </c>
      <c r="R19" s="30">
        <f t="shared" si="9"/>
        <v>0.54965917379680984</v>
      </c>
      <c r="S19" s="23"/>
      <c r="T19" s="18" t="s">
        <v>37</v>
      </c>
      <c r="U19" s="28">
        <f>U11-U17</f>
        <v>312370</v>
      </c>
      <c r="V19" s="28">
        <f>V11-V17</f>
        <v>83646.245290000108</v>
      </c>
      <c r="W19" s="28">
        <f>W11-W17</f>
        <v>330823.44010999997</v>
      </c>
      <c r="X19" s="28">
        <f>X11-X17</f>
        <v>3084930</v>
      </c>
      <c r="Y19" s="28">
        <f>Y11-Y17</f>
        <v>2952420.3755099997</v>
      </c>
      <c r="Z19" s="31">
        <f>+Y19-X19</f>
        <v>-132509.62449000031</v>
      </c>
      <c r="AA19" s="32">
        <f>IF(X19=0,"",(Y19-X19)/ABS(X19)+1)</f>
        <v>0.95704614870029459</v>
      </c>
      <c r="AB19" s="28">
        <f>AB11-AB17</f>
        <v>2592749.7516700011</v>
      </c>
      <c r="AC19" s="30">
        <f>IF(AB19=0,"",(Y19-AB19)/ABS(AB19))</f>
        <v>0.1387216886659938</v>
      </c>
      <c r="AE19" s="33"/>
    </row>
    <row r="20" spans="2:32" x14ac:dyDescent="0.2">
      <c r="B20" s="35" t="s">
        <v>38</v>
      </c>
      <c r="C20" s="36">
        <f>SUM(C10:C19)</f>
        <v>978434</v>
      </c>
      <c r="D20" s="37">
        <f t="shared" si="0"/>
        <v>1</v>
      </c>
      <c r="E20" s="36">
        <f>SUM(E10:E19)</f>
        <v>1104648.8230000001</v>
      </c>
      <c r="F20" s="37">
        <f t="shared" si="1"/>
        <v>1</v>
      </c>
      <c r="G20" s="37">
        <f t="shared" si="2"/>
        <v>1.1289967672832302</v>
      </c>
      <c r="H20" s="36">
        <f>SUM(H10:H19)</f>
        <v>998399.54600000009</v>
      </c>
      <c r="I20" s="37">
        <f>+H22/$H$22</f>
        <v>1</v>
      </c>
      <c r="J20" s="38">
        <f t="shared" si="4"/>
        <v>0.10641959666916755</v>
      </c>
      <c r="K20" s="36">
        <f>SUM(K10:K19)</f>
        <v>10817899</v>
      </c>
      <c r="L20" s="37">
        <f t="shared" si="5"/>
        <v>1</v>
      </c>
      <c r="M20" s="36">
        <f>SUM(M10:M19)</f>
        <v>10824941.1678</v>
      </c>
      <c r="N20" s="37">
        <f t="shared" si="6"/>
        <v>1</v>
      </c>
      <c r="O20" s="37">
        <f t="shared" si="7"/>
        <v>1.0006509737057074</v>
      </c>
      <c r="P20" s="36">
        <f>SUM(P10:P19)</f>
        <v>9783234.7072000001</v>
      </c>
      <c r="Q20" s="37">
        <f t="shared" si="8"/>
        <v>1</v>
      </c>
      <c r="R20" s="38">
        <f t="shared" si="9"/>
        <v>0.10647873548749198</v>
      </c>
      <c r="S20" s="23"/>
      <c r="T20" s="18"/>
      <c r="U20" s="28"/>
      <c r="V20" s="28"/>
      <c r="W20" s="28"/>
      <c r="X20" s="28"/>
      <c r="Y20" s="28"/>
      <c r="Z20" s="31"/>
      <c r="AA20" s="32"/>
      <c r="AB20" s="28"/>
      <c r="AC20" s="30" t="str">
        <f>IF(AB20=0,"",(Y20-AB20)/ABS(AB20))</f>
        <v/>
      </c>
      <c r="AE20" s="33"/>
    </row>
    <row r="21" spans="2:32" x14ac:dyDescent="0.2">
      <c r="J21" s="30"/>
      <c r="R21" s="30"/>
      <c r="S21" s="23"/>
      <c r="T21" s="18" t="s">
        <v>39</v>
      </c>
      <c r="U21" s="28">
        <f>+U10+U19</f>
        <v>359559</v>
      </c>
      <c r="V21" s="28">
        <f>+V10+V19</f>
        <v>160403.24529000011</v>
      </c>
      <c r="W21" s="28">
        <f>+'COLOMB$ '!W21</f>
        <v>773454.44010999997</v>
      </c>
      <c r="X21" s="28">
        <f>+X10+X19</f>
        <v>3569322</v>
      </c>
      <c r="Y21" s="28">
        <f>+Y10+Y19</f>
        <v>3436812.3755099997</v>
      </c>
      <c r="Z21" s="31">
        <f>+Y21-X21</f>
        <v>-132509.62449000031</v>
      </c>
      <c r="AA21" s="32">
        <f>IF(X21=0,"",(Y21-X21)/ABS(X21)+1)</f>
        <v>0.96287540757320289</v>
      </c>
      <c r="AB21" s="28">
        <f>+'COLOMB$ '!AB21</f>
        <v>3183133.7516700011</v>
      </c>
      <c r="AC21" s="30">
        <f>IF(AB21=0,"",(Y21-AB21)/ABS(AB21))</f>
        <v>7.9694616573026039E-2</v>
      </c>
    </row>
    <row r="22" spans="2:32" x14ac:dyDescent="0.2">
      <c r="B22" s="18" t="s">
        <v>40</v>
      </c>
      <c r="C22" s="28">
        <f>+'COLOMB$ '!C22+'PROY SAT$'!C22</f>
        <v>81175</v>
      </c>
      <c r="D22" s="29">
        <f>+C22/$C$20</f>
        <v>8.2964206068063859E-2</v>
      </c>
      <c r="E22" s="28">
        <f>+'COLOMB$ '!E22+'PROY SAT$'!E22</f>
        <v>146849.23090999998</v>
      </c>
      <c r="F22" s="29">
        <f>+E22/$E$20</f>
        <v>0.1329374800863749</v>
      </c>
      <c r="G22" s="29">
        <f>IF(C22=0,"",(E22-C22)/ABS(C22)+1)</f>
        <v>1.8090450373883584</v>
      </c>
      <c r="H22" s="28">
        <f>+'COLOMB$ '!H22+'PROY SAT$'!H22</f>
        <v>170745.97263</v>
      </c>
      <c r="I22" s="29">
        <f>+H22/$H$20</f>
        <v>0.17101968176375751</v>
      </c>
      <c r="J22" s="30">
        <f>IF(H22=0,"",(E22-H22)/ABS(H22))</f>
        <v>-0.13995493628293854</v>
      </c>
      <c r="K22" s="28">
        <f>+'COLOMB$ '!K22+'PROY SAT$'!K22</f>
        <v>930553</v>
      </c>
      <c r="L22" s="29">
        <f>+K22/$K$20</f>
        <v>8.6019753003794913E-2</v>
      </c>
      <c r="M22" s="28">
        <f>+'COLOMB$ '!M22+'PROY SAT$'!M22</f>
        <v>1060682.1178600001</v>
      </c>
      <c r="N22" s="29">
        <f>+M22/$M$20</f>
        <v>9.7985023790717482E-2</v>
      </c>
      <c r="O22" s="29">
        <f>IF(K22=0,"",(M22-K22)/ABS(K22)+1)</f>
        <v>1.1398406300984469</v>
      </c>
      <c r="P22" s="28">
        <f>+'COLOMB$ '!P22+'PROY SAT$'!P22</f>
        <v>763785.12313999992</v>
      </c>
      <c r="Q22" s="29">
        <f>+P22/$P$20</f>
        <v>7.8070816657182934E-2</v>
      </c>
      <c r="R22" s="30">
        <f>IF(P22=0,"",(M22-P22)/ABS(P22))</f>
        <v>0.3887179597049833</v>
      </c>
      <c r="S22" s="23"/>
      <c r="AC22" s="30"/>
      <c r="AE22" s="33"/>
    </row>
    <row r="23" spans="2:32" x14ac:dyDescent="0.2">
      <c r="J23" s="30"/>
      <c r="R23" s="30"/>
      <c r="S23" s="23"/>
      <c r="T23" s="18" t="s">
        <v>41</v>
      </c>
      <c r="U23" s="28">
        <f>+'COLOMB$ '!U23</f>
        <v>0</v>
      </c>
      <c r="V23" s="28">
        <f>+'COLOMB$ '!V23</f>
        <v>166534.83112000002</v>
      </c>
      <c r="W23" s="28">
        <f>+'COLOMB$ '!W23</f>
        <v>164859.91200000001</v>
      </c>
      <c r="X23" s="28">
        <f>+'COLOMB$ '!X23</f>
        <v>424785</v>
      </c>
      <c r="Y23" s="28">
        <f>+'COLOMB$ '!Y23</f>
        <v>995929.78302999993</v>
      </c>
      <c r="Z23" s="31">
        <f>+Y23-X23</f>
        <v>571144.78302999993</v>
      </c>
      <c r="AA23" s="32">
        <f>IF(X23=0,"",(Y23-X23)/ABS(X23)+1)</f>
        <v>2.3445502619678189</v>
      </c>
      <c r="AB23" s="28">
        <f>+'COLOMB$ '!AB23</f>
        <v>655129.50600000005</v>
      </c>
      <c r="AC23" s="30">
        <f>IF(AB23=0,"",(Y23-AB23)/ABS(AB23))</f>
        <v>0.52020291241469419</v>
      </c>
    </row>
    <row r="24" spans="2:32" x14ac:dyDescent="0.2">
      <c r="B24" s="39" t="s">
        <v>42</v>
      </c>
      <c r="C24" s="28">
        <f>+C20-C22</f>
        <v>897259</v>
      </c>
      <c r="D24" s="29">
        <f>+C24/$C$20</f>
        <v>0.91703579393193613</v>
      </c>
      <c r="E24" s="28">
        <f>+E20-E22</f>
        <v>957799.59209000017</v>
      </c>
      <c r="F24" s="29">
        <f>+E24/$E$20</f>
        <v>0.86706251991362515</v>
      </c>
      <c r="G24" s="29">
        <f>IF(C24=0,"",(E24-C24)/ABS(C24)+1)</f>
        <v>1.0674728167563661</v>
      </c>
      <c r="H24" s="28">
        <f>+H20-H22</f>
        <v>827653.57337000011</v>
      </c>
      <c r="I24" s="29">
        <f>+H24/$H$20</f>
        <v>0.82898031823624252</v>
      </c>
      <c r="J24" s="30">
        <f>IF(H24=0,"",(E24-H24)/ABS(H24))</f>
        <v>0.15724697253474995</v>
      </c>
      <c r="K24" s="28">
        <f>+K20-K22</f>
        <v>9887346</v>
      </c>
      <c r="L24" s="29">
        <f>+K24/$K$20</f>
        <v>0.91398024699620506</v>
      </c>
      <c r="M24" s="28">
        <f>+M20-M22</f>
        <v>9764259.0499399994</v>
      </c>
      <c r="N24" s="29">
        <f>+M24/$M$20</f>
        <v>0.9020149762092825</v>
      </c>
      <c r="O24" s="29">
        <f>IF(K24=0,"",(M24-K24)/ABS(K24)+1)</f>
        <v>0.98755106273614779</v>
      </c>
      <c r="P24" s="28">
        <f>+P20-P22</f>
        <v>9019449.5840600003</v>
      </c>
      <c r="Q24" s="29">
        <f>+P24/$P$20</f>
        <v>0.92192918334281704</v>
      </c>
      <c r="R24" s="30">
        <f>IF(P24=0,"",(M24-P24)/ABS(P24))</f>
        <v>8.2578150577646642E-2</v>
      </c>
      <c r="S24" s="23"/>
      <c r="AC24" s="30"/>
    </row>
    <row r="25" spans="2:32" x14ac:dyDescent="0.2">
      <c r="J25" s="30"/>
      <c r="R25" s="30"/>
      <c r="T25" s="18" t="s">
        <v>43</v>
      </c>
      <c r="U25" s="28">
        <f>+'COLOMB$ '!U25</f>
        <v>55459</v>
      </c>
      <c r="V25" s="28">
        <f>+'COLOMB$ '!V25</f>
        <v>50497.075680000002</v>
      </c>
      <c r="W25" s="28">
        <f>+'COLOMB$ '!W25</f>
        <v>69589.450970000005</v>
      </c>
      <c r="X25" s="28">
        <f>+'COLOMB$ '!X25</f>
        <v>2074232</v>
      </c>
      <c r="Y25" s="28">
        <f>+'COLOMB$ '!Y25</f>
        <v>1953038.8824200002</v>
      </c>
      <c r="Z25" s="31">
        <f>+Y25-X25</f>
        <v>-121193.11757999985</v>
      </c>
      <c r="AA25" s="32">
        <f>IF(X25=0,"",(Y25-X25)/ABS(X25)+1)</f>
        <v>0.9415720528947582</v>
      </c>
      <c r="AB25" s="28">
        <f>+'COLOMB$ '!AB25</f>
        <v>1792935.67979</v>
      </c>
      <c r="AC25" s="30">
        <f>IF(AB25=0,"",(Y25-AB25)/ABS(AB25))</f>
        <v>8.9296679426198095E-2</v>
      </c>
    </row>
    <row r="26" spans="2:32" x14ac:dyDescent="0.2">
      <c r="B26" s="18" t="s">
        <v>44</v>
      </c>
      <c r="C26" s="28">
        <f>+'COLOMB$ '!C26+'PROY SAT$'!C26</f>
        <v>191955</v>
      </c>
      <c r="D26" s="29">
        <f>+C26/$C$20</f>
        <v>0.1961859461138922</v>
      </c>
      <c r="E26" s="28">
        <f>+'COLOMB$ '!E26+'PROY SAT$'!E26</f>
        <v>245615.84191999998</v>
      </c>
      <c r="F26" s="29">
        <f>+E26/$E$20</f>
        <v>0.22234744364544529</v>
      </c>
      <c r="G26" s="29">
        <f>IF(C26=0,"",(E26-C26)/ABS(C26)+1)</f>
        <v>1.2795490709801776</v>
      </c>
      <c r="H26" s="28">
        <f>+'COLOMB$ '!H26+'PROY SAT$'!H26</f>
        <v>249225.63947000002</v>
      </c>
      <c r="I26" s="29">
        <f>+H26/$H$20</f>
        <v>0.24962515304469099</v>
      </c>
      <c r="J26" s="30">
        <f>IF(H26=0,"",(E26-H26)/ABS(H26))</f>
        <v>-1.4484053718054831E-2</v>
      </c>
      <c r="K26" s="28">
        <f>+'COLOMB$ '!K26+'PROY SAT$'!K26</f>
        <v>2391835</v>
      </c>
      <c r="L26" s="29">
        <f>+K26/$K$20</f>
        <v>0.22109977177638651</v>
      </c>
      <c r="M26" s="28">
        <f>+'COLOMB$ '!M26+'PROY SAT$'!M26</f>
        <v>2410222.7732500001</v>
      </c>
      <c r="N26" s="29">
        <f>+M26/$M$20</f>
        <v>0.22265458406549846</v>
      </c>
      <c r="O26" s="29">
        <f>IF(K26=0,"",(M26-K26)/ABS(K26)+1)</f>
        <v>1.007687726473607</v>
      </c>
      <c r="P26" s="28">
        <f>+'COLOMB$ '!P26+'PROY SAT$'!P26</f>
        <v>2113843.4243700001</v>
      </c>
      <c r="Q26" s="29">
        <f>+P26/$P$20</f>
        <v>0.21606794558596359</v>
      </c>
      <c r="R26" s="30">
        <f>IF(P26=0,"",(M26-P26)/ABS(P26))</f>
        <v>0.1402087522013753</v>
      </c>
      <c r="S26" s="23"/>
      <c r="AC26" s="30"/>
    </row>
    <row r="27" spans="2:32" x14ac:dyDescent="0.2">
      <c r="B27" s="18" t="s">
        <v>45</v>
      </c>
      <c r="C27" s="28">
        <f>+'COLOMB$ '!C27+'PROY SAT$'!C27</f>
        <v>283317</v>
      </c>
      <c r="D27" s="29">
        <f>+C27/$C$20</f>
        <v>0.28956168734937665</v>
      </c>
      <c r="E27" s="28">
        <f>+'COLOMB$ '!E27+'PROY SAT$'!E27</f>
        <v>306283.24919999996</v>
      </c>
      <c r="F27" s="29">
        <f>+E27/$E$20</f>
        <v>0.27726752866870158</v>
      </c>
      <c r="G27" s="29">
        <f>IF(C27=0,"",(E27-C27)/ABS(C27)+1)</f>
        <v>1.0810620231048611</v>
      </c>
      <c r="H27" s="28">
        <f>+'COLOMB$ '!H27+'PROY SAT$'!H27</f>
        <v>372862.01902999997</v>
      </c>
      <c r="I27" s="29">
        <f>+H27/$H$20</f>
        <v>0.37345972413933765</v>
      </c>
      <c r="J27" s="30">
        <f>IF(H27=0,"",(E27-H27)/ABS(H27))</f>
        <v>-0.17856141530103972</v>
      </c>
      <c r="K27" s="28">
        <f>+'COLOMB$ '!K27+'PROY SAT$'!K27</f>
        <v>3376047</v>
      </c>
      <c r="L27" s="29">
        <f>+K27/$K$20</f>
        <v>0.31207973008437223</v>
      </c>
      <c r="M27" s="28">
        <f>+'COLOMB$ '!M27+'PROY SAT$'!M27</f>
        <v>3444949.9684699997</v>
      </c>
      <c r="N27" s="29">
        <f>+M27/$M$20</f>
        <v>0.31824191144034936</v>
      </c>
      <c r="O27" s="29">
        <f>IF(K27=0,"",(M27-K27)/ABS(K27)+1)</f>
        <v>1.0204093629235611</v>
      </c>
      <c r="P27" s="28">
        <f>+'COLOMB$ '!P27+'PROY SAT$'!P27</f>
        <v>3618393.2033299999</v>
      </c>
      <c r="Q27" s="29">
        <f>+P27/$P$20</f>
        <v>0.36985652615152254</v>
      </c>
      <c r="R27" s="30">
        <f>IF(P27=0,"",(M27-P27)/ABS(P27))</f>
        <v>-4.7933772012500118E-2</v>
      </c>
      <c r="S27" s="23"/>
      <c r="T27" s="18" t="s">
        <v>46</v>
      </c>
      <c r="U27" s="28">
        <f>+'COLOMB$ '!U27</f>
        <v>155114</v>
      </c>
      <c r="V27" s="28">
        <f>+'COLOMB$ '!V27</f>
        <v>-98282.82637000001</v>
      </c>
      <c r="W27" s="28">
        <f>+'COLOMB$ '!W27</f>
        <v>54612.853470000002</v>
      </c>
      <c r="X27" s="28">
        <f>+'COLOMB$ '!X27</f>
        <v>301319</v>
      </c>
      <c r="Y27" s="28">
        <f>+'COLOMB$ '!Y27</f>
        <v>-125872.62168000001</v>
      </c>
      <c r="Z27" s="31">
        <f>+Y27-X27</f>
        <v>-427191.62167999998</v>
      </c>
      <c r="AA27" s="32">
        <f>IF(X27=0,"",(Y27-X27)/ABS(X27)+1)</f>
        <v>-0.41773874757316998</v>
      </c>
      <c r="AB27" s="28">
        <f>+'COLOMB$ '!AB27</f>
        <v>250676.52899000002</v>
      </c>
      <c r="AC27" s="30">
        <f>IF(AB27=0,"",(Y27-AB27)/ABS(AB27))</f>
        <v>-1.5021316602202566</v>
      </c>
    </row>
    <row r="28" spans="2:32" x14ac:dyDescent="0.2">
      <c r="B28" s="18" t="s">
        <v>47</v>
      </c>
      <c r="C28" s="28">
        <f>SUM(C26:C27)</f>
        <v>475272</v>
      </c>
      <c r="D28" s="29">
        <f>+C28/$C$20</f>
        <v>0.48574763346326888</v>
      </c>
      <c r="E28" s="28">
        <f>SUM(E26:E27)</f>
        <v>551899.09112</v>
      </c>
      <c r="F28" s="29">
        <f>+E28/$E$20</f>
        <v>0.49961497231414687</v>
      </c>
      <c r="G28" s="29">
        <f>IF(C28=0,"",(E28-C28)/ABS(C28)+1)</f>
        <v>1.1612278676631487</v>
      </c>
      <c r="H28" s="28">
        <f>SUM(H26:H27)</f>
        <v>622087.65850000002</v>
      </c>
      <c r="I28" s="29">
        <f>+H28/$H$20</f>
        <v>0.62308487718402861</v>
      </c>
      <c r="J28" s="30">
        <f>IF(H28=0,"",(E28-H28)/ABS(H28))</f>
        <v>-0.11282745513589067</v>
      </c>
      <c r="K28" s="28">
        <f>SUM(K26:K27)</f>
        <v>5767882</v>
      </c>
      <c r="L28" s="29">
        <f>+K28/$K$20</f>
        <v>0.53317950186075869</v>
      </c>
      <c r="M28" s="28">
        <f>SUM(M26:M27)</f>
        <v>5855172.7417200003</v>
      </c>
      <c r="N28" s="29">
        <f>+M28/$M$20</f>
        <v>0.54089649550584784</v>
      </c>
      <c r="O28" s="29">
        <f>IF(K28=0,"",(M28-K28)/ABS(K28)+1)</f>
        <v>1.0151339333432965</v>
      </c>
      <c r="P28" s="28">
        <f>SUM(P26:P27)</f>
        <v>5732236.6277000001</v>
      </c>
      <c r="Q28" s="29">
        <f>+P28/$P$20</f>
        <v>0.58592447173748619</v>
      </c>
      <c r="R28" s="30">
        <f>IF(P28=0,"",(M28-P28)/ABS(P28))</f>
        <v>2.1446447870964294E-2</v>
      </c>
      <c r="S28" s="23"/>
      <c r="T28" s="18" t="s">
        <v>48</v>
      </c>
      <c r="U28" s="28">
        <f>+'COLOMB$ '!U28</f>
        <v>0</v>
      </c>
      <c r="V28" s="28">
        <f>+'COLOMB$ '!V28</f>
        <v>9547.4369999999999</v>
      </c>
      <c r="W28" s="28">
        <f>+'COLOMB$ '!W28</f>
        <v>0</v>
      </c>
      <c r="X28" s="28">
        <f>+'COLOMB$ '!X28</f>
        <v>620000</v>
      </c>
      <c r="Y28" s="28">
        <f>+'COLOMB$ '!Y28</f>
        <v>581609.54099999997</v>
      </c>
      <c r="Z28" s="31">
        <f>+Y28-X28</f>
        <v>-38390.459000000032</v>
      </c>
      <c r="AA28" s="32">
        <f>IF(X28=0,"",(Y28-X28)/ABS(X28)+1)</f>
        <v>0.93807990483870962</v>
      </c>
      <c r="AB28" s="28">
        <f>+'COLOMB$ '!AB28</f>
        <v>0</v>
      </c>
      <c r="AC28" s="30" t="str">
        <f>IF(AB28=0,"",(Y28-AB28)/ABS(AB28))</f>
        <v/>
      </c>
    </row>
    <row r="29" spans="2:32" x14ac:dyDescent="0.2">
      <c r="J29" s="30"/>
      <c r="R29" s="30"/>
      <c r="S29" s="23"/>
      <c r="AC29" s="2"/>
    </row>
    <row r="30" spans="2:32" x14ac:dyDescent="0.2">
      <c r="B30" s="18" t="s">
        <v>49</v>
      </c>
      <c r="C30" s="28">
        <f>+'COLOMB$ '!C30+'PROY SAT$'!C30</f>
        <v>51528</v>
      </c>
      <c r="D30" s="29">
        <f>+C30/$C$20</f>
        <v>5.2663746353867509E-2</v>
      </c>
      <c r="E30" s="28">
        <f>+'COLOMB$ '!E30+'PROY SAT$'!E30</f>
        <v>53174.530000000006</v>
      </c>
      <c r="F30" s="29">
        <f>+E30/$E$20</f>
        <v>4.8137044907710008E-2</v>
      </c>
      <c r="G30" s="29">
        <f>IF(C30=0,"",(E30-C30)/ABS(C30)+1)</f>
        <v>1.0319540832168919</v>
      </c>
      <c r="H30" s="28">
        <f>+'COLOMB$ '!H30+'PROY SAT$'!H30</f>
        <v>39880.574260000001</v>
      </c>
      <c r="I30" s="29">
        <f>+H30/$H$20</f>
        <v>3.9944503600565534E-2</v>
      </c>
      <c r="J30" s="30">
        <f>IF(H30=0,"",(E30-H30)/ABS(H30))</f>
        <v>0.33334414026564735</v>
      </c>
      <c r="K30" s="28">
        <f>+'COLOMB$ '!K30+'PROY SAT$'!K30</f>
        <v>646832</v>
      </c>
      <c r="L30" s="29">
        <f>+K30/$K$20</f>
        <v>5.9792756430800474E-2</v>
      </c>
      <c r="M30" s="28">
        <f>+'COLOMB$ '!M30+'PROY SAT$'!M30</f>
        <v>617320.97183000005</v>
      </c>
      <c r="N30" s="29">
        <f>+M30/$M$20</f>
        <v>5.7027651445006503E-2</v>
      </c>
      <c r="O30" s="29">
        <f>IF(K30=0,"",(M30-K30)/ABS(K30)+1)</f>
        <v>0.95437605410678517</v>
      </c>
      <c r="P30" s="28">
        <f>+'COLOMB$ '!P30+'PROY SAT$'!P30</f>
        <v>489484.31943999999</v>
      </c>
      <c r="Q30" s="29">
        <f>+P30/$P$20</f>
        <v>5.0032973151483584E-2</v>
      </c>
      <c r="R30" s="30">
        <f>IF(P30=0,"",(M30-P30)/ABS(P30))</f>
        <v>0.26116598083520431</v>
      </c>
      <c r="S30" s="23"/>
      <c r="T30" s="35" t="s">
        <v>50</v>
      </c>
      <c r="U30" s="36">
        <f>U21-U23-U25-U27-U28</f>
        <v>148986</v>
      </c>
      <c r="V30" s="36">
        <f>V21-V23-V25-V27-V28</f>
        <v>32106.727860000101</v>
      </c>
      <c r="W30" s="36">
        <f>W21-W23-W25-W27-W28</f>
        <v>484392.22366999998</v>
      </c>
      <c r="X30" s="36">
        <f>X21-X23-X25-X27-X28</f>
        <v>148986</v>
      </c>
      <c r="Y30" s="36">
        <f>Y21-Y23-Y25-Y27-Y28</f>
        <v>32106.790739999502</v>
      </c>
      <c r="Z30" s="40">
        <f>+Y30-X30</f>
        <v>-116879.2092600005</v>
      </c>
      <c r="AA30" s="41">
        <f>IF(U30=0,"",(V30-U30)/ABS(U30)+1)</f>
        <v>0.21550164351012913</v>
      </c>
      <c r="AB30" s="36">
        <f>AB21-AB23-AB25-AB27-AB28</f>
        <v>484392.03689000104</v>
      </c>
      <c r="AC30" s="30">
        <f>IF(AB30=0,"",(Y30-AB30)/ABS(AB30))</f>
        <v>-0.93371734402130457</v>
      </c>
    </row>
    <row r="31" spans="2:32" x14ac:dyDescent="0.2">
      <c r="B31" s="18" t="s">
        <v>51</v>
      </c>
      <c r="C31" s="28">
        <f>+'COLOMB$ '!C31+'PROY SAT$'!C31</f>
        <v>161447</v>
      </c>
      <c r="D31" s="29">
        <f>+C31/$C$20</f>
        <v>0.16500550880284209</v>
      </c>
      <c r="E31" s="28">
        <f>+'COLOMB$ '!E31+'PROY SAT$'!E31</f>
        <v>186675.15969</v>
      </c>
      <c r="F31" s="29">
        <f>+E31/$E$20</f>
        <v>0.16899050250470415</v>
      </c>
      <c r="G31" s="29">
        <f>IF(C31=0,"",(E31-C31)/ABS(C31)+1)</f>
        <v>1.1562627963975793</v>
      </c>
      <c r="H31" s="28">
        <f>+'COLOMB$ '!H31+'PROY SAT$'!H31</f>
        <v>164631.33502000003</v>
      </c>
      <c r="I31" s="29">
        <f>+H31/$H$20</f>
        <v>0.16489524227007213</v>
      </c>
      <c r="J31" s="30">
        <f>IF(H31=0,"",(E31-H31)/ABS(H31))</f>
        <v>0.13389811038902166</v>
      </c>
      <c r="K31" s="28">
        <f>+'COLOMB$ '!K31+'PROY SAT$'!K31</f>
        <v>2062516</v>
      </c>
      <c r="L31" s="29">
        <f>+K31/$K$20</f>
        <v>0.19065772383343568</v>
      </c>
      <c r="M31" s="28">
        <f>+'COLOMB$ '!M31+'PROY SAT$'!M31</f>
        <v>2056622.9639999999</v>
      </c>
      <c r="N31" s="29">
        <f>+M31/$M$20</f>
        <v>0.18998929713518031</v>
      </c>
      <c r="O31" s="29">
        <f>IF(K31=0,"",(M31-K31)/ABS(K31)+1)</f>
        <v>0.99714279258924532</v>
      </c>
      <c r="P31" s="28">
        <f>+'COLOMB$ '!P31+'PROY SAT$'!P31</f>
        <v>1857767.7337800001</v>
      </c>
      <c r="Q31" s="29">
        <f>+P31/$P$20</f>
        <v>0.1898929944318693</v>
      </c>
      <c r="R31" s="30">
        <f>IF(P31=0,"",(M31-P31)/ABS(P31))</f>
        <v>0.10703987727001214</v>
      </c>
      <c r="S31" s="23"/>
    </row>
    <row r="32" spans="2:32" x14ac:dyDescent="0.2">
      <c r="B32" s="18" t="s">
        <v>52</v>
      </c>
      <c r="C32" s="28">
        <f>SUM(C30:C31)</f>
        <v>212975</v>
      </c>
      <c r="D32" s="29">
        <f>+C32/$C$20</f>
        <v>0.2176692551567096</v>
      </c>
      <c r="E32" s="28">
        <f>SUM(E30:E31)</f>
        <v>239849.68969</v>
      </c>
      <c r="F32" s="29">
        <f>+E32/$E$20</f>
        <v>0.21712754741241413</v>
      </c>
      <c r="G32" s="29">
        <f>IF(C32=0,"",(E32-C32)/ABS(C32)+1)</f>
        <v>1.1261870627538444</v>
      </c>
      <c r="H32" s="28">
        <f>SUM(H30:H31)</f>
        <v>204511.90928000002</v>
      </c>
      <c r="I32" s="29">
        <f>+H32/$H$20</f>
        <v>0.20483974587063764</v>
      </c>
      <c r="J32" s="30">
        <f>IF(H32=0,"",(E32-H32)/ABS(H32))</f>
        <v>0.17279081953911321</v>
      </c>
      <c r="K32" s="28">
        <f>SUM(K30:K31)</f>
        <v>2709348</v>
      </c>
      <c r="L32" s="29">
        <f>+K32/$K$20</f>
        <v>0.25045048026423616</v>
      </c>
      <c r="M32" s="28">
        <f>SUM(M30:M31)</f>
        <v>2673943.9358299999</v>
      </c>
      <c r="N32" s="29">
        <f>+M32/$M$20</f>
        <v>0.2470169485801868</v>
      </c>
      <c r="O32" s="29">
        <f>IF(K32=0,"",(M32-K32)/ABS(K32)+1)</f>
        <v>0.98693262579410246</v>
      </c>
      <c r="P32" s="28">
        <f t="shared" ref="P32" si="10">SUM(P30:P31)</f>
        <v>2347252.0532200001</v>
      </c>
      <c r="Q32" s="29">
        <f>+P32/$P$20</f>
        <v>0.23992596758335288</v>
      </c>
      <c r="R32" s="30">
        <f>IF(P32=0,"",(M32-P32)/ABS(P32))</f>
        <v>0.13918057166542394</v>
      </c>
      <c r="S32" s="23"/>
    </row>
    <row r="33" spans="2:20" x14ac:dyDescent="0.2">
      <c r="J33" s="30"/>
      <c r="R33" s="30"/>
      <c r="S33" s="23"/>
    </row>
    <row r="34" spans="2:20" x14ac:dyDescent="0.2">
      <c r="B34" s="18" t="s">
        <v>53</v>
      </c>
      <c r="C34" s="28">
        <f>C28+C32</f>
        <v>688247</v>
      </c>
      <c r="D34" s="29">
        <f>+C34/$C$20</f>
        <v>0.70341688861997842</v>
      </c>
      <c r="E34" s="28">
        <f>E28+E32</f>
        <v>791748.78081000003</v>
      </c>
      <c r="F34" s="29">
        <f>+E34/$E$20</f>
        <v>0.71674251972656111</v>
      </c>
      <c r="G34" s="29">
        <f>IF(C34=0,"",(E34-C34)/ABS(C34)+1)</f>
        <v>1.1503846450620199</v>
      </c>
      <c r="H34" s="28">
        <f>H28+H32</f>
        <v>826599.56778000004</v>
      </c>
      <c r="I34" s="29">
        <f>+H34/$H$20</f>
        <v>0.8279246230546663</v>
      </c>
      <c r="J34" s="30">
        <f>IF(H34=0,"",(E34-H34)/ABS(H34))</f>
        <v>-4.2161632220058906E-2</v>
      </c>
      <c r="K34" s="28">
        <f>K28+K32</f>
        <v>8477230</v>
      </c>
      <c r="L34" s="29">
        <f>+K34/$K$20</f>
        <v>0.78362998212499491</v>
      </c>
      <c r="M34" s="28">
        <f>M28+M32</f>
        <v>8529116.6775499992</v>
      </c>
      <c r="N34" s="29">
        <f>+M34/$M$20</f>
        <v>0.78791344408603459</v>
      </c>
      <c r="O34" s="29">
        <f>IF(K34=0,"",(M34-K34)/ABS(K34)+1)</f>
        <v>1.0061207113113599</v>
      </c>
      <c r="P34" s="28">
        <f>P28+P32</f>
        <v>8079488.6809200002</v>
      </c>
      <c r="Q34" s="29">
        <f>+P34/$P$20</f>
        <v>0.82585043932083901</v>
      </c>
      <c r="R34" s="30">
        <f>IF(P34=0,"",(M34-P34)/ABS(P34))</f>
        <v>5.5650550967638775E-2</v>
      </c>
      <c r="S34" s="23"/>
    </row>
    <row r="35" spans="2:20" x14ac:dyDescent="0.2">
      <c r="J35" s="30"/>
      <c r="R35" s="30"/>
      <c r="S35" s="23"/>
    </row>
    <row r="36" spans="2:20" x14ac:dyDescent="0.2">
      <c r="B36" s="35" t="s">
        <v>54</v>
      </c>
      <c r="C36" s="36">
        <f>C24-C34</f>
        <v>209012</v>
      </c>
      <c r="D36" s="37">
        <f>+C36/$C$20</f>
        <v>0.21361890531195768</v>
      </c>
      <c r="E36" s="36">
        <f>E24-E34</f>
        <v>166050.81128000014</v>
      </c>
      <c r="F36" s="37">
        <f>+E36/$E$20</f>
        <v>0.1503200001870641</v>
      </c>
      <c r="G36" s="37">
        <f>IF(C36=0,"",(E36-C36)/ABS(C36)+1)</f>
        <v>0.79445587468662149</v>
      </c>
      <c r="H36" s="36">
        <f>H24-H34</f>
        <v>1054.0055900000734</v>
      </c>
      <c r="I36" s="37">
        <f>+H36/$H$20</f>
        <v>1.0556951815762078E-3</v>
      </c>
      <c r="J36" s="38">
        <f>IF(H36=0,"",(E36-H36)/ABS(H36))</f>
        <v>156.54262866859042</v>
      </c>
      <c r="K36" s="36">
        <f>K24-K34</f>
        <v>1410116</v>
      </c>
      <c r="L36" s="37">
        <f>+K36/$K$20</f>
        <v>0.13035026487121021</v>
      </c>
      <c r="M36" s="36">
        <f>+M24-M34</f>
        <v>1235142.3723900001</v>
      </c>
      <c r="N36" s="37">
        <f>+M36/$M$20</f>
        <v>0.11410153212324789</v>
      </c>
      <c r="O36" s="37">
        <f>IF(K36=0,"",(M36-K36)/ABS(K36)+1)</f>
        <v>0.87591543702078423</v>
      </c>
      <c r="P36" s="36">
        <f>P24-P34</f>
        <v>939960.90314000007</v>
      </c>
      <c r="Q36" s="37">
        <f>+P36/$P$20</f>
        <v>9.6078744021978038E-2</v>
      </c>
      <c r="R36" s="38">
        <f>IF(P36=0,"",(M36-P36)/ABS(P36))</f>
        <v>0.31403590113581037</v>
      </c>
      <c r="S36" s="23"/>
    </row>
    <row r="37" spans="2:20" x14ac:dyDescent="0.2">
      <c r="J37" s="30"/>
      <c r="R37" s="30"/>
      <c r="S37" s="23"/>
    </row>
    <row r="38" spans="2:20" x14ac:dyDescent="0.2">
      <c r="B38" s="18" t="s">
        <v>55</v>
      </c>
      <c r="C38" s="28">
        <f>+'COLOMB$ '!C38+'PROY SAT$'!C38</f>
        <v>36279</v>
      </c>
      <c r="D38" s="29">
        <f>+C38/$C$20</f>
        <v>3.7078637905060538E-2</v>
      </c>
      <c r="E38" s="28">
        <f>+'COLOMB$ '!E38+'PROY SAT$'!E38</f>
        <v>682.52624000000003</v>
      </c>
      <c r="F38" s="29">
        <f>+E38/$E$20</f>
        <v>6.1786716808912945E-4</v>
      </c>
      <c r="G38" s="29">
        <f>IF(C38=0,"",(E38-C38)/ABS(C38)+1)</f>
        <v>1.8813259461396337E-2</v>
      </c>
      <c r="H38" s="28">
        <f>+'COLOMB$ '!H38+'PROY SAT$'!H38</f>
        <v>108457.97168999999</v>
      </c>
      <c r="I38" s="29">
        <f>+H38/$H$20</f>
        <v>0.10863183193995561</v>
      </c>
      <c r="J38" s="30">
        <f>IF(H38=0,"",(E38-H38)/ABS(H38))</f>
        <v>-0.99370699793325623</v>
      </c>
      <c r="K38" s="28">
        <f>+'COLOMB$ '!K38+'PROY SAT$'!K38</f>
        <v>43319</v>
      </c>
      <c r="L38" s="29">
        <f>+K38/$K$20</f>
        <v>4.0043819969108607E-3</v>
      </c>
      <c r="M38" s="28">
        <f>+'COLOMB$ '!M38+'PROY SAT$'!M38</f>
        <v>24847.00331</v>
      </c>
      <c r="N38" s="29">
        <f>+M38/$M$20</f>
        <v>2.2953476536122148E-3</v>
      </c>
      <c r="O38" s="29">
        <f>IF(K38=0,"",(M38-K38)/ABS(K38)+1)</f>
        <v>0.57358210738936721</v>
      </c>
      <c r="P38" s="28">
        <f>+'COLOMB$ '!P38+'PROY SAT$'!P38</f>
        <v>327794.53220000002</v>
      </c>
      <c r="Q38" s="29">
        <f>+P38/$P$20</f>
        <v>3.3505741404605029E-2</v>
      </c>
      <c r="R38" s="30">
        <f>IF(P38=0,"",(M38-P38)/ABS(P38))</f>
        <v>-0.92419945768088685</v>
      </c>
      <c r="S38" s="23"/>
    </row>
    <row r="39" spans="2:20" x14ac:dyDescent="0.2">
      <c r="B39" s="18" t="s">
        <v>56</v>
      </c>
      <c r="C39" s="28">
        <f>+'COLOMB$ '!C39+'PROY SAT$'!C39</f>
        <v>14856</v>
      </c>
      <c r="D39" s="29">
        <f>+C39/$C$20</f>
        <v>1.5183446200765713E-2</v>
      </c>
      <c r="E39" s="28">
        <f>+'COLOMB$ '!E39+'PROY SAT$'!E39</f>
        <v>24176.419280000002</v>
      </c>
      <c r="F39" s="29">
        <f>+E39/$E$20</f>
        <v>2.1886068021456626E-2</v>
      </c>
      <c r="G39" s="29">
        <f>IF(C39=0,"",(E39-C39)/ABS(C39)+1)</f>
        <v>1.6273841733979539</v>
      </c>
      <c r="H39" s="28">
        <f>+'COLOMB$ '!H39+'PROY SAT$'!H39</f>
        <v>122939.82995999999</v>
      </c>
      <c r="I39" s="29">
        <f>+H39/$H$20</f>
        <v>0.12313690491201403</v>
      </c>
      <c r="J39" s="30">
        <f>IF(H39=0,"",(E39-H39)/ABS(H39))</f>
        <v>-0.80334754580459322</v>
      </c>
      <c r="K39" s="28">
        <f>+'COLOMB$ '!K39+'PROY SAT$'!K39</f>
        <v>179090</v>
      </c>
      <c r="L39" s="29">
        <f>+K39/$K$20</f>
        <v>1.6554970609357695E-2</v>
      </c>
      <c r="M39" s="28">
        <f>+'COLOMB$ '!M39+'PROY SAT$'!M39</f>
        <v>237278.14382</v>
      </c>
      <c r="N39" s="29">
        <f>+M39/$M$20</f>
        <v>2.1919578142910411E-2</v>
      </c>
      <c r="O39" s="29">
        <f>IF(K39=0,"",(M39-K39)/ABS(K39)+1)</f>
        <v>1.3249100665587135</v>
      </c>
      <c r="P39" s="28">
        <f>+'COLOMB$ '!P39+'PROY SAT$'!P39</f>
        <v>407461.40837000002</v>
      </c>
      <c r="Q39" s="29">
        <f>+P39/$P$20</f>
        <v>4.164894542191936E-2</v>
      </c>
      <c r="R39" s="30">
        <f>IF(P39=0,"",(M39-P39)/ABS(P39))</f>
        <v>-0.41766719756552539</v>
      </c>
      <c r="S39" s="23"/>
    </row>
    <row r="40" spans="2:20" x14ac:dyDescent="0.2">
      <c r="J40" s="30"/>
      <c r="R40" s="30"/>
    </row>
    <row r="41" spans="2:20" x14ac:dyDescent="0.2">
      <c r="B41" s="18" t="s">
        <v>57</v>
      </c>
      <c r="C41" s="28">
        <f>C36+C38-C39</f>
        <v>230435</v>
      </c>
      <c r="D41" s="29">
        <f>+C41/$C$20</f>
        <v>0.2355140970162525</v>
      </c>
      <c r="E41" s="28">
        <f>E36+E38-E39</f>
        <v>142556.91824000014</v>
      </c>
      <c r="F41" s="29">
        <f>+E41/$E$20</f>
        <v>0.12905179933369659</v>
      </c>
      <c r="G41" s="29">
        <f>IF(C41=0,"",(E41-C41)/ABS(C41)+1)</f>
        <v>0.61864264647297573</v>
      </c>
      <c r="H41" s="28">
        <f>H36+H38-H39</f>
        <v>-13427.852679999924</v>
      </c>
      <c r="I41" s="29">
        <f>+H41/$H$20</f>
        <v>-1.3449377790482211E-2</v>
      </c>
      <c r="J41" s="30">
        <f>IF(H41=0,"",(E41-H41)/ABS(H41))</f>
        <v>11.616508956218379</v>
      </c>
      <c r="K41" s="28">
        <f>K36+K38-K39</f>
        <v>1274345</v>
      </c>
      <c r="L41" s="29">
        <f>+K41/$K$20</f>
        <v>0.11779967625876336</v>
      </c>
      <c r="M41" s="28">
        <f>M36+M38-M39</f>
        <v>1022711.2318800002</v>
      </c>
      <c r="N41" s="29">
        <f>+M41/$M$20</f>
        <v>9.4477301633949698E-2</v>
      </c>
      <c r="O41" s="29">
        <f>IF(K41=0,"",(M41-K41)/ABS(K41)+1)</f>
        <v>0.80253874098458444</v>
      </c>
      <c r="P41" s="28">
        <f>P36+P38-P39</f>
        <v>860294.02697000001</v>
      </c>
      <c r="Q41" s="29">
        <f>+P41/$P$20</f>
        <v>8.7935540004663706E-2</v>
      </c>
      <c r="R41" s="30">
        <f>IF(P41=0,"",(M41-P41)/ABS(P41))</f>
        <v>0.18879266834159245</v>
      </c>
    </row>
    <row r="42" spans="2:20" x14ac:dyDescent="0.2">
      <c r="B42" s="18" t="s">
        <v>43</v>
      </c>
      <c r="C42" s="28">
        <f>+'COLOMB$ '!C42+'PROY SAT$'!C42</f>
        <v>70122</v>
      </c>
      <c r="D42" s="29">
        <f>+C42/$C$20</f>
        <v>7.1667583097071441E-2</v>
      </c>
      <c r="E42" s="28">
        <f>+'COLOMB$ '!E42+'PROY SAT$'!E42</f>
        <v>53857.773000000001</v>
      </c>
      <c r="F42" s="29">
        <f>+E42/$E$20</f>
        <v>4.8755560933594545E-2</v>
      </c>
      <c r="G42" s="29">
        <f>IF(C42=0,"",(E42-C42)/ABS(C42)+1)</f>
        <v>0.76805814152477114</v>
      </c>
      <c r="H42" s="28">
        <f>+'COLOMB$ '!H42+'PROY SAT$'!H42</f>
        <v>-139578.48699999999</v>
      </c>
      <c r="I42" s="29">
        <f>+H42/$H$20</f>
        <v>-0.13980223404468572</v>
      </c>
      <c r="J42" s="30">
        <f>IF(H42=0,"",(E42-H42)/ABS(H42))</f>
        <v>1.3858601290039776</v>
      </c>
      <c r="K42" s="28">
        <f>+'COLOMB$ '!K42+'PROY SAT$'!K42</f>
        <v>445934</v>
      </c>
      <c r="L42" s="29">
        <f>+K42/$K$20</f>
        <v>4.122186757336152E-2</v>
      </c>
      <c r="M42" s="28">
        <f>+'COLOMB$ '!M42+'PROY SAT$'!M42</f>
        <v>380817.45899999997</v>
      </c>
      <c r="N42" s="29">
        <f>+M42/$M$20</f>
        <v>3.5179633135816402E-2</v>
      </c>
      <c r="O42" s="29">
        <f>IF(K42=0,"",(M42-K42)/ABS(K42)+1)</f>
        <v>0.85397717823713815</v>
      </c>
      <c r="P42" s="28">
        <f>+'COLOMB$ '!P42+'PROY SAT$'!P42</f>
        <v>179372.149</v>
      </c>
      <c r="Q42" s="29">
        <f>+P42/$P$20</f>
        <v>1.8334646399517589E-2</v>
      </c>
      <c r="R42" s="30">
        <f>IF(P42=0,"",(M42-P42)/ABS(P42))</f>
        <v>1.1230579057175702</v>
      </c>
    </row>
    <row r="43" spans="2:20" x14ac:dyDescent="0.2">
      <c r="B43" s="35" t="s">
        <v>58</v>
      </c>
      <c r="C43" s="36">
        <f>C41-C42</f>
        <v>160313</v>
      </c>
      <c r="D43" s="37">
        <f>+C43/$C$20</f>
        <v>0.16384651391918106</v>
      </c>
      <c r="E43" s="36">
        <f>E41-E42</f>
        <v>88699.145240000144</v>
      </c>
      <c r="F43" s="37">
        <f>+E43/$E$20</f>
        <v>8.0296238400102055E-2</v>
      </c>
      <c r="G43" s="37">
        <f>IF(C43=0,"",(E43-C43)/ABS(C43)+1)</f>
        <v>0.55328728948993622</v>
      </c>
      <c r="H43" s="36">
        <f>H41-H42</f>
        <v>126150.63432000007</v>
      </c>
      <c r="I43" s="37">
        <f>+H43/$H$20</f>
        <v>0.12635285625420353</v>
      </c>
      <c r="J43" s="38">
        <f>IF(H43=0,"",(E43-H43)/ABS(H43))</f>
        <v>-0.29687911822146362</v>
      </c>
      <c r="K43" s="36">
        <f>+K41-K42</f>
        <v>828411</v>
      </c>
      <c r="L43" s="37">
        <f>+K43/$K$20</f>
        <v>7.6577808685401857E-2</v>
      </c>
      <c r="M43" s="36">
        <f>+M41-M42</f>
        <v>641893.7728800003</v>
      </c>
      <c r="N43" s="37">
        <f>+M43/$M$20</f>
        <v>5.9297668498133296E-2</v>
      </c>
      <c r="O43" s="37">
        <f>IF(K43=0,"",(M43-K43)/ABS(K43)+1)</f>
        <v>0.77484940793881329</v>
      </c>
      <c r="P43" s="36">
        <f>+P41-P42</f>
        <v>680921.87797000003</v>
      </c>
      <c r="Q43" s="37">
        <f>+P43/$P$20</f>
        <v>6.9600893605146111E-2</v>
      </c>
      <c r="R43" s="38">
        <f>IF(P43=0,"",(M43-P43)/ABS(P43))</f>
        <v>-5.7316567953951437E-2</v>
      </c>
      <c r="T43" s="33"/>
    </row>
    <row r="44" spans="2:20" x14ac:dyDescent="0.2">
      <c r="J44" s="30"/>
      <c r="R44" s="30"/>
    </row>
    <row r="45" spans="2:20" x14ac:dyDescent="0.2">
      <c r="B45" s="18" t="s">
        <v>59</v>
      </c>
      <c r="C45" s="28">
        <f>+'COLOMB$ '!C45+'PROY SAT$'!C45</f>
        <v>249089</v>
      </c>
      <c r="D45" s="29">
        <f>+C45/$C$20</f>
        <v>0.25457925624007344</v>
      </c>
      <c r="E45" s="28">
        <f>+'COLOMB$ '!E45+'PROY SAT$'!E45</f>
        <v>208969.7818700003</v>
      </c>
      <c r="F45" s="29">
        <f>+E45/$E$20</f>
        <v>0.18917304533261634</v>
      </c>
      <c r="G45" s="29">
        <f>IF(C45=0,"",(E45-C45)/ABS(C45)+1)</f>
        <v>0.83893621103300542</v>
      </c>
      <c r="H45" s="28">
        <f>+'COLOMB$ '!H45+'PROY SAT$'!H45</f>
        <v>159946.01074</v>
      </c>
      <c r="I45" s="29">
        <f>+H45/$H$20</f>
        <v>0.16020240732361068</v>
      </c>
      <c r="J45" s="30">
        <f>IF(H45=0,"",(E45-H45)/ABS(H45))</f>
        <v>0.30650199341133189</v>
      </c>
      <c r="K45" s="28">
        <f>+'COLOMB$ '!K45+'PROY SAT$'!K45</f>
        <v>1903847</v>
      </c>
      <c r="L45" s="29">
        <f>+K45/$K$20</f>
        <v>0.17599045803626009</v>
      </c>
      <c r="M45" s="28">
        <f>+'COLOMB$ '!M45+'PROY SAT$'!M45</f>
        <v>1745232.127299998</v>
      </c>
      <c r="N45" s="29">
        <f>+M45/$M$20</f>
        <v>0.16122324364139606</v>
      </c>
      <c r="O45" s="29">
        <f>IF(K45=0,"",(M45-K45)/ABS(K45)+1)</f>
        <v>0.91668717459963855</v>
      </c>
      <c r="P45" s="28">
        <f>+'COLOMB$ '!P45+'PROY SAT$'!P45</f>
        <v>1375305.2449299996</v>
      </c>
      <c r="Q45" s="29">
        <f>+P45/$P$20</f>
        <v>0.14057776247745948</v>
      </c>
      <c r="R45" s="30">
        <f>IF(P45=0,"",(M45-P45)/ABS(P45))</f>
        <v>0.26897802050396963</v>
      </c>
    </row>
    <row r="46" spans="2:20" x14ac:dyDescent="0.2">
      <c r="B46" s="18" t="s">
        <v>34</v>
      </c>
      <c r="C46" s="28">
        <f>+'COLOMB$ '!C46+'PROY SAT$'!C46</f>
        <v>360215</v>
      </c>
      <c r="D46" s="29">
        <f>+C46/$C$20</f>
        <v>0.36815462259079307</v>
      </c>
      <c r="E46" s="28">
        <f>+'COLOMB$ '!E46+'PROY SAT$'!E46</f>
        <v>362768.01500000001</v>
      </c>
      <c r="F46" s="29">
        <f>+E46/$E$20</f>
        <v>0.3284012144373597</v>
      </c>
      <c r="G46" s="29">
        <f>IF(C46=0,"",(E46-C46)/ABS(C46)+1)</f>
        <v>1.0070874755354442</v>
      </c>
      <c r="H46" s="28">
        <f>+'COLOMB$ '!H46+'PROY SAT$'!H46</f>
        <v>303644.01699999999</v>
      </c>
      <c r="I46" s="29">
        <f>+H46/$H$20</f>
        <v>0.30413076429824415</v>
      </c>
      <c r="J46" s="30">
        <f>IF(H46=0,"",(E46-H46)/ABS(H46))</f>
        <v>0.19471484597043789</v>
      </c>
      <c r="K46" s="28">
        <f>+'COLOMB$ '!K46+'PROY SAT$'!K46</f>
        <v>4389040</v>
      </c>
      <c r="L46" s="29">
        <f>+K46/$K$20</f>
        <v>0.40572018651680886</v>
      </c>
      <c r="M46" s="28">
        <f>+'COLOMB$ '!M46+'PROY SAT$'!M46</f>
        <v>4231983.1660000002</v>
      </c>
      <c r="N46" s="29">
        <f>+M46/$M$20</f>
        <v>0.3909474518520718</v>
      </c>
      <c r="O46" s="29">
        <f>IF(K46=0,"",(M46-K46)/ABS(K46)+1)</f>
        <v>0.96421613063448963</v>
      </c>
      <c r="P46" s="28">
        <f>+'COLOMB$ '!P46+'PROY SAT$'!P46</f>
        <v>3833242.5669999998</v>
      </c>
      <c r="Q46" s="29">
        <f>+P46/$P$20</f>
        <v>0.39181750021584516</v>
      </c>
      <c r="R46" s="30">
        <f>IF(P46=0,"",(M46-P46)/ABS(P46))</f>
        <v>0.10402174974073339</v>
      </c>
    </row>
    <row r="47" spans="2:20" x14ac:dyDescent="0.2">
      <c r="C47" s="28" t="s">
        <v>60</v>
      </c>
      <c r="D47" s="28"/>
      <c r="E47" s="28" t="s">
        <v>61</v>
      </c>
      <c r="F47" s="28"/>
      <c r="G47" s="28"/>
      <c r="H47" s="28" t="s">
        <v>61</v>
      </c>
      <c r="I47" s="28"/>
      <c r="J47" s="28"/>
      <c r="K47" s="28" t="s">
        <v>60</v>
      </c>
      <c r="L47" s="28"/>
      <c r="M47" s="28" t="s">
        <v>60</v>
      </c>
      <c r="N47" s="28"/>
      <c r="O47" s="28"/>
      <c r="P47" s="28" t="s">
        <v>61</v>
      </c>
      <c r="Q47" s="28"/>
      <c r="R47" s="28"/>
    </row>
  </sheetData>
  <conditionalFormatting sqref="R10:R46">
    <cfRule type="cellIs" dxfId="68" priority="3" operator="lessThan">
      <formula>0</formula>
    </cfRule>
  </conditionalFormatting>
  <conditionalFormatting sqref="J10:J46">
    <cfRule type="cellIs" dxfId="67" priority="2" operator="lessThan">
      <formula>0</formula>
    </cfRule>
  </conditionalFormatting>
  <conditionalFormatting sqref="AC19:AC28 AC30 AC10:AC11 AC13:AC17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863B2-5344-490F-9E31-8AA61F7DD8ED}">
  <sheetPr>
    <tabColor theme="2" tint="-0.499984740745262"/>
  </sheetPr>
  <dimension ref="A1:AI56"/>
  <sheetViews>
    <sheetView showGridLines="0" zoomScale="95" zoomScaleNormal="95" workbookViewId="0">
      <selection activeCell="A38" sqref="A38"/>
    </sheetView>
  </sheetViews>
  <sheetFormatPr baseColWidth="10" defaultRowHeight="12.75" x14ac:dyDescent="0.2"/>
  <cols>
    <col min="1" max="1" width="3.140625" style="46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47" customWidth="1"/>
    <col min="20" max="20" width="20.42578125" style="2" customWidth="1"/>
    <col min="21" max="21" width="9.8554687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44" customFormat="1" x14ac:dyDescent="0.2">
      <c r="A1" s="42"/>
      <c r="B1" s="43"/>
      <c r="S1" s="45"/>
    </row>
    <row r="2" spans="1:35" x14ac:dyDescent="0.2">
      <c r="X2" s="48"/>
      <c r="Y2" s="48"/>
      <c r="Z2" s="48"/>
      <c r="AA2" s="48"/>
      <c r="AB2" s="48"/>
    </row>
    <row r="3" spans="1:35" ht="18" x14ac:dyDescent="0.25">
      <c r="B3" s="15" t="s">
        <v>62</v>
      </c>
      <c r="T3" s="17" t="str">
        <f>+B3</f>
        <v>MUSICAR COLOMBIA</v>
      </c>
      <c r="Y3" s="49"/>
    </row>
    <row r="4" spans="1:35" x14ac:dyDescent="0.2">
      <c r="B4" s="2" t="s">
        <v>19</v>
      </c>
      <c r="T4" s="3" t="s">
        <v>20</v>
      </c>
      <c r="U4" s="48"/>
      <c r="V4" s="48"/>
      <c r="W4" s="48"/>
      <c r="X4" s="48"/>
      <c r="Y4" s="48"/>
      <c r="Z4" s="48"/>
      <c r="AA4" s="48"/>
      <c r="AB4" s="48"/>
      <c r="AC4" s="48"/>
    </row>
    <row r="5" spans="1:35" x14ac:dyDescent="0.2">
      <c r="B5" s="3" t="s">
        <v>21</v>
      </c>
      <c r="T5" s="3" t="s">
        <v>21</v>
      </c>
      <c r="U5" s="48"/>
      <c r="V5" s="48"/>
      <c r="W5" s="48"/>
      <c r="X5" s="48"/>
      <c r="Y5" s="48"/>
      <c r="Z5" s="48"/>
      <c r="AA5" s="48"/>
      <c r="AB5" s="48"/>
      <c r="AC5" s="48"/>
    </row>
    <row r="6" spans="1:35" ht="13.5" thickBot="1" x14ac:dyDescent="0.25">
      <c r="B6" s="19" t="str">
        <f>Paramet!B8&amp;" De "&amp;Paramet!C8</f>
        <v>DICIEMBRE De 2022</v>
      </c>
      <c r="C6" s="50"/>
      <c r="D6" s="50"/>
      <c r="E6" s="50"/>
      <c r="F6" s="50"/>
      <c r="G6" s="50"/>
      <c r="H6" s="50"/>
      <c r="I6" s="50"/>
      <c r="J6" s="51"/>
      <c r="K6" s="20" t="s">
        <v>22</v>
      </c>
      <c r="L6" s="20"/>
      <c r="M6" s="20"/>
      <c r="N6" s="20"/>
      <c r="O6" s="20"/>
      <c r="P6" s="20"/>
      <c r="Q6" s="20"/>
      <c r="R6" s="20"/>
      <c r="S6" s="52"/>
      <c r="T6" s="19" t="str">
        <f>+B6</f>
        <v>DICIEMBRE De 2022</v>
      </c>
      <c r="U6" s="53"/>
      <c r="V6" s="53"/>
      <c r="W6" s="53"/>
      <c r="X6" s="20" t="s">
        <v>22</v>
      </c>
      <c r="Y6" s="20"/>
      <c r="Z6" s="20"/>
      <c r="AA6" s="20"/>
      <c r="AB6" s="20"/>
      <c r="AC6" s="20"/>
    </row>
    <row r="7" spans="1:35" s="55" customFormat="1" ht="15.75" customHeight="1" x14ac:dyDescent="0.2">
      <c r="A7" s="54"/>
      <c r="D7" s="55" t="s">
        <v>63</v>
      </c>
      <c r="F7" s="55" t="s">
        <v>64</v>
      </c>
      <c r="G7" s="56" t="s">
        <v>23</v>
      </c>
      <c r="I7" s="55" t="s">
        <v>65</v>
      </c>
      <c r="J7" s="56" t="s">
        <v>24</v>
      </c>
      <c r="K7" s="56"/>
      <c r="L7" s="55" t="str">
        <f>+D7</f>
        <v>Ppto 2022</v>
      </c>
      <c r="M7" s="56"/>
      <c r="N7" s="55" t="str">
        <f>+F7</f>
        <v>Real 2022</v>
      </c>
      <c r="O7" s="56" t="s">
        <v>23</v>
      </c>
      <c r="P7" s="56" t="str">
        <f>+I7</f>
        <v>Real 2021</v>
      </c>
      <c r="Q7" s="56"/>
      <c r="R7" s="56" t="s">
        <v>24</v>
      </c>
      <c r="S7" s="57"/>
      <c r="U7" s="55" t="str">
        <f>+D7</f>
        <v>Ppto 2022</v>
      </c>
      <c r="V7" s="55" t="str">
        <f>+N7</f>
        <v>Real 2022</v>
      </c>
      <c r="W7" s="55" t="str">
        <f>+I7</f>
        <v>Real 2021</v>
      </c>
      <c r="X7" s="55" t="str">
        <f>+U7</f>
        <v>Ppto 2022</v>
      </c>
      <c r="Y7" s="55" t="str">
        <f>+V7</f>
        <v>Real 2022</v>
      </c>
      <c r="Z7" s="55" t="s">
        <v>25</v>
      </c>
      <c r="AA7" s="55" t="s">
        <v>23</v>
      </c>
      <c r="AB7" s="55" t="str">
        <f>+W7</f>
        <v>Real 2021</v>
      </c>
      <c r="AC7" s="55" t="s">
        <v>24</v>
      </c>
    </row>
    <row r="8" spans="1:35" ht="13.5" thickBot="1" x14ac:dyDescent="0.25">
      <c r="A8" s="58" t="s">
        <v>66</v>
      </c>
      <c r="B8" s="59" t="s">
        <v>26</v>
      </c>
      <c r="C8" s="60" t="s">
        <v>27</v>
      </c>
      <c r="D8" s="60" t="s">
        <v>28</v>
      </c>
      <c r="E8" s="60" t="s">
        <v>27</v>
      </c>
      <c r="F8" s="60" t="s">
        <v>28</v>
      </c>
      <c r="G8" s="60" t="s">
        <v>29</v>
      </c>
      <c r="H8" s="60" t="s">
        <v>27</v>
      </c>
      <c r="I8" s="60" t="s">
        <v>28</v>
      </c>
      <c r="J8" s="60" t="s">
        <v>29</v>
      </c>
      <c r="K8" s="60" t="s">
        <v>27</v>
      </c>
      <c r="L8" s="60" t="s">
        <v>28</v>
      </c>
      <c r="M8" s="60" t="s">
        <v>27</v>
      </c>
      <c r="N8" s="60" t="s">
        <v>28</v>
      </c>
      <c r="O8" s="60" t="s">
        <v>29</v>
      </c>
      <c r="P8" s="60" t="s">
        <v>27</v>
      </c>
      <c r="Q8" s="60" t="s">
        <v>28</v>
      </c>
      <c r="R8" s="60" t="s">
        <v>29</v>
      </c>
      <c r="S8" s="52"/>
      <c r="T8" s="26"/>
      <c r="U8" s="27"/>
      <c r="V8" s="27"/>
      <c r="W8" s="27"/>
      <c r="X8" s="27"/>
      <c r="Y8" s="27"/>
      <c r="Z8" s="27"/>
      <c r="AA8" s="27" t="s">
        <v>29</v>
      </c>
      <c r="AB8" s="27"/>
      <c r="AC8" s="27" t="s">
        <v>29</v>
      </c>
      <c r="AD8" s="48"/>
      <c r="AE8" s="48"/>
      <c r="AF8" s="48"/>
    </row>
    <row r="9" spans="1:35" x14ac:dyDescent="0.2">
      <c r="A9" s="58"/>
      <c r="B9" s="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52"/>
      <c r="T9" s="3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</row>
    <row r="10" spans="1:35" x14ac:dyDescent="0.2">
      <c r="A10" s="46" t="s">
        <v>67</v>
      </c>
      <c r="B10" s="3" t="s">
        <v>68</v>
      </c>
      <c r="C10" s="61">
        <v>405779</v>
      </c>
      <c r="D10" s="30">
        <f t="shared" ref="D10:D15" si="0">+C10/$C$20</f>
        <v>0.41534098004253933</v>
      </c>
      <c r="E10" s="61">
        <v>452956.58100000001</v>
      </c>
      <c r="F10" s="30">
        <f t="shared" ref="F10:F20" si="1">+E10/$E$20</f>
        <v>0.4100457734340065</v>
      </c>
      <c r="G10" s="30">
        <f t="shared" ref="G10:G20" si="2">IF(C10=0,"",(E10-C10)/ABS(C10)+1)</f>
        <v>1.1162642251077557</v>
      </c>
      <c r="H10" s="61">
        <v>396858.32299999997</v>
      </c>
      <c r="I10" s="30">
        <f t="shared" ref="I10:I18" si="3">+H10/$H$20</f>
        <v>0.39749449465394682</v>
      </c>
      <c r="J10" s="30">
        <f t="shared" ref="J10:J20" si="4">IF(H10=0,"",(E10-H10)/ABS(H10))</f>
        <v>0.14135588130275911</v>
      </c>
      <c r="K10" s="61">
        <v>4467738</v>
      </c>
      <c r="L10" s="30">
        <f t="shared" ref="L10:L46" si="5">+K10/$K$20</f>
        <v>0.41369074433051645</v>
      </c>
      <c r="M10" s="61">
        <v>4387599.8420000002</v>
      </c>
      <c r="N10" s="30">
        <f t="shared" ref="N10:N20" si="6">+M10/$M$20</f>
        <v>0.40535807388610479</v>
      </c>
      <c r="O10" s="30">
        <f t="shared" ref="O10:O18" si="7">IF(K10=0,"",(M10-K10)/ABS(K10)+1)</f>
        <v>0.98206292356445257</v>
      </c>
      <c r="P10" s="61">
        <v>4187542.0929999999</v>
      </c>
      <c r="Q10" s="30">
        <f t="shared" ref="Q10:Q46" si="8">+P10/$P$20</f>
        <v>0.42872193665556696</v>
      </c>
      <c r="R10" s="30">
        <f t="shared" ref="R10:R18" si="9">IF(P10=0,"",(M10-P10)/ABS(P10))</f>
        <v>4.7774504603648481E-2</v>
      </c>
      <c r="S10" s="62"/>
      <c r="T10" s="3" t="s">
        <v>30</v>
      </c>
      <c r="U10" s="61">
        <v>47189</v>
      </c>
      <c r="V10" s="61">
        <v>76757</v>
      </c>
      <c r="W10" s="61">
        <v>442631</v>
      </c>
      <c r="X10" s="61">
        <v>484392</v>
      </c>
      <c r="Y10" s="61">
        <v>484392</v>
      </c>
      <c r="Z10" s="57">
        <f>+Y10-X10</f>
        <v>0</v>
      </c>
      <c r="AA10" s="63">
        <f>IF(X10=0,"",(Y10-X10)/ABS(X10)+1)</f>
        <v>1</v>
      </c>
      <c r="AB10" s="61">
        <v>590384</v>
      </c>
      <c r="AC10" s="30">
        <f>IF(W10=0,"",(Y10-AB10)/ABS(AB10))</f>
        <v>-0.17953061058565273</v>
      </c>
      <c r="AD10" s="47"/>
      <c r="AE10" s="47"/>
      <c r="AF10" s="47"/>
      <c r="AH10" s="47"/>
    </row>
    <row r="11" spans="1:35" x14ac:dyDescent="0.2">
      <c r="A11" s="64" t="s">
        <v>69</v>
      </c>
      <c r="B11" s="3" t="s">
        <v>70</v>
      </c>
      <c r="C11" s="61">
        <v>43582</v>
      </c>
      <c r="D11" s="30">
        <f t="shared" si="0"/>
        <v>4.4608988124604648E-2</v>
      </c>
      <c r="E11" s="61">
        <v>57590.595000000001</v>
      </c>
      <c r="F11" s="30">
        <f t="shared" si="1"/>
        <v>5.2134754322731937E-2</v>
      </c>
      <c r="G11" s="30">
        <f t="shared" si="2"/>
        <v>1.3214307512275711</v>
      </c>
      <c r="H11" s="61">
        <v>57366.069000000003</v>
      </c>
      <c r="I11" s="30">
        <f t="shared" si="3"/>
        <v>5.745802793063369E-2</v>
      </c>
      <c r="J11" s="30">
        <f t="shared" si="4"/>
        <v>3.91391643028561E-3</v>
      </c>
      <c r="K11" s="61">
        <v>544760</v>
      </c>
      <c r="L11" s="30">
        <f t="shared" si="5"/>
        <v>5.0442118557868017E-2</v>
      </c>
      <c r="M11" s="61">
        <v>475011.69199999998</v>
      </c>
      <c r="N11" s="30">
        <f t="shared" si="6"/>
        <v>4.3885001248137892E-2</v>
      </c>
      <c r="O11" s="30">
        <f t="shared" si="7"/>
        <v>0.87196507085689112</v>
      </c>
      <c r="P11" s="61">
        <v>473705.00400000002</v>
      </c>
      <c r="Q11" s="30">
        <f t="shared" si="8"/>
        <v>4.8498074098837031E-2</v>
      </c>
      <c r="R11" s="30">
        <f t="shared" si="9"/>
        <v>2.7584424672870153E-3</v>
      </c>
      <c r="S11" s="62"/>
      <c r="T11" s="3" t="s">
        <v>31</v>
      </c>
      <c r="U11" s="61">
        <v>1182060</v>
      </c>
      <c r="V11" s="61">
        <v>1021615.04044</v>
      </c>
      <c r="W11" s="61">
        <v>1292768.58877</v>
      </c>
      <c r="X11" s="61">
        <v>12456662</v>
      </c>
      <c r="Y11" s="61">
        <v>12280239.80257</v>
      </c>
      <c r="Z11" s="57">
        <f>+Y11-X11</f>
        <v>-176422.19742999971</v>
      </c>
      <c r="AA11" s="63">
        <f>IF(X11=0,"",(Y11-X11)/ABS(X11)+1)</f>
        <v>0.98583712093737474</v>
      </c>
      <c r="AB11" s="61">
        <v>11729911.156860001</v>
      </c>
      <c r="AC11" s="30">
        <f>IF(AB11=0,"",(Y11-AB11)/ABS(AB11))</f>
        <v>4.6916693430209856E-2</v>
      </c>
      <c r="AD11" s="47"/>
      <c r="AE11" s="47"/>
      <c r="AF11" s="47"/>
      <c r="AG11" s="47"/>
      <c r="AH11" s="47"/>
      <c r="AI11" s="49"/>
    </row>
    <row r="12" spans="1:35" x14ac:dyDescent="0.2">
      <c r="A12" s="64" t="s">
        <v>71</v>
      </c>
      <c r="B12" s="3" t="s">
        <v>72</v>
      </c>
      <c r="C12" s="61">
        <v>88855</v>
      </c>
      <c r="D12" s="30">
        <f t="shared" si="0"/>
        <v>9.0948823822030789E-2</v>
      </c>
      <c r="E12" s="61">
        <v>100319.38499999999</v>
      </c>
      <c r="F12" s="30">
        <f t="shared" si="1"/>
        <v>9.0815635622145577E-2</v>
      </c>
      <c r="G12" s="30">
        <f t="shared" si="2"/>
        <v>1.1290235214675595</v>
      </c>
      <c r="H12" s="61">
        <v>93718.816999999995</v>
      </c>
      <c r="I12" s="30">
        <f t="shared" si="3"/>
        <v>9.386905009670346E-2</v>
      </c>
      <c r="J12" s="30">
        <f t="shared" si="4"/>
        <v>7.042948482800418E-2</v>
      </c>
      <c r="K12" s="61">
        <v>958969</v>
      </c>
      <c r="L12" s="30">
        <f t="shared" si="5"/>
        <v>8.8795851368162371E-2</v>
      </c>
      <c r="M12" s="61">
        <v>1044993.7378</v>
      </c>
      <c r="N12" s="30">
        <f t="shared" si="6"/>
        <v>9.6544047778195072E-2</v>
      </c>
      <c r="O12" s="30">
        <f t="shared" si="7"/>
        <v>1.0897054417817469</v>
      </c>
      <c r="P12" s="61">
        <v>1102585.4952</v>
      </c>
      <c r="Q12" s="30">
        <f t="shared" si="8"/>
        <v>0.11288306561041209</v>
      </c>
      <c r="R12" s="30">
        <f t="shared" si="9"/>
        <v>-5.2233371154182764E-2</v>
      </c>
      <c r="S12" s="62"/>
      <c r="AD12" s="47"/>
      <c r="AE12" s="47"/>
      <c r="AF12" s="47"/>
      <c r="AG12" s="47"/>
      <c r="AH12" s="47"/>
      <c r="AI12" s="49"/>
    </row>
    <row r="13" spans="1:35" x14ac:dyDescent="0.2">
      <c r="A13" s="64" t="s">
        <v>73</v>
      </c>
      <c r="B13" s="3" t="s">
        <v>74</v>
      </c>
      <c r="C13" s="61">
        <v>91504</v>
      </c>
      <c r="D13" s="30">
        <f t="shared" si="0"/>
        <v>9.3660246187734011E-2</v>
      </c>
      <c r="E13" s="61">
        <v>155225.94500000001</v>
      </c>
      <c r="F13" s="30">
        <f t="shared" si="1"/>
        <v>0.14052062679833227</v>
      </c>
      <c r="G13" s="30">
        <f t="shared" si="2"/>
        <v>1.6963842564259486</v>
      </c>
      <c r="H13" s="61">
        <v>198037.24900000001</v>
      </c>
      <c r="I13" s="30">
        <f t="shared" si="3"/>
        <v>0.19835470658357049</v>
      </c>
      <c r="J13" s="30">
        <f t="shared" si="4"/>
        <v>-0.21617803830429902</v>
      </c>
      <c r="K13" s="61">
        <v>1120000</v>
      </c>
      <c r="L13" s="30">
        <f t="shared" si="5"/>
        <v>0.10370653642854133</v>
      </c>
      <c r="M13" s="61">
        <v>1202479.4439999999</v>
      </c>
      <c r="N13" s="30">
        <f t="shared" si="6"/>
        <v>0.11109371156447273</v>
      </c>
      <c r="O13" s="30">
        <f t="shared" si="7"/>
        <v>1.0736423607142855</v>
      </c>
      <c r="P13" s="61">
        <v>933693.69799999997</v>
      </c>
      <c r="Q13" s="30">
        <f t="shared" si="8"/>
        <v>9.5591867868934657E-2</v>
      </c>
      <c r="R13" s="30">
        <f t="shared" si="9"/>
        <v>0.28787357842914341</v>
      </c>
      <c r="S13" s="62"/>
      <c r="T13" s="3" t="s">
        <v>32</v>
      </c>
      <c r="U13" s="61">
        <v>104937</v>
      </c>
      <c r="V13" s="61">
        <v>114500.35</v>
      </c>
      <c r="W13" s="61">
        <v>262728.31641999999</v>
      </c>
      <c r="X13" s="61">
        <v>1520643</v>
      </c>
      <c r="Y13" s="61">
        <v>1531835.8294300002</v>
      </c>
      <c r="Z13" s="57">
        <f>+X13-Y13</f>
        <v>-11192.829430000158</v>
      </c>
      <c r="AA13" s="63">
        <f>IF(X13=0,"",(Y13-X13)/ABS(X13)+1)</f>
        <v>1.0073605898491627</v>
      </c>
      <c r="AB13" s="61">
        <v>2863270.9825900001</v>
      </c>
      <c r="AC13" s="30">
        <f>IF(AB13=0,"",(Y13-AB13)/ABS(AB13))</f>
        <v>-0.46500494059267738</v>
      </c>
      <c r="AD13" s="47"/>
      <c r="AE13" s="47"/>
      <c r="AF13" s="47"/>
      <c r="AG13" s="47"/>
      <c r="AH13" s="47"/>
      <c r="AI13" s="49"/>
    </row>
    <row r="14" spans="1:35" x14ac:dyDescent="0.2">
      <c r="A14" s="64">
        <v>4170250500</v>
      </c>
      <c r="B14" s="3" t="s">
        <v>75</v>
      </c>
      <c r="C14" s="61">
        <v>0</v>
      </c>
      <c r="D14" s="30">
        <f t="shared" si="0"/>
        <v>0</v>
      </c>
      <c r="E14" s="61">
        <v>0</v>
      </c>
      <c r="F14" s="30">
        <f t="shared" si="1"/>
        <v>0</v>
      </c>
      <c r="G14" s="30" t="str">
        <f t="shared" si="2"/>
        <v/>
      </c>
      <c r="H14" s="61">
        <v>0</v>
      </c>
      <c r="I14" s="30">
        <f t="shared" si="3"/>
        <v>0</v>
      </c>
      <c r="J14" s="30" t="e">
        <f t="shared" si="4"/>
        <v>#DIV/0!</v>
      </c>
      <c r="K14" s="61">
        <v>0</v>
      </c>
      <c r="L14" s="30">
        <f t="shared" si="5"/>
        <v>0</v>
      </c>
      <c r="M14" s="61">
        <v>0</v>
      </c>
      <c r="N14" s="30">
        <f t="shared" si="6"/>
        <v>0</v>
      </c>
      <c r="O14" s="30" t="str">
        <f t="shared" si="7"/>
        <v/>
      </c>
      <c r="P14" s="61">
        <v>0</v>
      </c>
      <c r="Q14" s="30">
        <f t="shared" si="8"/>
        <v>0</v>
      </c>
      <c r="R14" s="30" t="str">
        <f t="shared" si="9"/>
        <v/>
      </c>
      <c r="S14" s="62"/>
      <c r="T14" s="3" t="s">
        <v>33</v>
      </c>
      <c r="U14" s="61">
        <v>8350</v>
      </c>
      <c r="V14" s="61">
        <v>10149.914000000001</v>
      </c>
      <c r="W14" s="61">
        <v>9300.2860000000001</v>
      </c>
      <c r="X14" s="61">
        <v>100230</v>
      </c>
      <c r="Y14" s="61">
        <v>124964.72934000001</v>
      </c>
      <c r="Z14" s="57">
        <f>+X14-Y14</f>
        <v>-24734.729340000005</v>
      </c>
      <c r="AA14" s="63">
        <f>IF(X14=0,"",(Y14-X14)/ABS(X14)+1)</f>
        <v>1.2467797000897936</v>
      </c>
      <c r="AB14" s="61">
        <v>91599.292000000001</v>
      </c>
      <c r="AC14" s="30">
        <f>IF(AB14=0,"",(Y14-AB14)/ABS(AB14))</f>
        <v>0.36425431476042419</v>
      </c>
      <c r="AD14" s="47"/>
      <c r="AE14" s="47"/>
      <c r="AF14" s="47"/>
      <c r="AG14" s="47"/>
      <c r="AH14" s="47"/>
      <c r="AI14" s="49"/>
    </row>
    <row r="15" spans="1:35" x14ac:dyDescent="0.2">
      <c r="A15" s="64" t="s">
        <v>76</v>
      </c>
      <c r="B15" s="3" t="s">
        <v>77</v>
      </c>
      <c r="C15" s="61">
        <v>143352</v>
      </c>
      <c r="D15" s="30">
        <f t="shared" si="0"/>
        <v>0.1467300184855749</v>
      </c>
      <c r="E15" s="61">
        <v>129744.712</v>
      </c>
      <c r="F15" s="30">
        <f t="shared" si="1"/>
        <v>0.11745335648630841</v>
      </c>
      <c r="G15" s="30">
        <f t="shared" si="2"/>
        <v>0.90507779451978343</v>
      </c>
      <c r="H15" s="61">
        <v>113660.492</v>
      </c>
      <c r="I15" s="30">
        <f t="shared" si="3"/>
        <v>0.11384269199176898</v>
      </c>
      <c r="J15" s="30">
        <f t="shared" si="4"/>
        <v>0.14151108900707557</v>
      </c>
      <c r="K15" s="61">
        <v>1517107</v>
      </c>
      <c r="L15" s="30">
        <f t="shared" si="5"/>
        <v>0.14047670746562058</v>
      </c>
      <c r="M15" s="61">
        <v>1480972.6459999999</v>
      </c>
      <c r="N15" s="30">
        <f t="shared" si="6"/>
        <v>0.13682291933598989</v>
      </c>
      <c r="O15" s="30">
        <f t="shared" si="7"/>
        <v>0.97618206626164139</v>
      </c>
      <c r="P15" s="61">
        <v>1382499.422</v>
      </c>
      <c r="Q15" s="30">
        <f t="shared" si="8"/>
        <v>0.14154074549264287</v>
      </c>
      <c r="R15" s="30">
        <f t="shared" si="9"/>
        <v>7.1228401569631852E-2</v>
      </c>
      <c r="S15" s="62"/>
      <c r="T15" s="3" t="s">
        <v>34</v>
      </c>
      <c r="U15" s="61">
        <v>522267</v>
      </c>
      <c r="V15" s="61">
        <v>481670.66899999999</v>
      </c>
      <c r="W15" s="61">
        <v>445399.85100000002</v>
      </c>
      <c r="X15" s="61">
        <v>4798083</v>
      </c>
      <c r="Y15" s="61">
        <v>4651491.8542799996</v>
      </c>
      <c r="Z15" s="57">
        <f>+X15-Y15</f>
        <v>146591.14572000038</v>
      </c>
      <c r="AA15" s="63">
        <f>IF(X15=0,"",(Y15-X15)/ABS(X15)+1)</f>
        <v>0.96944797626051893</v>
      </c>
      <c r="AB15" s="61">
        <v>4090776.7919999999</v>
      </c>
      <c r="AC15" s="30">
        <f>IF(AB15=0,"",(Y15-AB15)/ABS(AB15))</f>
        <v>0.13706811463694246</v>
      </c>
      <c r="AD15" s="47"/>
      <c r="AE15" s="47"/>
      <c r="AF15" s="47"/>
      <c r="AG15" s="47"/>
      <c r="AH15" s="47"/>
      <c r="AI15" s="49"/>
    </row>
    <row r="16" spans="1:35" x14ac:dyDescent="0.2">
      <c r="A16" s="64">
        <v>4155951000</v>
      </c>
      <c r="B16" s="3" t="s">
        <v>78</v>
      </c>
      <c r="C16" s="61">
        <v>0</v>
      </c>
      <c r="D16" s="30"/>
      <c r="E16" s="61">
        <v>0</v>
      </c>
      <c r="F16" s="30">
        <f t="shared" si="1"/>
        <v>0</v>
      </c>
      <c r="G16" s="30" t="str">
        <f t="shared" si="2"/>
        <v/>
      </c>
      <c r="H16" s="61">
        <v>0</v>
      </c>
      <c r="I16" s="30">
        <f t="shared" si="3"/>
        <v>0</v>
      </c>
      <c r="J16" s="30" t="e">
        <f t="shared" si="4"/>
        <v>#DIV/0!</v>
      </c>
      <c r="K16" s="61">
        <v>0</v>
      </c>
      <c r="L16" s="30">
        <f t="shared" si="5"/>
        <v>0</v>
      </c>
      <c r="M16" s="61">
        <v>0</v>
      </c>
      <c r="N16" s="30">
        <f t="shared" si="6"/>
        <v>0</v>
      </c>
      <c r="O16" s="30" t="str">
        <f t="shared" si="7"/>
        <v/>
      </c>
      <c r="P16" s="61">
        <v>0</v>
      </c>
      <c r="Q16" s="30">
        <f t="shared" si="8"/>
        <v>0</v>
      </c>
      <c r="R16" s="30" t="str">
        <f t="shared" si="9"/>
        <v/>
      </c>
      <c r="S16" s="62"/>
      <c r="T16" s="3" t="s">
        <v>35</v>
      </c>
      <c r="U16" s="61">
        <v>234136</v>
      </c>
      <c r="V16" s="61">
        <v>331647.86215</v>
      </c>
      <c r="W16" s="61">
        <v>244516.69524</v>
      </c>
      <c r="X16" s="61">
        <v>2952776</v>
      </c>
      <c r="Y16" s="61">
        <v>3019527.01401</v>
      </c>
      <c r="Z16" s="57">
        <f>+X16-Y16</f>
        <v>-66751.014010000043</v>
      </c>
      <c r="AA16" s="63">
        <f>IF(X16=0,"",(Y16-X16)/ABS(X16)+1)</f>
        <v>1.0226061895687313</v>
      </c>
      <c r="AB16" s="61">
        <v>2091514.3385999999</v>
      </c>
      <c r="AC16" s="30">
        <f>IF(AB16=0,"",(Y16-AB16)/ABS(AB16))</f>
        <v>0.44370371184315444</v>
      </c>
      <c r="AD16" s="47"/>
      <c r="AE16" s="47"/>
      <c r="AF16" s="47"/>
      <c r="AG16" s="47"/>
      <c r="AH16" s="47"/>
      <c r="AI16" s="49"/>
    </row>
    <row r="17" spans="1:35" x14ac:dyDescent="0.2">
      <c r="A17" s="64">
        <v>4155951500</v>
      </c>
      <c r="B17" s="3" t="s">
        <v>79</v>
      </c>
      <c r="C17" s="61">
        <v>22611</v>
      </c>
      <c r="D17" s="30">
        <f>+C17/$C$20</f>
        <v>2.3143816953912984E-2</v>
      </c>
      <c r="E17" s="61">
        <v>22274.138999999999</v>
      </c>
      <c r="F17" s="30">
        <f t="shared" si="1"/>
        <v>2.0164000120425601E-2</v>
      </c>
      <c r="G17" s="30">
        <f t="shared" si="2"/>
        <v>0.98510189730662068</v>
      </c>
      <c r="H17" s="61">
        <v>16996.571</v>
      </c>
      <c r="I17" s="30">
        <f t="shared" si="3"/>
        <v>1.7023816835750043E-2</v>
      </c>
      <c r="J17" s="30">
        <f t="shared" si="4"/>
        <v>0.31050780772192221</v>
      </c>
      <c r="K17" s="61">
        <v>308963</v>
      </c>
      <c r="L17" s="30">
        <f t="shared" si="5"/>
        <v>2.860846662015305E-2</v>
      </c>
      <c r="M17" s="61">
        <v>308711.39500000002</v>
      </c>
      <c r="N17" s="30">
        <f t="shared" si="6"/>
        <v>2.8520982079088257E-2</v>
      </c>
      <c r="O17" s="30">
        <f t="shared" si="7"/>
        <v>0.99918564682502442</v>
      </c>
      <c r="P17" s="61">
        <v>263052.19300000003</v>
      </c>
      <c r="Q17" s="30">
        <f t="shared" si="8"/>
        <v>2.6931370030398881E-2</v>
      </c>
      <c r="R17" s="30">
        <f t="shared" si="9"/>
        <v>0.17357468675427459</v>
      </c>
      <c r="S17" s="62"/>
      <c r="T17" s="3" t="s">
        <v>36</v>
      </c>
      <c r="U17" s="61">
        <f t="shared" ref="U17:AB17" si="10">SUM(U13:U16)</f>
        <v>869690</v>
      </c>
      <c r="V17" s="61">
        <f>SUM(V13:V16)</f>
        <v>937968.7951499999</v>
      </c>
      <c r="W17" s="61">
        <f t="shared" si="10"/>
        <v>961945.14866000006</v>
      </c>
      <c r="X17" s="61">
        <f t="shared" si="10"/>
        <v>9371732</v>
      </c>
      <c r="Y17" s="61">
        <f>SUM(Y13:Y16)</f>
        <v>9327819.4270600006</v>
      </c>
      <c r="Z17" s="57">
        <f>+Y17-X17</f>
        <v>-43912.572939999402</v>
      </c>
      <c r="AA17" s="63">
        <f>IF(X17=0,"",(Y17-X17)/ABS(X17)+1)</f>
        <v>0.99531435886770991</v>
      </c>
      <c r="AB17" s="61">
        <f t="shared" si="10"/>
        <v>9137161.4051900003</v>
      </c>
      <c r="AC17" s="30">
        <f>IF(AB17=0,"",(Y17-AB17)/ABS(AB17))</f>
        <v>2.0866220198507666E-2</v>
      </c>
      <c r="AD17" s="47"/>
      <c r="AE17" s="47"/>
      <c r="AF17" s="47"/>
      <c r="AG17" s="47"/>
      <c r="AH17" s="47"/>
      <c r="AI17" s="49"/>
    </row>
    <row r="18" spans="1:35" x14ac:dyDescent="0.2">
      <c r="A18" s="64" t="s">
        <v>80</v>
      </c>
      <c r="B18" s="3" t="s">
        <v>81</v>
      </c>
      <c r="C18" s="61">
        <v>137201</v>
      </c>
      <c r="D18" s="34">
        <f t="shared" ref="D18:D46" si="11">+C18/$C$20</f>
        <v>0.14043407323399298</v>
      </c>
      <c r="E18" s="61">
        <v>132988.75</v>
      </c>
      <c r="F18" s="30">
        <f t="shared" si="1"/>
        <v>0.12039007079085078</v>
      </c>
      <c r="G18" s="34">
        <f t="shared" si="2"/>
        <v>0.96929869315821315</v>
      </c>
      <c r="H18" s="61">
        <v>87142.206999999995</v>
      </c>
      <c r="I18" s="30">
        <f t="shared" si="3"/>
        <v>8.7281897662241106E-2</v>
      </c>
      <c r="J18" s="34">
        <f t="shared" si="4"/>
        <v>0.52611179563079014</v>
      </c>
      <c r="K18" s="61">
        <v>1361215</v>
      </c>
      <c r="L18" s="30">
        <f t="shared" si="5"/>
        <v>0.12604186873622936</v>
      </c>
      <c r="M18" s="61">
        <v>1292135.523</v>
      </c>
      <c r="N18" s="30">
        <f t="shared" si="6"/>
        <v>0.11937678586576415</v>
      </c>
      <c r="O18" s="30">
        <f t="shared" si="7"/>
        <v>0.94925160463262603</v>
      </c>
      <c r="P18" s="61">
        <v>1016523.611</v>
      </c>
      <c r="Q18" s="30">
        <f t="shared" si="8"/>
        <v>0.10407202160248953</v>
      </c>
      <c r="R18" s="34">
        <f t="shared" si="9"/>
        <v>0.27113183502827659</v>
      </c>
      <c r="S18" s="62"/>
      <c r="AD18" s="47"/>
      <c r="AE18" s="47"/>
      <c r="AF18" s="47"/>
      <c r="AG18" s="47"/>
      <c r="AH18" s="47"/>
      <c r="AI18" s="49"/>
    </row>
    <row r="19" spans="1:35" x14ac:dyDescent="0.2">
      <c r="A19" s="46" t="s">
        <v>82</v>
      </c>
      <c r="B19" s="3" t="s">
        <v>83</v>
      </c>
      <c r="C19" s="61">
        <v>44094</v>
      </c>
      <c r="D19" s="30">
        <f t="shared" si="11"/>
        <v>4.513305314961033E-2</v>
      </c>
      <c r="E19" s="61">
        <v>53548.716</v>
      </c>
      <c r="F19" s="30">
        <f t="shared" si="1"/>
        <v>4.847578242519885E-2</v>
      </c>
      <c r="G19" s="30">
        <f t="shared" si="2"/>
        <v>1.2144218260987889</v>
      </c>
      <c r="H19" s="61">
        <v>34619.817999999999</v>
      </c>
      <c r="I19" s="30"/>
      <c r="J19" s="30">
        <f t="shared" si="4"/>
        <v>0.54676480390509274</v>
      </c>
      <c r="K19" s="61">
        <v>520953</v>
      </c>
      <c r="L19" s="30">
        <f t="shared" si="5"/>
        <v>4.8237706492908837E-2</v>
      </c>
      <c r="M19" s="61">
        <v>632105.71200000006</v>
      </c>
      <c r="N19" s="30">
        <f t="shared" si="6"/>
        <v>5.8398478242247344E-2</v>
      </c>
      <c r="O19" s="30"/>
      <c r="P19" s="61">
        <v>407899.82900000003</v>
      </c>
      <c r="Q19" s="30">
        <f t="shared" si="8"/>
        <v>4.1760918640717917E-2</v>
      </c>
      <c r="R19" s="30"/>
      <c r="S19" s="62"/>
      <c r="T19" s="3" t="s">
        <v>37</v>
      </c>
      <c r="U19" s="61">
        <f>U11-U17</f>
        <v>312370</v>
      </c>
      <c r="V19" s="61">
        <f>V11-V17</f>
        <v>83646.245290000108</v>
      </c>
      <c r="W19" s="61">
        <f>W11-W17</f>
        <v>330823.44010999997</v>
      </c>
      <c r="X19" s="61">
        <f>X11-X17</f>
        <v>3084930</v>
      </c>
      <c r="Y19" s="61">
        <f>Y11-Y17</f>
        <v>2952420.3755099997</v>
      </c>
      <c r="Z19" s="61">
        <f>+Y19-X19</f>
        <v>-132509.62449000031</v>
      </c>
      <c r="AA19" s="63">
        <f>IF(X19=0,"",(Y19-X19)/ABS(X19)+1)</f>
        <v>0.95704614870029459</v>
      </c>
      <c r="AB19" s="61">
        <f>AB11-AB17</f>
        <v>2592749.7516700011</v>
      </c>
      <c r="AC19" s="30">
        <f>IF(AB19=0,"",(Y19-AB19)/ABS(AB19))</f>
        <v>0.1387216886659938</v>
      </c>
      <c r="AD19" s="47"/>
      <c r="AE19" s="47"/>
      <c r="AF19" s="47"/>
      <c r="AG19" s="47"/>
      <c r="AH19" s="47"/>
    </row>
    <row r="20" spans="1:35" x14ac:dyDescent="0.2">
      <c r="B20" s="19" t="s">
        <v>38</v>
      </c>
      <c r="C20" s="65">
        <f>SUM(C10:C19)</f>
        <v>976978</v>
      </c>
      <c r="D20" s="38">
        <f t="shared" si="11"/>
        <v>1</v>
      </c>
      <c r="E20" s="65">
        <f>SUM(E10:E19)</f>
        <v>1104648.8230000001</v>
      </c>
      <c r="F20" s="38">
        <f t="shared" si="1"/>
        <v>1</v>
      </c>
      <c r="G20" s="38">
        <f t="shared" si="2"/>
        <v>1.1306793223593572</v>
      </c>
      <c r="H20" s="65">
        <f>SUM(H10:H19)</f>
        <v>998399.54600000009</v>
      </c>
      <c r="I20" s="38">
        <f>+H22/$H$22</f>
        <v>1</v>
      </c>
      <c r="J20" s="38">
        <f t="shared" si="4"/>
        <v>0.10641959666916755</v>
      </c>
      <c r="K20" s="65">
        <f>SUM(K10:K19)</f>
        <v>10799705</v>
      </c>
      <c r="L20" s="38">
        <f t="shared" si="5"/>
        <v>1</v>
      </c>
      <c r="M20" s="65">
        <f>SUM(M10:M19)</f>
        <v>10824009.991799999</v>
      </c>
      <c r="N20" s="38">
        <f t="shared" si="6"/>
        <v>1</v>
      </c>
      <c r="O20" s="38">
        <f>IF(K20=0,"",(M20-K20)/ABS(K20)+1)</f>
        <v>1.002250523676341</v>
      </c>
      <c r="P20" s="65">
        <f>SUM(P10:P19)</f>
        <v>9767501.3452000003</v>
      </c>
      <c r="Q20" s="38">
        <f t="shared" si="8"/>
        <v>1</v>
      </c>
      <c r="R20" s="38">
        <f>IF(P20=0,"",(M20-P20)/ABS(P20))</f>
        <v>0.10816570269726085</v>
      </c>
      <c r="S20" s="62"/>
      <c r="T20" s="3"/>
      <c r="U20" s="61"/>
      <c r="V20" s="61"/>
      <c r="W20" s="61"/>
      <c r="X20" s="61"/>
      <c r="Y20" s="61"/>
      <c r="Z20" s="57"/>
      <c r="AA20" s="63"/>
      <c r="AB20" s="61"/>
      <c r="AC20" s="30" t="str">
        <f>IF(AB20=0,"",(Y20-AB20)/ABS(AB20))</f>
        <v/>
      </c>
      <c r="AD20" s="47"/>
      <c r="AE20" s="47"/>
      <c r="AF20" s="47"/>
      <c r="AG20" s="47"/>
      <c r="AH20" s="47"/>
      <c r="AI20" s="49"/>
    </row>
    <row r="21" spans="1:35" x14ac:dyDescent="0.2">
      <c r="B21" s="3"/>
      <c r="C21" s="61"/>
      <c r="D21" s="30"/>
      <c r="E21" s="61"/>
      <c r="F21" s="30"/>
      <c r="G21" s="30"/>
      <c r="H21" s="61"/>
      <c r="I21" s="30"/>
      <c r="J21" s="30"/>
      <c r="K21" s="61"/>
      <c r="L21" s="30"/>
      <c r="M21" s="61"/>
      <c r="N21" s="30"/>
      <c r="O21" s="30"/>
      <c r="P21" s="61"/>
      <c r="Q21" s="30"/>
      <c r="R21" s="30"/>
      <c r="S21" s="62"/>
      <c r="T21" s="3" t="s">
        <v>39</v>
      </c>
      <c r="U21" s="61">
        <f>+U10+U19</f>
        <v>359559</v>
      </c>
      <c r="V21" s="61">
        <f>+V10+V19</f>
        <v>160403.24529000011</v>
      </c>
      <c r="W21" s="61">
        <f>+W10+W19</f>
        <v>773454.44010999997</v>
      </c>
      <c r="X21" s="61">
        <f>+X10+X19</f>
        <v>3569322</v>
      </c>
      <c r="Y21" s="61">
        <f>+Y10+Y19</f>
        <v>3436812.3755099997</v>
      </c>
      <c r="Z21" s="57">
        <f>+Y21-X21</f>
        <v>-132509.62449000031</v>
      </c>
      <c r="AA21" s="63">
        <f>IF(X21=0,"",(Y21-X21)/ABS(X21)+1)</f>
        <v>0.96287540757320289</v>
      </c>
      <c r="AB21" s="61">
        <f>+AB10+AB19</f>
        <v>3183133.7516700011</v>
      </c>
      <c r="AC21" s="30">
        <f>IF(AB21=0,"",(Y21-AB21)/ABS(AB21))</f>
        <v>7.9694616573026039E-2</v>
      </c>
      <c r="AD21" s="47"/>
      <c r="AE21" s="47"/>
      <c r="AF21" s="47"/>
      <c r="AG21" s="47"/>
      <c r="AH21" s="47"/>
      <c r="AI21" s="49"/>
    </row>
    <row r="22" spans="1:35" x14ac:dyDescent="0.2">
      <c r="A22" s="66"/>
      <c r="B22" s="3" t="s">
        <v>40</v>
      </c>
      <c r="C22" s="61">
        <v>78869</v>
      </c>
      <c r="D22" s="30">
        <f t="shared" si="11"/>
        <v>8.072750870541609E-2</v>
      </c>
      <c r="E22" s="61">
        <v>146849.23090999998</v>
      </c>
      <c r="F22" s="30">
        <f>+E22/$E$20</f>
        <v>0.1329374800863749</v>
      </c>
      <c r="G22" s="30">
        <f>IF(C22=0,"",(E22-C22)/ABS(C22)+1)</f>
        <v>1.8619385425198747</v>
      </c>
      <c r="H22" s="61">
        <v>165255.50487999999</v>
      </c>
      <c r="I22" s="30">
        <f t="shared" ref="I22:I46" si="12">+H22/$H$20</f>
        <v>0.16552041268656584</v>
      </c>
      <c r="J22" s="30">
        <f>IF(H22=0,"",(E22-H22)/ABS(H22))</f>
        <v>-0.11138070095374852</v>
      </c>
      <c r="K22" s="61">
        <v>901731</v>
      </c>
      <c r="L22" s="30">
        <f t="shared" si="5"/>
        <v>8.3495891785933044E-2</v>
      </c>
      <c r="M22" s="61">
        <v>1060202.22007</v>
      </c>
      <c r="N22" s="30">
        <f>+M22/$M$20</f>
        <v>9.7949116905211922E-2</v>
      </c>
      <c r="O22" s="30">
        <f>IF(K22=0,"",(M22-K22)/ABS(K22)+1)</f>
        <v>1.175741124648038</v>
      </c>
      <c r="P22" s="61">
        <v>735419.14738999994</v>
      </c>
      <c r="Q22" s="30">
        <f t="shared" si="8"/>
        <v>7.5292454170114209E-2</v>
      </c>
      <c r="R22" s="30">
        <f>IF(P22=0,"",(M22-P22)/ABS(P22))</f>
        <v>0.44162988390043162</v>
      </c>
      <c r="S22" s="62"/>
      <c r="T22" s="3"/>
      <c r="U22" s="61"/>
      <c r="V22" s="61"/>
      <c r="W22" s="61"/>
      <c r="X22" s="61"/>
      <c r="Y22" s="61"/>
      <c r="Z22" s="57"/>
      <c r="AA22" s="63"/>
      <c r="AB22" s="61"/>
      <c r="AC22" s="30"/>
      <c r="AD22" s="47"/>
      <c r="AE22" s="47"/>
      <c r="AF22" s="47"/>
      <c r="AG22" s="47"/>
      <c r="AH22" s="47"/>
      <c r="AI22" s="49"/>
    </row>
    <row r="23" spans="1:35" x14ac:dyDescent="0.2">
      <c r="A23" s="66"/>
      <c r="B23" s="3"/>
      <c r="C23" s="61"/>
      <c r="D23" s="30"/>
      <c r="E23" s="61"/>
      <c r="F23" s="30"/>
      <c r="G23" s="30"/>
      <c r="H23" s="61"/>
      <c r="I23" s="30"/>
      <c r="J23" s="30"/>
      <c r="K23" s="61"/>
      <c r="L23" s="30"/>
      <c r="M23" s="61"/>
      <c r="N23" s="30"/>
      <c r="O23" s="30"/>
      <c r="P23" s="61"/>
      <c r="Q23" s="30"/>
      <c r="R23" s="30"/>
      <c r="S23" s="62"/>
      <c r="T23" s="3" t="s">
        <v>41</v>
      </c>
      <c r="U23" s="61">
        <v>0</v>
      </c>
      <c r="V23" s="61">
        <v>166534.83112000002</v>
      </c>
      <c r="W23" s="61">
        <v>164859.91200000001</v>
      </c>
      <c r="X23" s="61">
        <v>424785</v>
      </c>
      <c r="Y23" s="61">
        <v>995929.78302999993</v>
      </c>
      <c r="Z23" s="57">
        <f>+Y23-X23</f>
        <v>571144.78302999993</v>
      </c>
      <c r="AA23" s="63">
        <f>IF(X23=0,"",(Y23-X23)/ABS(X23)+1)</f>
        <v>2.3445502619678189</v>
      </c>
      <c r="AB23" s="61">
        <v>655129.50600000005</v>
      </c>
      <c r="AC23" s="30">
        <f>IF(AB23=0,"",(Y23-AB23)/ABS(AB23))</f>
        <v>0.52020291241469419</v>
      </c>
      <c r="AD23" s="47"/>
      <c r="AE23" s="47"/>
      <c r="AF23" s="47"/>
      <c r="AG23" s="47"/>
      <c r="AH23" s="47"/>
      <c r="AI23" s="49"/>
    </row>
    <row r="24" spans="1:35" x14ac:dyDescent="0.2">
      <c r="B24" s="3" t="s">
        <v>42</v>
      </c>
      <c r="C24" s="61">
        <f>+C20-C22</f>
        <v>898109</v>
      </c>
      <c r="D24" s="30">
        <f t="shared" si="11"/>
        <v>0.91927249129458388</v>
      </c>
      <c r="E24" s="61">
        <f>+E20-E22</f>
        <v>957799.59209000017</v>
      </c>
      <c r="F24" s="30">
        <f>+E24/$E$20</f>
        <v>0.86706251991362515</v>
      </c>
      <c r="G24" s="30">
        <f>IF(C24=0,"",(E24-C24)/ABS(C24)+1)</f>
        <v>1.066462525250276</v>
      </c>
      <c r="H24" s="61">
        <f>+H20-H22</f>
        <v>833144.04112000007</v>
      </c>
      <c r="I24" s="30">
        <f t="shared" si="12"/>
        <v>0.83447958731343408</v>
      </c>
      <c r="J24" s="30">
        <f>IF(H24=0,"",(E24-H24)/ABS(H24))</f>
        <v>0.14962064759225183</v>
      </c>
      <c r="K24" s="61">
        <f>+K20-K22</f>
        <v>9897974</v>
      </c>
      <c r="L24" s="30">
        <f t="shared" si="5"/>
        <v>0.91650410821406691</v>
      </c>
      <c r="M24" s="61">
        <f>+M20-M22</f>
        <v>9763807.7717299983</v>
      </c>
      <c r="N24" s="30">
        <f>+M24/$M$20</f>
        <v>0.90205088309478798</v>
      </c>
      <c r="O24" s="30">
        <f>IF(K24=0,"",(M24-K24)/ABS(K24)+1)</f>
        <v>0.98644508176420731</v>
      </c>
      <c r="P24" s="61">
        <f>+P20-P22</f>
        <v>9032082.1978099998</v>
      </c>
      <c r="Q24" s="30">
        <f t="shared" si="8"/>
        <v>0.92470754582988568</v>
      </c>
      <c r="R24" s="30">
        <f>IF(P24=0,"",(M24-P24)/ABS(P24))</f>
        <v>8.1014051676524743E-2</v>
      </c>
      <c r="S24" s="62"/>
      <c r="T24" s="3"/>
      <c r="U24" s="61"/>
      <c r="V24" s="61"/>
      <c r="W24" s="61"/>
      <c r="X24" s="61"/>
      <c r="Y24" s="61"/>
      <c r="Z24" s="57"/>
      <c r="AA24" s="63"/>
      <c r="AB24" s="61"/>
      <c r="AC24" s="30"/>
      <c r="AD24" s="47"/>
      <c r="AE24" s="47"/>
      <c r="AF24" s="47"/>
      <c r="AG24" s="47"/>
      <c r="AH24" s="47"/>
      <c r="AI24" s="49"/>
    </row>
    <row r="25" spans="1:35" x14ac:dyDescent="0.2">
      <c r="B25" s="3"/>
      <c r="C25" s="61"/>
      <c r="D25" s="30"/>
      <c r="E25" s="61"/>
      <c r="F25" s="30"/>
      <c r="G25" s="30"/>
      <c r="H25" s="61"/>
      <c r="I25" s="30"/>
      <c r="J25" s="30"/>
      <c r="K25" s="61"/>
      <c r="L25" s="30"/>
      <c r="M25" s="61"/>
      <c r="N25" s="30"/>
      <c r="O25" s="30"/>
      <c r="P25" s="61"/>
      <c r="Q25" s="30"/>
      <c r="R25" s="30"/>
      <c r="S25" s="62"/>
      <c r="T25" s="3" t="s">
        <v>43</v>
      </c>
      <c r="U25" s="61">
        <v>55459</v>
      </c>
      <c r="V25" s="61">
        <v>50497.075680000002</v>
      </c>
      <c r="W25" s="61">
        <v>69589.450970000005</v>
      </c>
      <c r="X25" s="61">
        <v>2074232</v>
      </c>
      <c r="Y25" s="61">
        <v>1953038.8824200002</v>
      </c>
      <c r="Z25" s="57">
        <f>+Y25-X25</f>
        <v>-121193.11757999985</v>
      </c>
      <c r="AA25" s="63">
        <f>IF(X25=0,"",(Y25-X25)/ABS(X25)+1)</f>
        <v>0.9415720528947582</v>
      </c>
      <c r="AB25" s="61">
        <v>1792935.67979</v>
      </c>
      <c r="AC25" s="30">
        <f>IF(AB25=0,"",(Y25-AB25)/ABS(AB25))</f>
        <v>8.9296679426198095E-2</v>
      </c>
      <c r="AD25" s="47"/>
      <c r="AE25" s="47"/>
      <c r="AF25" s="47"/>
      <c r="AG25" s="47"/>
      <c r="AH25" s="47"/>
      <c r="AI25" s="49"/>
    </row>
    <row r="26" spans="1:35" x14ac:dyDescent="0.2">
      <c r="B26" s="3" t="s">
        <v>44</v>
      </c>
      <c r="C26" s="61">
        <v>191948</v>
      </c>
      <c r="D26" s="30">
        <f t="shared" si="11"/>
        <v>0.19647115902302814</v>
      </c>
      <c r="E26" s="61">
        <v>245318.71191999997</v>
      </c>
      <c r="F26" s="30">
        <f>+E26/$E$20</f>
        <v>0.22207846223360342</v>
      </c>
      <c r="G26" s="30">
        <f>IF(C26=0,"",(E26-C26)/ABS(C26)+1)</f>
        <v>1.2780477625190154</v>
      </c>
      <c r="H26" s="61">
        <v>214198.55855000002</v>
      </c>
      <c r="I26" s="30">
        <f t="shared" si="12"/>
        <v>0.21454192302887926</v>
      </c>
      <c r="J26" s="30">
        <f>IF(H26=0,"",(E26-H26)/ABS(H26))</f>
        <v>0.14528647429126201</v>
      </c>
      <c r="K26" s="61">
        <v>2391751</v>
      </c>
      <c r="L26" s="30">
        <f t="shared" si="5"/>
        <v>0.22146447518705373</v>
      </c>
      <c r="M26" s="61">
        <v>2388633.8307600003</v>
      </c>
      <c r="N26" s="30">
        <f>+M26/$M$20</f>
        <v>0.22067919676437567</v>
      </c>
      <c r="O26" s="30">
        <f>IF(K26=0,"",(M26-K26)/ABS(K26)+1)</f>
        <v>0.99869669993239274</v>
      </c>
      <c r="P26" s="61">
        <v>2031582.29107</v>
      </c>
      <c r="Q26" s="30">
        <f t="shared" si="8"/>
        <v>0.20799406309458779</v>
      </c>
      <c r="R26" s="30">
        <f>IF(P26=0,"",(M26-P26)/ABS(P26))</f>
        <v>0.17575046861722113</v>
      </c>
      <c r="S26" s="62"/>
      <c r="T26" s="3"/>
      <c r="U26" s="61"/>
      <c r="V26" s="61"/>
      <c r="W26" s="61"/>
      <c r="X26" s="61"/>
      <c r="Y26" s="61"/>
      <c r="Z26" s="57"/>
      <c r="AA26" s="63"/>
      <c r="AB26" s="61"/>
      <c r="AC26" s="30"/>
      <c r="AD26" s="47"/>
      <c r="AE26" s="47"/>
      <c r="AF26" s="47"/>
      <c r="AG26" s="47"/>
      <c r="AH26" s="47"/>
      <c r="AI26" s="49"/>
    </row>
    <row r="27" spans="1:35" x14ac:dyDescent="0.2">
      <c r="B27" s="3" t="s">
        <v>45</v>
      </c>
      <c r="C27" s="61">
        <v>283317</v>
      </c>
      <c r="D27" s="30">
        <f t="shared" si="11"/>
        <v>0.28999322400299699</v>
      </c>
      <c r="E27" s="61">
        <v>306283.24919999996</v>
      </c>
      <c r="F27" s="30">
        <f>+E27/$E$20</f>
        <v>0.27726752866870158</v>
      </c>
      <c r="G27" s="30">
        <f>IF(C27=0,"",(E27-C27)/ABS(C27)+1)</f>
        <v>1.0810620231048611</v>
      </c>
      <c r="H27" s="61">
        <v>315710.85702999996</v>
      </c>
      <c r="I27" s="30">
        <f t="shared" si="12"/>
        <v>0.3162169477088283</v>
      </c>
      <c r="J27" s="30">
        <f>IF(H27=0,"",(E27-H27)/ABS(H27))</f>
        <v>-2.986152557022817E-2</v>
      </c>
      <c r="K27" s="61">
        <v>3376047</v>
      </c>
      <c r="L27" s="30">
        <f t="shared" si="5"/>
        <v>0.31260548320532827</v>
      </c>
      <c r="M27" s="61">
        <v>3443502.0364999999</v>
      </c>
      <c r="N27" s="30">
        <f>+M27/$M$20</f>
        <v>0.31813551900900972</v>
      </c>
      <c r="O27" s="30">
        <f>IF(K27=0,"",(M27-K27)/ABS(K27)+1)</f>
        <v>1.0199804790928562</v>
      </c>
      <c r="P27" s="61">
        <v>3557038.05333</v>
      </c>
      <c r="Q27" s="30">
        <f t="shared" si="8"/>
        <v>0.36417072571769027</v>
      </c>
      <c r="R27" s="30">
        <f>IF(P27=0,"",(M27-P27)/ABS(P27))</f>
        <v>-3.1918696153309591E-2</v>
      </c>
      <c r="S27" s="62"/>
      <c r="T27" s="3" t="s">
        <v>46</v>
      </c>
      <c r="U27" s="61">
        <v>155114</v>
      </c>
      <c r="V27" s="61">
        <v>-98282.82637000001</v>
      </c>
      <c r="W27" s="61">
        <v>54612.853470000002</v>
      </c>
      <c r="X27" s="61">
        <v>301319</v>
      </c>
      <c r="Y27" s="61">
        <v>-125872.62168000001</v>
      </c>
      <c r="Z27" s="57">
        <f>+Y27-X27</f>
        <v>-427191.62167999998</v>
      </c>
      <c r="AA27" s="63">
        <f>IF(X27=0,"",(Y27-X27)/ABS(X27)+1)</f>
        <v>-0.41773874757316998</v>
      </c>
      <c r="AB27" s="61">
        <v>250676.52899000002</v>
      </c>
      <c r="AC27" s="30">
        <f>IF(AB27=0,"",(Y27-AB27)/ABS(AB27))</f>
        <v>-1.5021316602202566</v>
      </c>
      <c r="AD27" s="47"/>
      <c r="AE27" s="47"/>
      <c r="AF27" s="47"/>
      <c r="AG27" s="47"/>
      <c r="AH27" s="47"/>
      <c r="AI27" s="49"/>
    </row>
    <row r="28" spans="1:35" x14ac:dyDescent="0.2">
      <c r="B28" s="3" t="s">
        <v>47</v>
      </c>
      <c r="C28" s="61">
        <f>SUM(C26:C27)</f>
        <v>475265</v>
      </c>
      <c r="D28" s="30">
        <f t="shared" si="11"/>
        <v>0.48646438302602513</v>
      </c>
      <c r="E28" s="61">
        <f>SUM(E26:E27)</f>
        <v>551601.96111999988</v>
      </c>
      <c r="F28" s="30">
        <f>+E28/$E$20</f>
        <v>0.49934599090230491</v>
      </c>
      <c r="G28" s="30">
        <f>IF(C28=0,"",(E28-C28)/ABS(C28)+1)</f>
        <v>1.160619782900066</v>
      </c>
      <c r="H28" s="61">
        <f>SUM(H26:H27)</f>
        <v>529909.41558000003</v>
      </c>
      <c r="I28" s="30">
        <f t="shared" si="12"/>
        <v>0.53075887073770767</v>
      </c>
      <c r="J28" s="30">
        <f>IF(H28=0,"",(E28-H28)/ABS(H28))</f>
        <v>4.0936327799076327E-2</v>
      </c>
      <c r="K28" s="61">
        <f>SUM(K26:K27)</f>
        <v>5767798</v>
      </c>
      <c r="L28" s="30">
        <f t="shared" si="5"/>
        <v>0.53406995839238203</v>
      </c>
      <c r="M28" s="61">
        <f>SUM(M26:M27)</f>
        <v>5832135.8672599997</v>
      </c>
      <c r="N28" s="30">
        <f>+M28/$M$20</f>
        <v>0.53881471577338536</v>
      </c>
      <c r="O28" s="30">
        <f>IF(K28=0,"",(M28-K28)/ABS(K28)+1)</f>
        <v>1.0111546672161542</v>
      </c>
      <c r="P28" s="61">
        <f>SUM(P26:P27)</f>
        <v>5588620.3443999998</v>
      </c>
      <c r="Q28" s="30">
        <f t="shared" si="8"/>
        <v>0.57216478881227806</v>
      </c>
      <c r="R28" s="30">
        <f>IF(P28=0,"",(M28-P28)/ABS(P28))</f>
        <v>4.3573459611371039E-2</v>
      </c>
      <c r="S28" s="62"/>
      <c r="T28" s="3" t="s">
        <v>48</v>
      </c>
      <c r="U28" s="61">
        <v>0</v>
      </c>
      <c r="V28" s="61">
        <v>9547.4369999999999</v>
      </c>
      <c r="W28" s="61">
        <v>0</v>
      </c>
      <c r="X28" s="61">
        <v>620000</v>
      </c>
      <c r="Y28" s="61">
        <v>581609.54099999997</v>
      </c>
      <c r="Z28" s="57">
        <f>+Y28-X28</f>
        <v>-38390.459000000032</v>
      </c>
      <c r="AA28" s="63">
        <f>IF(X28=0,"",(Y28-X28)/ABS(X28)+1)</f>
        <v>0.93807990483870962</v>
      </c>
      <c r="AB28" s="61">
        <v>0</v>
      </c>
      <c r="AC28" s="30" t="str">
        <f>IF(AB28=0,"",(Y28-AB28)/ABS(AB28))</f>
        <v/>
      </c>
      <c r="AD28" s="47"/>
      <c r="AE28" s="47"/>
      <c r="AF28" s="47"/>
      <c r="AG28" s="47"/>
      <c r="AH28" s="47"/>
      <c r="AI28" s="49"/>
    </row>
    <row r="29" spans="1:35" x14ac:dyDescent="0.2">
      <c r="B29" s="3"/>
      <c r="C29" s="61"/>
      <c r="D29" s="30"/>
      <c r="E29" s="61"/>
      <c r="F29" s="30"/>
      <c r="G29" s="30"/>
      <c r="H29" s="61"/>
      <c r="I29" s="30"/>
      <c r="J29" s="30"/>
      <c r="K29" s="61"/>
      <c r="L29" s="30"/>
      <c r="M29" s="61"/>
      <c r="N29" s="30"/>
      <c r="O29" s="30"/>
      <c r="P29" s="61"/>
      <c r="Q29" s="30"/>
      <c r="R29" s="30"/>
      <c r="S29" s="62"/>
      <c r="AD29" s="47"/>
      <c r="AE29" s="47"/>
      <c r="AF29" s="47"/>
      <c r="AG29" s="47"/>
      <c r="AH29" s="47"/>
      <c r="AI29" s="49"/>
    </row>
    <row r="30" spans="1:35" x14ac:dyDescent="0.2">
      <c r="B30" s="3" t="s">
        <v>49</v>
      </c>
      <c r="C30" s="61">
        <v>51528</v>
      </c>
      <c r="D30" s="30">
        <f t="shared" si="11"/>
        <v>5.2742231657212341E-2</v>
      </c>
      <c r="E30" s="61">
        <v>52587.605000000003</v>
      </c>
      <c r="F30" s="30">
        <f>+E30/$E$20</f>
        <v>4.7605722203354031E-2</v>
      </c>
      <c r="G30" s="30">
        <f>IF(C30=0,"",(E30-C30)/ABS(C30)+1)</f>
        <v>1.0205636741189257</v>
      </c>
      <c r="H30" s="61">
        <v>38765.508780000004</v>
      </c>
      <c r="I30" s="30">
        <f t="shared" si="12"/>
        <v>3.8827650648791463E-2</v>
      </c>
      <c r="J30" s="30">
        <f>IF(H30=0,"",(E30-H30)/ABS(H30))</f>
        <v>0.35655655387995655</v>
      </c>
      <c r="K30" s="61">
        <v>646832</v>
      </c>
      <c r="L30" s="30">
        <f t="shared" si="5"/>
        <v>5.9893487831380578E-2</v>
      </c>
      <c r="M30" s="61">
        <v>608917.65612000006</v>
      </c>
      <c r="N30" s="30">
        <f>+M30/$M$20</f>
        <v>5.6256198634452567E-2</v>
      </c>
      <c r="O30" s="30">
        <f>IF(K30=0,"",(M30-K30)/ABS(K30)+1)</f>
        <v>0.94138455753580541</v>
      </c>
      <c r="P30" s="61">
        <v>476103.53401</v>
      </c>
      <c r="Q30" s="30">
        <f t="shared" si="8"/>
        <v>4.8743636390075284E-2</v>
      </c>
      <c r="R30" s="30">
        <f>IF(P30=0,"",(M30-P30)/ABS(P30))</f>
        <v>0.27896058865887446</v>
      </c>
      <c r="S30" s="62"/>
      <c r="T30" s="19" t="s">
        <v>50</v>
      </c>
      <c r="U30" s="65">
        <f>U21-U23-U25-U27-U28</f>
        <v>148986</v>
      </c>
      <c r="V30" s="65">
        <f>V21-V23-V25-V27-V28</f>
        <v>32106.727860000101</v>
      </c>
      <c r="W30" s="65">
        <f>W21-W23-W25-W27-W28</f>
        <v>484392.22366999998</v>
      </c>
      <c r="X30" s="65">
        <f>X21-X23-X25-X27-X28</f>
        <v>148986</v>
      </c>
      <c r="Y30" s="65">
        <f>Y21-Y23-Y25-Y27-Y28</f>
        <v>32106.790739999502</v>
      </c>
      <c r="Z30" s="67">
        <f>+Y30-X30</f>
        <v>-116879.2092600005</v>
      </c>
      <c r="AA30" s="68">
        <f>IF(U30=0,"",(V30-U30)/ABS(U30)+1)</f>
        <v>0.21550164351012913</v>
      </c>
      <c r="AB30" s="65">
        <f>AB21-AB23-AB25-AB27-AB28</f>
        <v>484392.03689000104</v>
      </c>
      <c r="AC30" s="30">
        <f>IF(AB30=0,"",(Y30-AB30)/ABS(AB30))</f>
        <v>-0.93371734402130457</v>
      </c>
      <c r="AD30" s="48"/>
      <c r="AE30" s="48"/>
    </row>
    <row r="31" spans="1:35" x14ac:dyDescent="0.2">
      <c r="B31" s="3" t="s">
        <v>51</v>
      </c>
      <c r="C31" s="61">
        <v>161447</v>
      </c>
      <c r="D31" s="30">
        <f t="shared" si="11"/>
        <v>0.16525141814861746</v>
      </c>
      <c r="E31" s="61">
        <v>186675.15969</v>
      </c>
      <c r="F31" s="30">
        <f>+E31/$E$20</f>
        <v>0.16899050250470415</v>
      </c>
      <c r="G31" s="30">
        <f>IF(C31=0,"",(E31-C31)/ABS(C31)+1)</f>
        <v>1.1562627963975793</v>
      </c>
      <c r="H31" s="61">
        <v>164627.45302000002</v>
      </c>
      <c r="I31" s="30">
        <f t="shared" si="12"/>
        <v>0.16489135404715019</v>
      </c>
      <c r="J31" s="30">
        <f>IF(H31=0,"",(E31-H31)/ABS(H31))</f>
        <v>0.13392484828955889</v>
      </c>
      <c r="K31" s="61">
        <v>2062516</v>
      </c>
      <c r="L31" s="30">
        <f t="shared" si="5"/>
        <v>0.19097892025754407</v>
      </c>
      <c r="M31" s="61">
        <v>2054553.899</v>
      </c>
      <c r="N31" s="30">
        <f>+M31/$M$20</f>
        <v>0.18981448654948388</v>
      </c>
      <c r="O31" s="30">
        <f>IF(K31=0,"",(M31-K31)/ABS(K31)+1)</f>
        <v>0.99613961734115031</v>
      </c>
      <c r="P31" s="61">
        <v>1854855.74976</v>
      </c>
      <c r="Q31" s="30">
        <f t="shared" si="8"/>
        <v>0.18990074167448398</v>
      </c>
      <c r="R31" s="30">
        <f>IF(P31=0,"",(M31-P31)/ABS(P31))</f>
        <v>0.10766236094954494</v>
      </c>
      <c r="S31" s="62"/>
      <c r="T31" s="48"/>
      <c r="U31" s="52" t="s">
        <v>61</v>
      </c>
      <c r="V31" s="52" t="s">
        <v>61</v>
      </c>
      <c r="W31" s="48" t="s">
        <v>61</v>
      </c>
      <c r="X31" s="52" t="s">
        <v>61</v>
      </c>
      <c r="Y31" s="52" t="s">
        <v>61</v>
      </c>
      <c r="Z31" s="52"/>
      <c r="AA31" s="52"/>
      <c r="AB31" s="69" t="s">
        <v>61</v>
      </c>
      <c r="AC31" s="48"/>
      <c r="AD31" s="48"/>
      <c r="AE31" s="48"/>
    </row>
    <row r="32" spans="1:35" x14ac:dyDescent="0.2">
      <c r="B32" s="3" t="s">
        <v>52</v>
      </c>
      <c r="C32" s="61">
        <f>SUM(C30:C31)</f>
        <v>212975</v>
      </c>
      <c r="D32" s="30">
        <f t="shared" si="11"/>
        <v>0.2179936498058298</v>
      </c>
      <c r="E32" s="61">
        <f>SUM(E30:E31)</f>
        <v>239262.76469000001</v>
      </c>
      <c r="F32" s="30">
        <f>+E32/$E$20</f>
        <v>0.21659622470805817</v>
      </c>
      <c r="G32" s="30">
        <f>IF(C32=0,"",(E32-C32)/ABS(C32)+1)</f>
        <v>1.1234312228665337</v>
      </c>
      <c r="H32" s="61">
        <f>SUM(H30:H31)</f>
        <v>203392.96180000002</v>
      </c>
      <c r="I32" s="30">
        <f t="shared" si="12"/>
        <v>0.20371900469594165</v>
      </c>
      <c r="J32" s="30">
        <f>IF(H32=0,"",(E32-H32)/ABS(H32))</f>
        <v>0.17635714909973835</v>
      </c>
      <c r="K32" s="61">
        <f>SUM(K30:K31)</f>
        <v>2709348</v>
      </c>
      <c r="L32" s="30">
        <f t="shared" si="5"/>
        <v>0.25087240808892464</v>
      </c>
      <c r="M32" s="61">
        <f>SUM(M30:M31)</f>
        <v>2663471.5551200002</v>
      </c>
      <c r="N32" s="30">
        <f>+M32/$M$20</f>
        <v>0.24607068518393646</v>
      </c>
      <c r="O32" s="30">
        <f>IF(K32=0,"",(M32-K32)/ABS(K32)+1)</f>
        <v>0.98306734872006107</v>
      </c>
      <c r="P32" s="61">
        <f>SUM(P30:P31)</f>
        <v>2330959.2837700001</v>
      </c>
      <c r="Q32" s="30">
        <f t="shared" si="8"/>
        <v>0.23864437806455926</v>
      </c>
      <c r="R32" s="30">
        <f>IF(P32=0,"",(M32-P32)/ABS(P32))</f>
        <v>0.1426503987715341</v>
      </c>
      <c r="S32" s="62"/>
      <c r="T32" s="48" t="s">
        <v>84</v>
      </c>
      <c r="U32" s="69"/>
      <c r="V32" s="69"/>
      <c r="W32" s="69"/>
      <c r="X32" s="69"/>
      <c r="Y32" s="69"/>
      <c r="Z32" s="69"/>
      <c r="AA32" s="69"/>
      <c r="AB32" s="69"/>
      <c r="AC32" s="48"/>
    </row>
    <row r="33" spans="1:29" x14ac:dyDescent="0.2">
      <c r="B33" s="3"/>
      <c r="C33" s="61"/>
      <c r="D33" s="30"/>
      <c r="E33" s="61"/>
      <c r="F33" s="30"/>
      <c r="G33" s="30"/>
      <c r="H33" s="61"/>
      <c r="I33" s="30"/>
      <c r="J33" s="30"/>
      <c r="K33" s="61"/>
      <c r="L33" s="30"/>
      <c r="M33" s="61"/>
      <c r="N33" s="30"/>
      <c r="O33" s="30"/>
      <c r="P33" s="61"/>
      <c r="Q33" s="30"/>
      <c r="R33" s="30"/>
      <c r="S33" s="62"/>
      <c r="T33" s="48"/>
      <c r="U33" s="69"/>
      <c r="V33" s="69"/>
      <c r="W33" s="69"/>
      <c r="X33" s="69"/>
      <c r="Y33" s="69"/>
      <c r="Z33" s="69"/>
      <c r="AA33" s="69"/>
      <c r="AB33" s="69"/>
      <c r="AC33" s="48"/>
    </row>
    <row r="34" spans="1:29" x14ac:dyDescent="0.2">
      <c r="B34" s="3" t="s">
        <v>53</v>
      </c>
      <c r="C34" s="61">
        <f>C28+C32</f>
        <v>688240</v>
      </c>
      <c r="D34" s="30">
        <f t="shared" si="11"/>
        <v>0.70445803283185493</v>
      </c>
      <c r="E34" s="61">
        <f>E28+E32</f>
        <v>790864.72580999986</v>
      </c>
      <c r="F34" s="30">
        <f>+E34/$E$20</f>
        <v>0.71594221561036309</v>
      </c>
      <c r="G34" s="30">
        <f>IF(C34=0,"",(E34-C34)/ABS(C34)+1)</f>
        <v>1.1491118298994536</v>
      </c>
      <c r="H34" s="61">
        <f>H28+H32</f>
        <v>733302.37738000008</v>
      </c>
      <c r="I34" s="30">
        <f t="shared" si="12"/>
        <v>0.73447787543364929</v>
      </c>
      <c r="J34" s="30">
        <f>IF(H34=0,"",(E34-H34)/ABS(H34))</f>
        <v>7.8497425080855499E-2</v>
      </c>
      <c r="K34" s="61">
        <f>K28+K32</f>
        <v>8477146</v>
      </c>
      <c r="L34" s="30">
        <f t="shared" si="5"/>
        <v>0.78494236648130666</v>
      </c>
      <c r="M34" s="61">
        <f>M28+M32</f>
        <v>8495607.4223800004</v>
      </c>
      <c r="N34" s="30">
        <f>+M34/$M$20</f>
        <v>0.78488540095732184</v>
      </c>
      <c r="O34" s="30">
        <f>IF(K34=0,"",(M34-K34)/ABS(K34)+1)</f>
        <v>1.0021777874746998</v>
      </c>
      <c r="P34" s="61">
        <f>P28+P32</f>
        <v>7919579.6281700004</v>
      </c>
      <c r="Q34" s="30">
        <f t="shared" si="8"/>
        <v>0.81080916687683735</v>
      </c>
      <c r="R34" s="30">
        <f>IF(P34=0,"",(M34-P34)/ABS(P34))</f>
        <v>7.2734642652125758E-2</v>
      </c>
      <c r="S34" s="62"/>
      <c r="T34" s="47"/>
      <c r="U34" s="49"/>
      <c r="V34" s="49"/>
      <c r="W34" s="49"/>
      <c r="X34" s="69"/>
      <c r="Y34" s="69"/>
      <c r="Z34" s="69"/>
      <c r="AA34" s="69"/>
    </row>
    <row r="35" spans="1:29" x14ac:dyDescent="0.2">
      <c r="B35" s="3"/>
      <c r="C35" s="61"/>
      <c r="D35" s="30"/>
      <c r="E35" s="61"/>
      <c r="F35" s="30"/>
      <c r="G35" s="30"/>
      <c r="H35" s="61"/>
      <c r="I35" s="30"/>
      <c r="J35" s="30"/>
      <c r="K35" s="61"/>
      <c r="L35" s="30"/>
      <c r="M35" s="61"/>
      <c r="N35" s="30"/>
      <c r="O35" s="30"/>
      <c r="P35" s="61"/>
      <c r="Q35" s="30"/>
      <c r="R35" s="30"/>
      <c r="S35" s="62"/>
      <c r="T35" s="47"/>
      <c r="U35" s="49"/>
      <c r="V35" s="49"/>
      <c r="W35" s="49"/>
      <c r="X35" s="69"/>
      <c r="Y35" s="69"/>
      <c r="Z35" s="69"/>
      <c r="AA35" s="69"/>
    </row>
    <row r="36" spans="1:29" x14ac:dyDescent="0.2">
      <c r="B36" s="19" t="s">
        <v>54</v>
      </c>
      <c r="C36" s="65">
        <f>C24-C34</f>
        <v>209869</v>
      </c>
      <c r="D36" s="38">
        <f t="shared" si="11"/>
        <v>0.21481445846272895</v>
      </c>
      <c r="E36" s="65">
        <f>E24-E34</f>
        <v>166934.86628000031</v>
      </c>
      <c r="F36" s="38">
        <f>+E36/$E$20</f>
        <v>0.15112030430326209</v>
      </c>
      <c r="G36" s="38">
        <f>IF(C36=0,"",(E36-C36)/ABS(C36)+1)</f>
        <v>0.79542412781306582</v>
      </c>
      <c r="H36" s="65">
        <f>H24-H34</f>
        <v>99841.663739999989</v>
      </c>
      <c r="I36" s="38">
        <f t="shared" si="12"/>
        <v>0.10000171187978484</v>
      </c>
      <c r="J36" s="38">
        <f>IF(H36=0,"",(E36-H36)/ABS(H36))</f>
        <v>0.67199603879517966</v>
      </c>
      <c r="K36" s="65">
        <f>K24-K34</f>
        <v>1420828</v>
      </c>
      <c r="L36" s="38">
        <f t="shared" si="5"/>
        <v>0.13156174173276031</v>
      </c>
      <c r="M36" s="65">
        <f>+M24-M34</f>
        <v>1268200.3493499979</v>
      </c>
      <c r="N36" s="38">
        <f>+M36/$M$20</f>
        <v>0.11716548213746615</v>
      </c>
      <c r="O36" s="38">
        <f>IF(K36=0,"",(M36-K36)/ABS(K36)+1)</f>
        <v>0.89257837637630866</v>
      </c>
      <c r="P36" s="65">
        <f>P24-P34</f>
        <v>1112502.5696399994</v>
      </c>
      <c r="Q36" s="38">
        <f t="shared" si="8"/>
        <v>0.11389837895304837</v>
      </c>
      <c r="R36" s="38">
        <f>IF(P36=0,"",(M36-P36)/ABS(P36))</f>
        <v>0.13995273715222212</v>
      </c>
      <c r="S36" s="62"/>
      <c r="T36" s="47"/>
      <c r="W36" s="49"/>
      <c r="X36" s="69"/>
      <c r="Y36" s="69"/>
      <c r="Z36" s="69"/>
      <c r="AA36" s="69"/>
    </row>
    <row r="37" spans="1:29" x14ac:dyDescent="0.2">
      <c r="B37" s="3"/>
      <c r="C37" s="61"/>
      <c r="D37" s="30"/>
      <c r="E37" s="61"/>
      <c r="F37" s="30"/>
      <c r="G37" s="30"/>
      <c r="H37" s="61"/>
      <c r="I37" s="30"/>
      <c r="J37" s="30"/>
      <c r="K37" s="61"/>
      <c r="L37" s="30"/>
      <c r="M37" s="61"/>
      <c r="N37" s="30"/>
      <c r="O37" s="30"/>
      <c r="P37" s="61"/>
      <c r="Q37" s="30"/>
      <c r="R37" s="30"/>
      <c r="S37" s="62"/>
      <c r="W37" s="49"/>
      <c r="X37" s="69"/>
      <c r="Y37" s="69"/>
      <c r="Z37" s="69"/>
      <c r="AA37" s="69"/>
    </row>
    <row r="38" spans="1:29" x14ac:dyDescent="0.2">
      <c r="B38" s="3" t="s">
        <v>55</v>
      </c>
      <c r="C38" s="61">
        <v>36279</v>
      </c>
      <c r="D38" s="30">
        <f t="shared" si="11"/>
        <v>3.7133896566759944E-2</v>
      </c>
      <c r="E38" s="61">
        <v>682.52624000000003</v>
      </c>
      <c r="F38" s="30">
        <f>+E38/$E$20</f>
        <v>6.1786716808912945E-4</v>
      </c>
      <c r="G38" s="30">
        <f>IF(C38=0,"",(E38-C38)/ABS(C38)+1)</f>
        <v>1.8813259461396337E-2</v>
      </c>
      <c r="H38" s="61">
        <v>108457.97168999999</v>
      </c>
      <c r="I38" s="30">
        <f t="shared" si="12"/>
        <v>0.10863183193995561</v>
      </c>
      <c r="J38" s="30">
        <f>IF(H38=0,"",(E38-H38)/ABS(H38))</f>
        <v>-0.99370699793325623</v>
      </c>
      <c r="K38" s="61">
        <v>43319</v>
      </c>
      <c r="L38" s="30">
        <f t="shared" si="5"/>
        <v>4.01112808173927E-3</v>
      </c>
      <c r="M38" s="61">
        <v>24561.444309999999</v>
      </c>
      <c r="N38" s="30">
        <f>+M38/$M$20</f>
        <v>2.2691631224109306E-3</v>
      </c>
      <c r="O38" s="30">
        <f>IF(K38=0,"",(M38-K38)/ABS(K38)+1)</f>
        <v>0.5669901038805143</v>
      </c>
      <c r="P38" s="61">
        <v>327794.53220000002</v>
      </c>
      <c r="Q38" s="30">
        <f t="shared" si="8"/>
        <v>3.3559712009774804E-2</v>
      </c>
      <c r="R38" s="30">
        <f>IF(P38=0,"",(M38-P38)/ABS(P38))</f>
        <v>-0.92507061010092106</v>
      </c>
      <c r="S38" s="62"/>
      <c r="T38" s="47"/>
      <c r="X38" s="69"/>
      <c r="Y38" s="69"/>
      <c r="Z38" s="69"/>
      <c r="AA38" s="69"/>
    </row>
    <row r="39" spans="1:29" x14ac:dyDescent="0.2">
      <c r="B39" s="3" t="s">
        <v>56</v>
      </c>
      <c r="C39" s="61">
        <v>14856</v>
      </c>
      <c r="D39" s="30">
        <f t="shared" si="11"/>
        <v>1.5206074241180456E-2</v>
      </c>
      <c r="E39" s="61">
        <v>21498.432280000001</v>
      </c>
      <c r="F39" s="30">
        <f>+E39/$E$20</f>
        <v>1.9461779918087143E-2</v>
      </c>
      <c r="G39" s="30">
        <f>IF(C39=0,"",(E39-C39)/ABS(C39)+1)</f>
        <v>1.4471211820140011</v>
      </c>
      <c r="H39" s="61">
        <v>122939.82995999999</v>
      </c>
      <c r="I39" s="30">
        <f t="shared" si="12"/>
        <v>0.12313690491201403</v>
      </c>
      <c r="J39" s="30">
        <f>IF(H39=0,"",(E39-H39)/ABS(H39))</f>
        <v>-0.82513045375941407</v>
      </c>
      <c r="K39" s="61">
        <v>179090</v>
      </c>
      <c r="L39" s="30">
        <f t="shared" si="5"/>
        <v>1.658286036516738E-2</v>
      </c>
      <c r="M39" s="61">
        <v>213980.76582</v>
      </c>
      <c r="N39" s="30">
        <f>+M39/$M$20</f>
        <v>1.9769084284115269E-2</v>
      </c>
      <c r="O39" s="30">
        <f>IF(K39=0,"",(M39-K39)/ABS(K39)+1)</f>
        <v>1.1948225239823553</v>
      </c>
      <c r="P39" s="61">
        <v>407462.09837000002</v>
      </c>
      <c r="Q39" s="30">
        <f t="shared" si="8"/>
        <v>4.1716103634860238E-2</v>
      </c>
      <c r="R39" s="30">
        <f>IF(P39=0,"",(M39-P39)/ABS(P39))</f>
        <v>-0.47484498146943566</v>
      </c>
      <c r="S39" s="62"/>
      <c r="T39" s="47"/>
      <c r="X39" s="69"/>
      <c r="Y39" s="69"/>
      <c r="Z39" s="69"/>
      <c r="AA39" s="69"/>
    </row>
    <row r="40" spans="1:29" x14ac:dyDescent="0.2">
      <c r="B40" s="3"/>
      <c r="C40" s="61"/>
      <c r="D40" s="30"/>
      <c r="E40" s="61"/>
      <c r="F40" s="30"/>
      <c r="G40" s="30"/>
      <c r="H40" s="61"/>
      <c r="I40" s="30"/>
      <c r="J40" s="30"/>
      <c r="K40" s="61"/>
      <c r="L40" s="30"/>
      <c r="M40" s="61"/>
      <c r="N40" s="30"/>
      <c r="O40" s="30"/>
      <c r="P40" s="61"/>
      <c r="Q40" s="30"/>
      <c r="R40" s="30"/>
      <c r="S40" s="62"/>
      <c r="T40" s="47"/>
      <c r="X40" s="69"/>
      <c r="Y40" s="69"/>
      <c r="Z40" s="69"/>
      <c r="AA40" s="69"/>
    </row>
    <row r="41" spans="1:29" x14ac:dyDescent="0.2">
      <c r="B41" s="3" t="s">
        <v>57</v>
      </c>
      <c r="C41" s="61">
        <f>C36+C38-C39</f>
        <v>231292</v>
      </c>
      <c r="D41" s="30">
        <f t="shared" si="11"/>
        <v>0.23674228078830845</v>
      </c>
      <c r="E41" s="61">
        <f>E36+E38-E39</f>
        <v>146118.96024000031</v>
      </c>
      <c r="F41" s="30">
        <f>+E41/$E$20</f>
        <v>0.13227639155326407</v>
      </c>
      <c r="G41" s="30">
        <f>IF(C41=0,"",(E41-C41)/ABS(C41)+1)</f>
        <v>0.63175103436348989</v>
      </c>
      <c r="H41" s="61">
        <f>H36+H38-H39</f>
        <v>85359.805469999978</v>
      </c>
      <c r="I41" s="30">
        <f t="shared" si="12"/>
        <v>8.5496638907726394E-2</v>
      </c>
      <c r="J41" s="30">
        <f>IF(H41=0,"",(E41-H41)/ABS(H41))</f>
        <v>0.71180052995029797</v>
      </c>
      <c r="K41" s="61">
        <f>K36+K38-K39</f>
        <v>1285057</v>
      </c>
      <c r="L41" s="30">
        <f t="shared" si="5"/>
        <v>0.11899000944933218</v>
      </c>
      <c r="M41" s="61">
        <f>M36+M38-M39</f>
        <v>1078781.0278399978</v>
      </c>
      <c r="N41" s="30">
        <f>+M41/$M$20</f>
        <v>9.9665560975761805E-2</v>
      </c>
      <c r="O41" s="30">
        <f>IF(K41=0,"",(M41-K41)/ABS(K41)+1)</f>
        <v>0.8394810719213216</v>
      </c>
      <c r="P41" s="61">
        <f>P36+P38-P39</f>
        <v>1032835.0034699994</v>
      </c>
      <c r="Q41" s="30">
        <f t="shared" si="8"/>
        <v>0.10574198732796294</v>
      </c>
      <c r="R41" s="30">
        <f>IF(P41=0,"",(M41-P41)/ABS(P41))</f>
        <v>4.4485347819965666E-2</v>
      </c>
      <c r="S41" s="62"/>
      <c r="T41" s="47"/>
      <c r="X41" s="69"/>
      <c r="Y41" s="69"/>
      <c r="Z41" s="69"/>
      <c r="AA41" s="69"/>
    </row>
    <row r="42" spans="1:29" x14ac:dyDescent="0.2">
      <c r="B42" s="3" t="s">
        <v>43</v>
      </c>
      <c r="C42" s="61">
        <v>70431</v>
      </c>
      <c r="D42" s="30">
        <f t="shared" si="11"/>
        <v>7.2090671437841994E-2</v>
      </c>
      <c r="E42" s="61">
        <v>53857.773000000001</v>
      </c>
      <c r="F42" s="30">
        <f>+E42/$E$20</f>
        <v>4.8755560933594545E-2</v>
      </c>
      <c r="G42" s="30">
        <f>IF(C42=0,"",(E42-C42)/ABS(C42)+1)</f>
        <v>0.76468846104698218</v>
      </c>
      <c r="H42" s="61">
        <v>-139578.48699999999</v>
      </c>
      <c r="I42" s="30">
        <f t="shared" si="12"/>
        <v>-0.13980223404468572</v>
      </c>
      <c r="J42" s="30">
        <f>IF(H42=0,"",(E42-H42)/ABS(H42))</f>
        <v>1.3858601290039776</v>
      </c>
      <c r="K42" s="61">
        <v>449814</v>
      </c>
      <c r="L42" s="30">
        <f t="shared" si="5"/>
        <v>4.1650582122382047E-2</v>
      </c>
      <c r="M42" s="61">
        <v>380817.45899999997</v>
      </c>
      <c r="N42" s="30">
        <f>+M42/$M$20</f>
        <v>3.5182659595519389E-2</v>
      </c>
      <c r="O42" s="30">
        <f>IF(K42=0,"",(M42-K42)/ABS(K42)+1)</f>
        <v>0.84661095252704444</v>
      </c>
      <c r="P42" s="61">
        <v>179372.149</v>
      </c>
      <c r="Q42" s="30">
        <f t="shared" si="8"/>
        <v>1.8364179605477923E-2</v>
      </c>
      <c r="R42" s="30">
        <f>IF(P42=0,"",(M42-P42)/ABS(P42))</f>
        <v>1.1230579057175702</v>
      </c>
      <c r="S42" s="62"/>
      <c r="X42" s="69"/>
      <c r="Y42" s="69"/>
      <c r="Z42" s="69"/>
      <c r="AA42" s="69"/>
    </row>
    <row r="43" spans="1:29" x14ac:dyDescent="0.2">
      <c r="B43" s="19" t="s">
        <v>58</v>
      </c>
      <c r="C43" s="65">
        <f>+C41-C42</f>
        <v>160861</v>
      </c>
      <c r="D43" s="38">
        <f t="shared" si="11"/>
        <v>0.16465160935046644</v>
      </c>
      <c r="E43" s="65">
        <f>E41-E42</f>
        <v>92261.187240000305</v>
      </c>
      <c r="F43" s="38">
        <f>+E43/$E$20</f>
        <v>8.3520830619669514E-2</v>
      </c>
      <c r="G43" s="38">
        <f>IF(C43=0,"",(E43-C43)/ABS(C43)+1)</f>
        <v>0.57354602569920798</v>
      </c>
      <c r="H43" s="65">
        <f>+H41-H42</f>
        <v>224938.29246999999</v>
      </c>
      <c r="I43" s="38">
        <f t="shared" si="12"/>
        <v>0.22529887295241213</v>
      </c>
      <c r="J43" s="38">
        <f>IF(H43=0,"",(E43-H43)/ABS(H43))</f>
        <v>-0.58983778961376632</v>
      </c>
      <c r="K43" s="65">
        <f>+K41-K42</f>
        <v>835243</v>
      </c>
      <c r="L43" s="38">
        <f t="shared" si="5"/>
        <v>7.7339427326950136E-2</v>
      </c>
      <c r="M43" s="65">
        <f>+M41-M42</f>
        <v>697963.56883999775</v>
      </c>
      <c r="N43" s="38">
        <f>+M43/$M$20</f>
        <v>6.4482901380242402E-2</v>
      </c>
      <c r="O43" s="38">
        <f>IF(K43=0,"",(M43-K43)/ABS(K43)+1)</f>
        <v>0.83564132694317439</v>
      </c>
      <c r="P43" s="65">
        <f>P41-P42</f>
        <v>853462.85446999944</v>
      </c>
      <c r="Q43" s="38">
        <f t="shared" si="8"/>
        <v>8.7377807722485018E-2</v>
      </c>
      <c r="R43" s="38">
        <f>IF(P43=0,"",(M43-P43)/ABS(P43))</f>
        <v>-0.18219807085402301</v>
      </c>
      <c r="S43" s="62"/>
      <c r="T43" s="70"/>
      <c r="W43" s="49"/>
      <c r="X43" s="69"/>
      <c r="Y43" s="69"/>
      <c r="Z43" s="69"/>
      <c r="AA43" s="69"/>
    </row>
    <row r="44" spans="1:29" x14ac:dyDescent="0.2">
      <c r="B44" s="3"/>
      <c r="C44" s="61"/>
      <c r="D44" s="30"/>
      <c r="E44" s="61"/>
      <c r="F44" s="30"/>
      <c r="G44" s="30"/>
      <c r="H44" s="61"/>
      <c r="I44" s="30"/>
      <c r="J44" s="30"/>
      <c r="K44" s="61"/>
      <c r="L44" s="30"/>
      <c r="M44" s="61"/>
      <c r="N44" s="30"/>
      <c r="O44" s="30"/>
      <c r="P44" s="61"/>
      <c r="Q44" s="30"/>
      <c r="R44" s="30"/>
      <c r="S44" s="62"/>
      <c r="W44" s="49"/>
      <c r="X44" s="69"/>
      <c r="Y44" s="69"/>
      <c r="Z44" s="69"/>
      <c r="AA44" s="69"/>
    </row>
    <row r="45" spans="1:29" x14ac:dyDescent="0.2">
      <c r="A45" s="64" t="s">
        <v>85</v>
      </c>
      <c r="B45" s="3" t="s">
        <v>86</v>
      </c>
      <c r="C45" s="61">
        <v>249946</v>
      </c>
      <c r="D45" s="30">
        <f t="shared" si="11"/>
        <v>0.25583585300794898</v>
      </c>
      <c r="E45" s="61">
        <v>208969.7818700003</v>
      </c>
      <c r="F45" s="30">
        <f>+E45/$E$20</f>
        <v>0.18917304533261634</v>
      </c>
      <c r="G45" s="30">
        <f>IF(C45=0,"",(E45-C45)/ABS(C45)+1)</f>
        <v>0.83605971637873899</v>
      </c>
      <c r="H45" s="61">
        <v>255232.52909</v>
      </c>
      <c r="I45" s="30">
        <f t="shared" si="12"/>
        <v>0.25564167182624098</v>
      </c>
      <c r="J45" s="30">
        <f>IF(H45=0,"",(E45-H45)/ABS(H45))</f>
        <v>-0.18125725347370025</v>
      </c>
      <c r="K45" s="61">
        <v>1914559</v>
      </c>
      <c r="L45" s="30">
        <f t="shared" si="5"/>
        <v>0.17727882381972471</v>
      </c>
      <c r="M45" s="61">
        <v>1753939.149659998</v>
      </c>
      <c r="N45" s="30">
        <f>+M45/$M$20</f>
        <v>0.16204153091033163</v>
      </c>
      <c r="O45" s="30">
        <f>IF(K45=0,"",(M45-K45)/ABS(K45)+1)</f>
        <v>0.91610608482684419</v>
      </c>
      <c r="P45" s="61">
        <v>1505979.0098699995</v>
      </c>
      <c r="Q45" s="30">
        <f t="shared" si="8"/>
        <v>0.15418262630801438</v>
      </c>
      <c r="R45" s="30">
        <f>IF(P45=0,"",(M45-P45)/ABS(P45))</f>
        <v>0.16465046203492781</v>
      </c>
      <c r="S45" s="62"/>
      <c r="X45" s="69"/>
      <c r="Y45" s="69"/>
      <c r="Z45" s="69"/>
      <c r="AA45" s="69"/>
    </row>
    <row r="46" spans="1:29" x14ac:dyDescent="0.2">
      <c r="A46" s="71"/>
      <c r="B46" s="3" t="s">
        <v>34</v>
      </c>
      <c r="C46" s="61">
        <v>360215</v>
      </c>
      <c r="D46" s="30">
        <f t="shared" si="11"/>
        <v>0.36870328707504163</v>
      </c>
      <c r="E46" s="61">
        <v>362768.01500000001</v>
      </c>
      <c r="F46" s="30">
        <f>+E46/$E$20</f>
        <v>0.3284012144373597</v>
      </c>
      <c r="G46" s="30">
        <f>IF(C46=0,"",(E46-C46)/ABS(C46)+1)</f>
        <v>1.0070874755354442</v>
      </c>
      <c r="H46" s="61">
        <v>303644.01699999999</v>
      </c>
      <c r="I46" s="30">
        <f t="shared" si="12"/>
        <v>0.30413076429824415</v>
      </c>
      <c r="J46" s="30">
        <f>IF(H46=0,"",(E46-H46)/ABS(H46))</f>
        <v>0.19471484597043789</v>
      </c>
      <c r="K46" s="61">
        <v>4389040</v>
      </c>
      <c r="L46" s="30">
        <f t="shared" si="5"/>
        <v>0.40640369343421878</v>
      </c>
      <c r="M46" s="61">
        <v>4231983.1660000002</v>
      </c>
      <c r="N46" s="30">
        <f>+M46/$M$20</f>
        <v>0.39098108457087949</v>
      </c>
      <c r="O46" s="30">
        <f>IF(K46=0,"",(M46-K46)/ABS(K46)+1)</f>
        <v>0.96421613063448963</v>
      </c>
      <c r="P46" s="61">
        <v>3833242.5669999998</v>
      </c>
      <c r="Q46" s="30">
        <f t="shared" si="8"/>
        <v>0.39244863466374164</v>
      </c>
      <c r="R46" s="30">
        <f>IF(P46=0,"",(M46-P46)/ABS(P46))</f>
        <v>0.10402174974073339</v>
      </c>
      <c r="S46" s="62"/>
      <c r="X46" s="69"/>
      <c r="Y46" s="69"/>
      <c r="Z46" s="69"/>
      <c r="AA46" s="69"/>
    </row>
    <row r="47" spans="1:29" x14ac:dyDescent="0.2">
      <c r="B47" s="3" t="s">
        <v>84</v>
      </c>
      <c r="C47" s="61"/>
      <c r="J47" s="61"/>
      <c r="K47" s="61"/>
      <c r="L47" s="61"/>
      <c r="M47" s="61"/>
      <c r="N47" s="61"/>
      <c r="O47" s="61"/>
      <c r="P47" s="61"/>
      <c r="Q47" s="61"/>
      <c r="S47" s="62"/>
      <c r="X47" s="69"/>
      <c r="Y47" s="69"/>
      <c r="Z47" s="69"/>
      <c r="AA47" s="69"/>
    </row>
    <row r="48" spans="1:29" x14ac:dyDescent="0.2"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S48" s="62"/>
      <c r="X48" s="69"/>
      <c r="Y48" s="69"/>
      <c r="Z48" s="69"/>
      <c r="AA48" s="69"/>
    </row>
    <row r="49" spans="1:27" x14ac:dyDescent="0.2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X49" s="69"/>
      <c r="Y49" s="69"/>
      <c r="Z49" s="69"/>
      <c r="AA49" s="69"/>
    </row>
    <row r="50" spans="1:27" x14ac:dyDescent="0.2"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</row>
    <row r="51" spans="1:27" x14ac:dyDescent="0.2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</row>
    <row r="52" spans="1:27" x14ac:dyDescent="0.2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</row>
    <row r="53" spans="1:27" x14ac:dyDescent="0.2"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</row>
    <row r="54" spans="1:27" x14ac:dyDescent="0.2">
      <c r="J54" s="61"/>
      <c r="K54" s="61"/>
      <c r="L54" s="61"/>
      <c r="M54" s="61"/>
      <c r="N54" s="61"/>
      <c r="O54" s="61"/>
      <c r="P54" s="61"/>
      <c r="Q54" s="61"/>
      <c r="R54" s="61"/>
      <c r="S54" s="61"/>
    </row>
    <row r="55" spans="1:27" x14ac:dyDescent="0.2">
      <c r="A55" s="46" t="s">
        <v>87</v>
      </c>
    </row>
    <row r="56" spans="1:27" x14ac:dyDescent="0.2">
      <c r="C56" s="47"/>
    </row>
  </sheetData>
  <conditionalFormatting sqref="D9:D46 AC19:AC28 AC30 AC10:AC11 AC13:AC17 J10:J46 G10:G46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4E473-50E2-44AF-A4B2-54A7E070E3E5}">
  <sheetPr>
    <tabColor theme="2" tint="-0.249977111117893"/>
  </sheetPr>
  <dimension ref="A1:V48"/>
  <sheetViews>
    <sheetView showGridLines="0" zoomScale="93" zoomScaleNormal="93" workbookViewId="0">
      <selection activeCell="M18" sqref="M18"/>
    </sheetView>
  </sheetViews>
  <sheetFormatPr baseColWidth="10" defaultRowHeight="12.75" x14ac:dyDescent="0.2"/>
  <cols>
    <col min="1" max="1" width="4.140625" style="73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44" customFormat="1" ht="18.75" customHeight="1" x14ac:dyDescent="0.2">
      <c r="A1" s="72"/>
      <c r="B1" s="43"/>
      <c r="S1" s="2"/>
      <c r="T1" s="2"/>
      <c r="U1" s="2"/>
      <c r="V1" s="2"/>
    </row>
    <row r="2" spans="1:22" ht="15.75" customHeight="1" x14ac:dyDescent="0.2"/>
    <row r="3" spans="1:22" ht="18" x14ac:dyDescent="0.25">
      <c r="B3" s="15" t="s">
        <v>88</v>
      </c>
      <c r="T3" s="17"/>
    </row>
    <row r="4" spans="1:22" x14ac:dyDescent="0.2">
      <c r="B4" s="3" t="s">
        <v>89</v>
      </c>
    </row>
    <row r="5" spans="1:22" x14ac:dyDescent="0.2">
      <c r="A5" s="73">
        <f>+Paramet!A3</f>
        <v>202101</v>
      </c>
      <c r="B5" s="3" t="s">
        <v>21</v>
      </c>
    </row>
    <row r="6" spans="1:22" ht="13.5" thickBot="1" x14ac:dyDescent="0.25">
      <c r="A6" s="73">
        <f>+Paramet!A4</f>
        <v>202112</v>
      </c>
      <c r="B6" s="74" t="str">
        <f>+'COLOMB$ '!B6</f>
        <v>DICIEMBRE De 2022</v>
      </c>
      <c r="K6" s="20" t="s">
        <v>22</v>
      </c>
      <c r="L6" s="20"/>
      <c r="M6" s="20"/>
      <c r="N6" s="20"/>
      <c r="O6" s="20"/>
      <c r="P6" s="20"/>
      <c r="Q6" s="20"/>
      <c r="R6" s="20"/>
    </row>
    <row r="7" spans="1:22" x14ac:dyDescent="0.2">
      <c r="A7" s="73">
        <f>+Paramet!B3</f>
        <v>202201</v>
      </c>
      <c r="B7" s="3"/>
      <c r="C7" s="48" t="str">
        <f>+'COLOMB$ '!D7:D7</f>
        <v>Ppto 2022</v>
      </c>
      <c r="D7" s="48"/>
      <c r="E7" s="48" t="str">
        <f>+'COLOMB$ '!F7:F7</f>
        <v>Real 2022</v>
      </c>
      <c r="F7" s="48"/>
      <c r="G7" s="44" t="s">
        <v>23</v>
      </c>
      <c r="H7" s="48" t="str">
        <f>+'COLOMB$ '!I7:I7</f>
        <v>Real 2021</v>
      </c>
      <c r="I7" s="48"/>
      <c r="J7" s="44" t="s">
        <v>24</v>
      </c>
      <c r="K7" s="48" t="str">
        <f>+C7</f>
        <v>Ppto 2022</v>
      </c>
      <c r="L7" s="48"/>
      <c r="M7" s="48" t="str">
        <f>+E7</f>
        <v>Real 2022</v>
      </c>
      <c r="N7" s="48"/>
      <c r="O7" s="44" t="s">
        <v>23</v>
      </c>
      <c r="P7" s="2" t="str">
        <f>+H7</f>
        <v>Real 2021</v>
      </c>
      <c r="R7" s="44" t="s">
        <v>24</v>
      </c>
    </row>
    <row r="8" spans="1:22" ht="13.5" thickBot="1" x14ac:dyDescent="0.25">
      <c r="A8" s="73">
        <f>+Paramet!B4</f>
        <v>202212</v>
      </c>
      <c r="B8" s="26" t="s">
        <v>26</v>
      </c>
      <c r="C8" s="27" t="s">
        <v>27</v>
      </c>
      <c r="D8" s="27" t="s">
        <v>28</v>
      </c>
      <c r="E8" s="27" t="s">
        <v>27</v>
      </c>
      <c r="F8" s="27" t="s">
        <v>28</v>
      </c>
      <c r="G8" s="27" t="s">
        <v>29</v>
      </c>
      <c r="H8" s="27" t="s">
        <v>27</v>
      </c>
      <c r="I8" s="27" t="s">
        <v>28</v>
      </c>
      <c r="J8" s="27" t="s">
        <v>29</v>
      </c>
      <c r="K8" s="27" t="s">
        <v>27</v>
      </c>
      <c r="L8" s="27" t="s">
        <v>28</v>
      </c>
      <c r="M8" s="27" t="s">
        <v>27</v>
      </c>
      <c r="N8" s="27" t="s">
        <v>28</v>
      </c>
      <c r="O8" s="27" t="s">
        <v>29</v>
      </c>
      <c r="P8" s="27" t="s">
        <v>27</v>
      </c>
      <c r="Q8" s="27" t="s">
        <v>28</v>
      </c>
      <c r="R8" s="27" t="s">
        <v>29</v>
      </c>
    </row>
    <row r="9" spans="1:22" ht="15.75" customHeight="1" x14ac:dyDescent="0.2">
      <c r="A9" s="75" t="s">
        <v>90</v>
      </c>
    </row>
    <row r="10" spans="1:22" x14ac:dyDescent="0.2">
      <c r="B10" s="3" t="str">
        <f>+'COLOMB$ '!B10</f>
        <v>Musical Experience  (Ambiental)</v>
      </c>
      <c r="C10" s="61">
        <v>0</v>
      </c>
      <c r="D10" s="63">
        <f t="shared" ref="D10:D18" si="0">+C10/$C$20</f>
        <v>0</v>
      </c>
      <c r="E10" s="61"/>
      <c r="F10" s="63">
        <f t="shared" ref="F10:F20" si="1">IF($E$20=0,0,E10/$E$20)</f>
        <v>0</v>
      </c>
      <c r="G10" s="63" t="str">
        <f t="shared" ref="G10:G17" si="2">IF(C10=0,"",(E10-C10)/ABS(C10)+1)</f>
        <v/>
      </c>
      <c r="H10" s="61"/>
      <c r="I10" s="63" t="e">
        <f t="shared" ref="I10:I16" si="3">+H10/$H$20</f>
        <v>#DIV/0!</v>
      </c>
      <c r="J10" s="63" t="str">
        <f t="shared" ref="J10:J46" si="4">IF(H10&lt;=0,"",(E10-H10)/ABS(H10))</f>
        <v/>
      </c>
      <c r="K10" s="61"/>
      <c r="L10" s="63">
        <f t="shared" ref="L10:L20" si="5">+K10/$K$20</f>
        <v>0</v>
      </c>
      <c r="M10" s="61">
        <v>0</v>
      </c>
      <c r="N10" s="63">
        <f t="shared" ref="N10:N20" si="6">IF($M$20=0,0,M10/$M$20)</f>
        <v>0</v>
      </c>
      <c r="O10" s="63" t="str">
        <f t="shared" ref="O10:O17" si="7">IF(K10=0,"",(M10-K10)/ABS(K10)+1)</f>
        <v/>
      </c>
      <c r="P10" s="61"/>
      <c r="Q10" s="63">
        <f t="shared" ref="Q10:Q17" si="8">+P10/$P$20</f>
        <v>0</v>
      </c>
      <c r="R10" s="30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61">
        <v>0</v>
      </c>
      <c r="D11" s="63">
        <f t="shared" si="0"/>
        <v>0</v>
      </c>
      <c r="E11" s="61"/>
      <c r="F11" s="63">
        <f t="shared" si="1"/>
        <v>0</v>
      </c>
      <c r="G11" s="63" t="str">
        <f t="shared" si="2"/>
        <v/>
      </c>
      <c r="H11" s="61"/>
      <c r="I11" s="63" t="e">
        <f t="shared" si="3"/>
        <v>#DIV/0!</v>
      </c>
      <c r="J11" s="63" t="str">
        <f t="shared" si="4"/>
        <v/>
      </c>
      <c r="K11" s="61"/>
      <c r="L11" s="63">
        <f t="shared" si="5"/>
        <v>0</v>
      </c>
      <c r="M11" s="61">
        <v>50.42</v>
      </c>
      <c r="N11" s="63">
        <f t="shared" si="6"/>
        <v>7.7921917355167541E-2</v>
      </c>
      <c r="O11" s="63" t="str">
        <f t="shared" si="7"/>
        <v/>
      </c>
      <c r="P11" s="61"/>
      <c r="Q11" s="63">
        <f t="shared" si="8"/>
        <v>0</v>
      </c>
      <c r="R11" s="30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61">
        <v>0</v>
      </c>
      <c r="D12" s="63">
        <f t="shared" si="0"/>
        <v>0</v>
      </c>
      <c r="E12" s="61"/>
      <c r="F12" s="63">
        <f t="shared" si="1"/>
        <v>0</v>
      </c>
      <c r="G12" s="63" t="str">
        <f t="shared" si="2"/>
        <v/>
      </c>
      <c r="H12" s="61"/>
      <c r="I12" s="63" t="e">
        <f t="shared" si="3"/>
        <v>#DIV/0!</v>
      </c>
      <c r="J12" s="63" t="str">
        <f t="shared" si="4"/>
        <v/>
      </c>
      <c r="K12" s="61"/>
      <c r="L12" s="63">
        <f t="shared" si="5"/>
        <v>0</v>
      </c>
      <c r="M12" s="61">
        <v>0</v>
      </c>
      <c r="N12" s="63">
        <f t="shared" si="6"/>
        <v>0</v>
      </c>
      <c r="O12" s="63" t="str">
        <f t="shared" si="7"/>
        <v/>
      </c>
      <c r="P12" s="61">
        <f>+H12+T13</f>
        <v>0</v>
      </c>
      <c r="Q12" s="63">
        <f t="shared" si="8"/>
        <v>0</v>
      </c>
      <c r="R12" s="30" t="str">
        <f t="shared" si="9"/>
        <v/>
      </c>
    </row>
    <row r="13" spans="1:22" x14ac:dyDescent="0.2">
      <c r="B13" s="3" t="str">
        <f>+'COLOMB$ '!B13</f>
        <v>Service &amp; Equipment Experience</v>
      </c>
      <c r="C13" s="61">
        <v>1456</v>
      </c>
      <c r="D13" s="63">
        <f t="shared" si="0"/>
        <v>1</v>
      </c>
      <c r="E13" s="61">
        <v>0</v>
      </c>
      <c r="F13" s="63">
        <f t="shared" si="1"/>
        <v>0</v>
      </c>
      <c r="G13" s="63">
        <f t="shared" si="2"/>
        <v>0</v>
      </c>
      <c r="H13" s="61">
        <v>0</v>
      </c>
      <c r="I13" s="63" t="e">
        <f t="shared" si="3"/>
        <v>#DIV/0!</v>
      </c>
      <c r="J13" s="63" t="str">
        <f t="shared" si="4"/>
        <v/>
      </c>
      <c r="K13" s="61">
        <v>18194</v>
      </c>
      <c r="L13" s="63">
        <f t="shared" si="5"/>
        <v>1</v>
      </c>
      <c r="M13" s="61">
        <v>596.63800000000003</v>
      </c>
      <c r="N13" s="63">
        <f t="shared" si="6"/>
        <v>0.92207808264483249</v>
      </c>
      <c r="O13" s="63">
        <f t="shared" si="7"/>
        <v>3.2793118610530914E-2</v>
      </c>
      <c r="P13" s="61">
        <v>15733.361999999999</v>
      </c>
      <c r="Q13" s="63">
        <f t="shared" si="8"/>
        <v>1</v>
      </c>
      <c r="R13" s="30">
        <f t="shared" si="9"/>
        <v>-0.9620781623152127</v>
      </c>
    </row>
    <row r="14" spans="1:22" x14ac:dyDescent="0.2">
      <c r="B14" s="3" t="str">
        <f>+'COLOMB$ '!B14</f>
        <v>POP Satelital</v>
      </c>
      <c r="C14" s="61">
        <v>0</v>
      </c>
      <c r="D14" s="63">
        <f t="shared" si="0"/>
        <v>0</v>
      </c>
      <c r="E14" s="61"/>
      <c r="F14" s="63">
        <f t="shared" si="1"/>
        <v>0</v>
      </c>
      <c r="G14" s="63" t="str">
        <f t="shared" si="2"/>
        <v/>
      </c>
      <c r="H14" s="61"/>
      <c r="I14" s="63" t="e">
        <f t="shared" si="3"/>
        <v>#DIV/0!</v>
      </c>
      <c r="J14" s="63" t="str">
        <f t="shared" si="4"/>
        <v/>
      </c>
      <c r="K14" s="61"/>
      <c r="L14" s="63">
        <f t="shared" si="5"/>
        <v>0</v>
      </c>
      <c r="M14" s="61">
        <v>0</v>
      </c>
      <c r="N14" s="63">
        <f t="shared" si="6"/>
        <v>0</v>
      </c>
      <c r="O14" s="63" t="str">
        <f t="shared" si="7"/>
        <v/>
      </c>
      <c r="P14" s="61">
        <f>+H14+T15</f>
        <v>0</v>
      </c>
      <c r="Q14" s="63">
        <f t="shared" si="8"/>
        <v>0</v>
      </c>
      <c r="R14" s="30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61">
        <v>0</v>
      </c>
      <c r="D15" s="63">
        <f t="shared" si="0"/>
        <v>0</v>
      </c>
      <c r="E15" s="61"/>
      <c r="F15" s="63">
        <f t="shared" si="1"/>
        <v>0</v>
      </c>
      <c r="G15" s="63" t="str">
        <f t="shared" si="2"/>
        <v/>
      </c>
      <c r="H15" s="61"/>
      <c r="I15" s="63" t="e">
        <f t="shared" si="3"/>
        <v>#DIV/0!</v>
      </c>
      <c r="J15" s="63" t="str">
        <f t="shared" si="4"/>
        <v/>
      </c>
      <c r="K15" s="61"/>
      <c r="L15" s="63">
        <f t="shared" si="5"/>
        <v>0</v>
      </c>
      <c r="M15" s="61">
        <v>0</v>
      </c>
      <c r="N15" s="63">
        <f t="shared" si="6"/>
        <v>0</v>
      </c>
      <c r="O15" s="63" t="str">
        <f t="shared" si="7"/>
        <v/>
      </c>
      <c r="P15" s="61"/>
      <c r="Q15" s="63">
        <f t="shared" si="8"/>
        <v>0</v>
      </c>
      <c r="R15" s="30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61">
        <v>0</v>
      </c>
      <c r="D16" s="63">
        <f t="shared" si="0"/>
        <v>0</v>
      </c>
      <c r="E16" s="61"/>
      <c r="F16" s="63">
        <f t="shared" si="1"/>
        <v>0</v>
      </c>
      <c r="G16" s="63" t="str">
        <f t="shared" si="2"/>
        <v/>
      </c>
      <c r="H16" s="61"/>
      <c r="I16" s="63" t="e">
        <f t="shared" si="3"/>
        <v>#DIV/0!</v>
      </c>
      <c r="J16" s="63" t="str">
        <f t="shared" si="4"/>
        <v/>
      </c>
      <c r="K16" s="61"/>
      <c r="L16" s="63">
        <f t="shared" si="5"/>
        <v>0</v>
      </c>
      <c r="M16" s="61">
        <v>0</v>
      </c>
      <c r="N16" s="63">
        <f t="shared" si="6"/>
        <v>0</v>
      </c>
      <c r="O16" s="63" t="str">
        <f t="shared" si="7"/>
        <v/>
      </c>
      <c r="P16" s="61"/>
      <c r="Q16" s="63">
        <f t="shared" si="8"/>
        <v>0</v>
      </c>
      <c r="R16" s="30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61">
        <v>0</v>
      </c>
      <c r="D17" s="63">
        <f t="shared" si="0"/>
        <v>0</v>
      </c>
      <c r="E17" s="61"/>
      <c r="F17" s="63">
        <f t="shared" si="1"/>
        <v>0</v>
      </c>
      <c r="G17" s="63" t="str">
        <f t="shared" si="2"/>
        <v/>
      </c>
      <c r="H17" s="61">
        <v>0</v>
      </c>
      <c r="I17" s="63"/>
      <c r="J17" s="63" t="str">
        <f t="shared" si="4"/>
        <v/>
      </c>
      <c r="K17" s="61"/>
      <c r="L17" s="63">
        <f t="shared" si="5"/>
        <v>0</v>
      </c>
      <c r="M17" s="61">
        <v>0</v>
      </c>
      <c r="N17" s="63">
        <f t="shared" si="6"/>
        <v>0</v>
      </c>
      <c r="O17" s="63" t="str">
        <f t="shared" si="7"/>
        <v/>
      </c>
      <c r="P17" s="61"/>
      <c r="Q17" s="63">
        <f t="shared" si="8"/>
        <v>0</v>
      </c>
      <c r="R17" s="30" t="str">
        <f t="shared" si="9"/>
        <v/>
      </c>
    </row>
    <row r="18" spans="2:21" x14ac:dyDescent="0.2">
      <c r="B18" s="3" t="str">
        <f>+'COLOMB$ '!B18</f>
        <v>Olfa Experience</v>
      </c>
      <c r="C18" s="61">
        <v>0</v>
      </c>
      <c r="D18" s="63">
        <f t="shared" si="0"/>
        <v>0</v>
      </c>
      <c r="E18" s="61"/>
      <c r="F18" s="63">
        <f t="shared" si="1"/>
        <v>0</v>
      </c>
      <c r="G18" s="63"/>
      <c r="H18" s="61"/>
      <c r="I18" s="63"/>
      <c r="J18" s="63" t="str">
        <f t="shared" si="4"/>
        <v/>
      </c>
      <c r="K18" s="61">
        <v>0</v>
      </c>
      <c r="L18" s="63">
        <f t="shared" si="5"/>
        <v>0</v>
      </c>
      <c r="M18" s="61">
        <v>284.11799999999999</v>
      </c>
      <c r="N18" s="63">
        <f t="shared" si="6"/>
        <v>0.43909201338983522</v>
      </c>
      <c r="O18" s="63"/>
      <c r="P18" s="61"/>
      <c r="Q18" s="63"/>
      <c r="R18" s="30" t="str">
        <f t="shared" si="9"/>
        <v/>
      </c>
    </row>
    <row r="19" spans="2:21" x14ac:dyDescent="0.2">
      <c r="B19" s="3" t="str">
        <f>+'COLOMB$ '!B19</f>
        <v>Locutor virtual</v>
      </c>
      <c r="C19" s="61"/>
      <c r="D19" s="63"/>
      <c r="E19" s="61"/>
      <c r="F19" s="63">
        <f t="shared" si="1"/>
        <v>0</v>
      </c>
      <c r="G19" s="63"/>
      <c r="H19" s="61"/>
      <c r="I19" s="63"/>
      <c r="J19" s="63" t="str">
        <f t="shared" si="4"/>
        <v/>
      </c>
      <c r="K19" s="61"/>
      <c r="L19" s="63">
        <f t="shared" si="5"/>
        <v>0</v>
      </c>
      <c r="M19" s="61"/>
      <c r="N19" s="63">
        <f t="shared" si="6"/>
        <v>0</v>
      </c>
      <c r="O19" s="63"/>
      <c r="P19" s="61"/>
      <c r="Q19" s="63"/>
      <c r="R19" s="30" t="str">
        <f t="shared" si="9"/>
        <v/>
      </c>
    </row>
    <row r="20" spans="2:21" x14ac:dyDescent="0.2">
      <c r="B20" s="19" t="s">
        <v>38</v>
      </c>
      <c r="C20" s="65">
        <f>SUM(C10:C19)</f>
        <v>1456</v>
      </c>
      <c r="D20" s="68">
        <f>+C20/$C$20</f>
        <v>1</v>
      </c>
      <c r="E20" s="65">
        <f>SUM(E10:E17)</f>
        <v>0</v>
      </c>
      <c r="F20" s="68">
        <f t="shared" si="1"/>
        <v>0</v>
      </c>
      <c r="G20" s="68">
        <f>IF(C20=0,"",(E20-C20)/ABS(C20)+1)</f>
        <v>0</v>
      </c>
      <c r="H20" s="65">
        <f>SUM(H10:H19)</f>
        <v>0</v>
      </c>
      <c r="I20" s="68">
        <f>+H22/$H$22</f>
        <v>1</v>
      </c>
      <c r="J20" s="63" t="str">
        <f t="shared" si="4"/>
        <v/>
      </c>
      <c r="K20" s="65">
        <f>SUM(K10:K19)</f>
        <v>18194</v>
      </c>
      <c r="L20" s="68">
        <f t="shared" si="5"/>
        <v>1</v>
      </c>
      <c r="M20" s="65">
        <f>SUM(M10:M17)</f>
        <v>647.05799999999999</v>
      </c>
      <c r="N20" s="63">
        <f t="shared" si="6"/>
        <v>1</v>
      </c>
      <c r="O20" s="68">
        <f>IF(K20=0,"",(M20-K20)/ABS(K20)+1)</f>
        <v>3.5564361877542083E-2</v>
      </c>
      <c r="P20" s="65">
        <f>SUM(P10:P17)</f>
        <v>15733.361999999999</v>
      </c>
      <c r="Q20" s="68">
        <f>+P20/$P$20</f>
        <v>1</v>
      </c>
      <c r="R20" s="30">
        <f t="shared" si="9"/>
        <v>-0.95887350713725406</v>
      </c>
    </row>
    <row r="21" spans="2:21" x14ac:dyDescent="0.2">
      <c r="J21" s="63" t="str">
        <f t="shared" si="4"/>
        <v/>
      </c>
      <c r="R21" s="30" t="str">
        <f t="shared" si="9"/>
        <v/>
      </c>
      <c r="S21" s="74"/>
      <c r="T21" s="76"/>
      <c r="U21" s="76"/>
    </row>
    <row r="22" spans="2:21" x14ac:dyDescent="0.2">
      <c r="B22" s="3" t="s">
        <v>40</v>
      </c>
      <c r="C22" s="61">
        <v>2306</v>
      </c>
      <c r="D22" s="63">
        <f>+C22/$C$20</f>
        <v>1.5837912087912087</v>
      </c>
      <c r="E22" s="61">
        <v>0</v>
      </c>
      <c r="F22" s="63">
        <f>IF($E$20=0,0,E22/$E$20)</f>
        <v>0</v>
      </c>
      <c r="G22" s="63">
        <f>IF(C22=0,"",(E22-C22)/ABS(C22)+1)</f>
        <v>0</v>
      </c>
      <c r="H22" s="61">
        <v>5490.4677499999998</v>
      </c>
      <c r="I22" s="63" t="e">
        <f>+H22/$H$20</f>
        <v>#DIV/0!</v>
      </c>
      <c r="J22" s="63">
        <f t="shared" si="4"/>
        <v>-1</v>
      </c>
      <c r="K22" s="61">
        <v>28822</v>
      </c>
      <c r="L22" s="63">
        <f>+K22/$K$20</f>
        <v>1.5841486204243158</v>
      </c>
      <c r="M22" s="61">
        <v>479.89778999999999</v>
      </c>
      <c r="N22" s="63">
        <f>IF($M$20=0,0,M22/$M$20)</f>
        <v>0.74166116484148248</v>
      </c>
      <c r="O22" s="63">
        <f>IF(K22=0,"",(M22-K22)/ABS(K22)+1)</f>
        <v>1.6650398653806131E-2</v>
      </c>
      <c r="P22" s="57">
        <v>28365.975750000001</v>
      </c>
      <c r="Q22" s="63"/>
      <c r="R22" s="30">
        <f t="shared" si="9"/>
        <v>-0.98308192201003353</v>
      </c>
    </row>
    <row r="23" spans="2:21" x14ac:dyDescent="0.2">
      <c r="J23" s="63" t="str">
        <f t="shared" si="4"/>
        <v/>
      </c>
      <c r="R23" s="30" t="str">
        <f t="shared" si="9"/>
        <v/>
      </c>
      <c r="T23" s="47"/>
      <c r="U23" s="47"/>
    </row>
    <row r="24" spans="2:21" x14ac:dyDescent="0.2">
      <c r="B24" s="3" t="s">
        <v>42</v>
      </c>
      <c r="C24" s="61">
        <f>+C20-C22</f>
        <v>-850</v>
      </c>
      <c r="D24" s="63">
        <f>+C24/$C$20</f>
        <v>-0.58379120879120883</v>
      </c>
      <c r="E24" s="61">
        <f>+E20-E22</f>
        <v>0</v>
      </c>
      <c r="F24" s="63">
        <f>IF($E$20=0,0,E24/$E$20)</f>
        <v>0</v>
      </c>
      <c r="G24" s="63">
        <f>IF(C24=0,"",(E24-C24)/ABS(C24)+1)</f>
        <v>2</v>
      </c>
      <c r="H24" s="61">
        <f>+H20-H22</f>
        <v>-5490.4677499999998</v>
      </c>
      <c r="I24" s="63" t="e">
        <f>+H24/$H$20</f>
        <v>#DIV/0!</v>
      </c>
      <c r="J24" s="63" t="str">
        <f t="shared" si="4"/>
        <v/>
      </c>
      <c r="K24" s="61">
        <f>+K20-K22</f>
        <v>-10628</v>
      </c>
      <c r="L24" s="63">
        <f>+K24/$K$20</f>
        <v>-0.5841486204243157</v>
      </c>
      <c r="M24" s="61">
        <f>+M20-M22</f>
        <v>167.16021000000001</v>
      </c>
      <c r="N24" s="63">
        <f>IF($M$20=0,0,M24/$M$20)</f>
        <v>0.25833883515851747</v>
      </c>
      <c r="O24" s="63">
        <f>IF(K24=0,"",(M24-K24)/ABS(K24)+1)</f>
        <v>2.0157282847196085</v>
      </c>
      <c r="P24" s="61">
        <f>+P20-P22</f>
        <v>-12632.613750000002</v>
      </c>
      <c r="Q24" s="63">
        <f>+P24/$P$20</f>
        <v>-0.80291890252064391</v>
      </c>
      <c r="R24" s="30" t="str">
        <f t="shared" si="9"/>
        <v/>
      </c>
    </row>
    <row r="25" spans="2:21" x14ac:dyDescent="0.2">
      <c r="J25" s="63" t="str">
        <f t="shared" si="4"/>
        <v/>
      </c>
      <c r="R25" s="30" t="str">
        <f t="shared" si="9"/>
        <v/>
      </c>
      <c r="T25" s="47"/>
      <c r="U25" s="47"/>
    </row>
    <row r="26" spans="2:21" x14ac:dyDescent="0.2">
      <c r="B26" s="3" t="s">
        <v>44</v>
      </c>
      <c r="C26" s="61">
        <v>7</v>
      </c>
      <c r="D26" s="63">
        <f>+C26/$C$20</f>
        <v>4.807692307692308E-3</v>
      </c>
      <c r="E26" s="61">
        <v>297.13</v>
      </c>
      <c r="F26" s="63">
        <f>IF($E$20=0,0,E26/$E$20)</f>
        <v>0</v>
      </c>
      <c r="G26" s="63">
        <f>IF(C26=0,"",(E26-C26)/ABS(C26)+1)</f>
        <v>42.447142857142858</v>
      </c>
      <c r="H26" s="61">
        <v>35027.08092</v>
      </c>
      <c r="I26" s="63" t="e">
        <f>+H26/$H$20</f>
        <v>#DIV/0!</v>
      </c>
      <c r="J26" s="63">
        <f t="shared" si="4"/>
        <v>-0.99151713496541072</v>
      </c>
      <c r="K26" s="61">
        <v>84</v>
      </c>
      <c r="L26" s="63">
        <f>+K26/$K$20</f>
        <v>4.616906672529405E-3</v>
      </c>
      <c r="M26" s="61">
        <v>21588.942489999998</v>
      </c>
      <c r="N26" s="63">
        <f>IF($M$20=0,0,M26/$M$20)</f>
        <v>33.364771766982244</v>
      </c>
      <c r="O26" s="63">
        <f>IF(K26=0,"",(M26-K26)/ABS(K26)+1)</f>
        <v>257.01122011904761</v>
      </c>
      <c r="P26" s="61">
        <v>82261.133300000001</v>
      </c>
      <c r="Q26" s="63">
        <f>+P26/$P$20</f>
        <v>5.2284523358707444</v>
      </c>
      <c r="R26" s="30">
        <f t="shared" si="9"/>
        <v>-0.73755598027969305</v>
      </c>
    </row>
    <row r="27" spans="2:21" x14ac:dyDescent="0.2">
      <c r="B27" s="3" t="s">
        <v>45</v>
      </c>
      <c r="C27" s="61">
        <v>0</v>
      </c>
      <c r="D27" s="63">
        <f>+C27/$C$20</f>
        <v>0</v>
      </c>
      <c r="E27" s="61">
        <v>0</v>
      </c>
      <c r="F27" s="63">
        <f>IF($E$20=0,0,E27/$E$20)</f>
        <v>0</v>
      </c>
      <c r="G27" s="63" t="str">
        <f>IF(C27=0,"",(E27-C27)/ABS(C27)+1)</f>
        <v/>
      </c>
      <c r="H27" s="61">
        <v>57151.161999999997</v>
      </c>
      <c r="I27" s="63" t="e">
        <f>+H27/$H$20</f>
        <v>#DIV/0!</v>
      </c>
      <c r="J27" s="63">
        <f t="shared" si="4"/>
        <v>-1</v>
      </c>
      <c r="K27" s="61">
        <v>0</v>
      </c>
      <c r="L27" s="63">
        <f>+K27/$K$20</f>
        <v>0</v>
      </c>
      <c r="M27" s="61">
        <v>1447.9319699999999</v>
      </c>
      <c r="N27" s="63">
        <f>IF($M$20=0,0,M27/$M$20)</f>
        <v>2.2377158925474996</v>
      </c>
      <c r="O27" s="63" t="str">
        <f>IF(K27=0,"",(M27-K27)/ABS(K27)+1)</f>
        <v/>
      </c>
      <c r="P27" s="61">
        <v>61355.15</v>
      </c>
      <c r="Q27" s="63">
        <f>+P27/$P$20</f>
        <v>3.8996846319305436</v>
      </c>
      <c r="R27" s="30">
        <f t="shared" si="9"/>
        <v>-0.97640080791913963</v>
      </c>
      <c r="S27" s="47"/>
      <c r="T27" s="47"/>
      <c r="U27" s="47"/>
    </row>
    <row r="28" spans="2:21" x14ac:dyDescent="0.2">
      <c r="B28" s="3" t="s">
        <v>47</v>
      </c>
      <c r="C28" s="61">
        <f>SUM(C26:C27)</f>
        <v>7</v>
      </c>
      <c r="D28" s="63">
        <f>+C28/$C$20</f>
        <v>4.807692307692308E-3</v>
      </c>
      <c r="E28" s="61">
        <f>SUM(E26:E27)</f>
        <v>297.13</v>
      </c>
      <c r="F28" s="63">
        <f>IF($E$20=0,0,E28/$E$20)</f>
        <v>0</v>
      </c>
      <c r="G28" s="63">
        <f>IF(C28=0,"",(E28-C28)/ABS(C28)+1)</f>
        <v>42.447142857142858</v>
      </c>
      <c r="H28" s="61">
        <f>SUM(H26:H27)</f>
        <v>92178.24291999999</v>
      </c>
      <c r="I28" s="63" t="e">
        <f>+H28/$H$20</f>
        <v>#DIV/0!</v>
      </c>
      <c r="J28" s="63">
        <f t="shared" si="4"/>
        <v>-0.99677657123213037</v>
      </c>
      <c r="K28" s="61">
        <f>SUM(K26:K27)</f>
        <v>84</v>
      </c>
      <c r="L28" s="63">
        <f>+K28/$K$20</f>
        <v>4.616906672529405E-3</v>
      </c>
      <c r="M28" s="61">
        <f>SUM(M26:M27)</f>
        <v>23036.874459999999</v>
      </c>
      <c r="N28" s="63">
        <f>IF($M$20=0,0,M28/$M$20)</f>
        <v>35.60248765952975</v>
      </c>
      <c r="O28" s="63">
        <f>IF(K28=0,"",(M28-K28)/ABS(K28)+1)</f>
        <v>274.24850547619047</v>
      </c>
      <c r="P28" s="61">
        <f>SUM(P26:P27)</f>
        <v>143616.28330000001</v>
      </c>
      <c r="Q28" s="63">
        <f>+P28/$P$20</f>
        <v>9.1281369678012894</v>
      </c>
      <c r="R28" s="30">
        <f t="shared" si="9"/>
        <v>-0.83959427210716575</v>
      </c>
      <c r="S28" s="47"/>
      <c r="T28" s="47"/>
      <c r="U28" s="47"/>
    </row>
    <row r="29" spans="2:21" x14ac:dyDescent="0.2">
      <c r="J29" s="63" t="str">
        <f t="shared" si="4"/>
        <v/>
      </c>
      <c r="R29" s="30" t="str">
        <f t="shared" si="9"/>
        <v/>
      </c>
      <c r="S29" s="47"/>
      <c r="T29" s="47"/>
      <c r="U29" s="47"/>
    </row>
    <row r="30" spans="2:21" x14ac:dyDescent="0.2">
      <c r="B30" s="3" t="s">
        <v>49</v>
      </c>
      <c r="C30" s="61">
        <v>0</v>
      </c>
      <c r="D30" s="63">
        <f>+C30/$C$20</f>
        <v>0</v>
      </c>
      <c r="E30" s="61">
        <v>586.92499999999995</v>
      </c>
      <c r="F30" s="63">
        <f>IF($E$20=0,0,E30/$E$20)</f>
        <v>0</v>
      </c>
      <c r="G30" s="63" t="str">
        <f>IF(C30=0,"",(E30-C30)/ABS(C30)+1)</f>
        <v/>
      </c>
      <c r="H30" s="61">
        <v>1115.06548</v>
      </c>
      <c r="I30" s="63"/>
      <c r="J30" s="63">
        <f t="shared" si="4"/>
        <v>-0.4736407766833568</v>
      </c>
      <c r="K30" s="61">
        <v>0</v>
      </c>
      <c r="L30" s="63">
        <f>+K30/$K$20</f>
        <v>0</v>
      </c>
      <c r="M30" s="61">
        <v>8403.3157100000008</v>
      </c>
      <c r="N30" s="63">
        <f>IF($M$20=0,0,M30/$M$20)</f>
        <v>12.986958989765988</v>
      </c>
      <c r="O30" s="63" t="str">
        <f>IF(K30=0,"",(M30-K30)/ABS(K30)+1)</f>
        <v/>
      </c>
      <c r="P30" s="61">
        <v>13380.78543</v>
      </c>
      <c r="Q30" s="63">
        <f>+P30/$P$20</f>
        <v>0.8504721006228676</v>
      </c>
      <c r="R30" s="30">
        <f t="shared" si="9"/>
        <v>-0.3719863640321448</v>
      </c>
    </row>
    <row r="31" spans="2:21" x14ac:dyDescent="0.2">
      <c r="B31" s="3" t="s">
        <v>51</v>
      </c>
      <c r="C31" s="61"/>
      <c r="D31" s="63"/>
      <c r="E31" s="61">
        <v>0</v>
      </c>
      <c r="F31" s="63">
        <f>IF($E$20=0,0,E31/$E$20)</f>
        <v>0</v>
      </c>
      <c r="G31" s="63" t="str">
        <f>IF(C31=0,"",(E31-C31)/ABS(C31)+1)</f>
        <v/>
      </c>
      <c r="H31" s="61">
        <v>3.8820000000000001</v>
      </c>
      <c r="I31" s="63"/>
      <c r="J31" s="63">
        <f>IF(H31&lt;=0,"",(E31-H31)/ABS(H31))</f>
        <v>-1</v>
      </c>
      <c r="K31" s="61">
        <v>0</v>
      </c>
      <c r="L31" s="63">
        <f>+K31/$K$20</f>
        <v>0</v>
      </c>
      <c r="M31" s="61">
        <v>2069.0650000000001</v>
      </c>
      <c r="N31" s="63">
        <f>IF($M$20=0,0,M31/$M$20)</f>
        <v>3.1976499788272461</v>
      </c>
      <c r="O31" s="63" t="str">
        <f>IF(K31=0,"",(M31-K31)/ABS(K31)+1)</f>
        <v/>
      </c>
      <c r="P31" s="61">
        <v>2911.9840199999999</v>
      </c>
      <c r="Q31" s="63">
        <f>+P39/$P$20</f>
        <v>-4.3855852296540309E-5</v>
      </c>
      <c r="R31" s="30">
        <f>IF(P31&lt;=0,"",(M31-P31)/ABS(P31))</f>
        <v>-0.28946553765772376</v>
      </c>
      <c r="S31" s="47"/>
      <c r="T31" s="47"/>
      <c r="U31" s="47"/>
    </row>
    <row r="32" spans="2:21" x14ac:dyDescent="0.2">
      <c r="B32" s="3" t="s">
        <v>52</v>
      </c>
      <c r="C32" s="61">
        <f>SUM(C30:C31)</f>
        <v>0</v>
      </c>
      <c r="D32" s="63">
        <f>+C32/$C$20</f>
        <v>0</v>
      </c>
      <c r="E32" s="61">
        <f>SUM(E30:E31)</f>
        <v>586.92499999999995</v>
      </c>
      <c r="F32" s="63">
        <f>IF($E$20=0,0,E32/$E$20)</f>
        <v>0</v>
      </c>
      <c r="G32" s="63" t="str">
        <f>IF(C32=0,"",(E32-C32)/ABS(C32)+1)</f>
        <v/>
      </c>
      <c r="H32" s="61">
        <f>SUM(H30:H31)</f>
        <v>1118.94748</v>
      </c>
      <c r="I32" s="63" t="e">
        <f>+H32/$H$20</f>
        <v>#DIV/0!</v>
      </c>
      <c r="J32" s="63">
        <f>IF(H32&lt;=0,"",(E32-H32)/ABS(H32))</f>
        <v>-0.47546689143980203</v>
      </c>
      <c r="K32" s="61">
        <f>SUM(K30:K31)</f>
        <v>0</v>
      </c>
      <c r="L32" s="63">
        <f>+K32/$K$20</f>
        <v>0</v>
      </c>
      <c r="M32" s="61">
        <f>SUM(M30:M31)</f>
        <v>10472.380710000001</v>
      </c>
      <c r="N32" s="63">
        <f>IF($M$20=0,0,M32/$M$20)</f>
        <v>16.184608968593235</v>
      </c>
      <c r="O32" s="63" t="str">
        <f>IF(K32=0,"",(M32-K32)/ABS(K32)+1)</f>
        <v/>
      </c>
      <c r="P32" s="61">
        <f>+P30+P31</f>
        <v>16292.76945</v>
      </c>
      <c r="Q32" s="63">
        <f>+P32/$P$20</f>
        <v>1.0355554934793976</v>
      </c>
      <c r="R32" s="30">
        <f>IF(P32&lt;=0,"",(M32-P32)/ABS(P32))</f>
        <v>-0.35723753152353105</v>
      </c>
    </row>
    <row r="33" spans="1:21" x14ac:dyDescent="0.2">
      <c r="S33" s="47"/>
      <c r="T33" s="47"/>
      <c r="U33" s="47"/>
    </row>
    <row r="34" spans="1:21" x14ac:dyDescent="0.2">
      <c r="B34" s="3" t="s">
        <v>53</v>
      </c>
      <c r="C34" s="61">
        <f>C28+C32</f>
        <v>7</v>
      </c>
      <c r="D34" s="63">
        <f>+C34/$C$20</f>
        <v>4.807692307692308E-3</v>
      </c>
      <c r="E34" s="61">
        <f>E28+E32</f>
        <v>884.05499999999995</v>
      </c>
      <c r="F34" s="63">
        <f>IF($E$20=0,0,E34/$E$20)</f>
        <v>0</v>
      </c>
      <c r="G34" s="63">
        <f>IF(C34=0,"",(E34-C34)/ABS(C34)+1)</f>
        <v>126.29357142857143</v>
      </c>
      <c r="H34" s="61">
        <f>+H32+H28</f>
        <v>93297.190399999992</v>
      </c>
      <c r="I34" s="63" t="e">
        <f>+H34/$H$20</f>
        <v>#DIV/0!</v>
      </c>
      <c r="J34" s="63">
        <f>IF(H34&lt;=0,"",(E34-H34)/ABS(H34))</f>
        <v>-0.99052431272356956</v>
      </c>
      <c r="K34" s="61">
        <f>K28+K32</f>
        <v>84</v>
      </c>
      <c r="L34" s="63">
        <f>+K34/$K$20</f>
        <v>4.616906672529405E-3</v>
      </c>
      <c r="M34" s="61">
        <f>M28+M32</f>
        <v>33509.255170000004</v>
      </c>
      <c r="N34" s="63">
        <f>IF($M$20=0,0,M34/$M$20)</f>
        <v>51.787096628122988</v>
      </c>
      <c r="O34" s="63">
        <f>IF(K34=0,"",(M34-K34)/ABS(K34)+1)</f>
        <v>398.91970440476194</v>
      </c>
      <c r="P34" s="61">
        <f>P28+P32</f>
        <v>159909.05275</v>
      </c>
      <c r="Q34" s="63">
        <f>+P34/$P$20</f>
        <v>10.163692461280686</v>
      </c>
      <c r="R34" s="30">
        <f>IF(P34&lt;=0,"",(M34-P34)/ABS(P34))</f>
        <v>-0.79044804159782001</v>
      </c>
      <c r="S34" s="47"/>
      <c r="T34" s="47"/>
      <c r="U34" s="47"/>
    </row>
    <row r="35" spans="1:21" x14ac:dyDescent="0.2">
      <c r="J35" s="63" t="str">
        <f t="shared" si="4"/>
        <v/>
      </c>
      <c r="R35" s="30" t="str">
        <f t="shared" si="9"/>
        <v/>
      </c>
      <c r="S35" s="47"/>
      <c r="T35" s="47"/>
      <c r="U35" s="47"/>
    </row>
    <row r="36" spans="1:21" x14ac:dyDescent="0.2">
      <c r="B36" s="19" t="s">
        <v>54</v>
      </c>
      <c r="C36" s="65">
        <f>C24-C34</f>
        <v>-857</v>
      </c>
      <c r="D36" s="68">
        <f>+C36/$C$20</f>
        <v>-0.58859890109890112</v>
      </c>
      <c r="E36" s="65">
        <f>E24-E34</f>
        <v>-884.05499999999995</v>
      </c>
      <c r="F36" s="68">
        <f>IF($E$20=0,0,E36/$E$20)</f>
        <v>0</v>
      </c>
      <c r="G36" s="68">
        <f>IF(C36=0,"",(E36-C36)/ABS(C36)+1)</f>
        <v>0.96843057176196035</v>
      </c>
      <c r="H36" s="65">
        <f>+H24-H34</f>
        <v>-98787.658149999988</v>
      </c>
      <c r="I36" s="68" t="e">
        <f>+H36/$H$20</f>
        <v>#DIV/0!</v>
      </c>
      <c r="J36" s="68" t="str">
        <f t="shared" si="4"/>
        <v/>
      </c>
      <c r="K36" s="65">
        <f>K24-K34</f>
        <v>-10712</v>
      </c>
      <c r="L36" s="68">
        <f>+K36/$K$20</f>
        <v>-0.58876552709684515</v>
      </c>
      <c r="M36" s="65">
        <f>M24-M34</f>
        <v>-33342.094960000002</v>
      </c>
      <c r="N36" s="68">
        <f>IF($M$20=0,0,M36/$M$20)</f>
        <v>-51.52875779296447</v>
      </c>
      <c r="O36" s="68">
        <f>IF(K36=0,"",(M36-K36)/ABS(K36)+1)</f>
        <v>-1.11259288274832</v>
      </c>
      <c r="P36" s="65">
        <f>P24-P34</f>
        <v>-172541.66649999999</v>
      </c>
      <c r="Q36" s="68">
        <f>+P36/$P$20</f>
        <v>-10.966611363801329</v>
      </c>
      <c r="R36" s="38" t="str">
        <f t="shared" si="9"/>
        <v/>
      </c>
    </row>
    <row r="37" spans="1:21" x14ac:dyDescent="0.2">
      <c r="A37" s="75"/>
      <c r="J37" s="63" t="str">
        <f t="shared" si="4"/>
        <v/>
      </c>
      <c r="R37" s="30" t="str">
        <f t="shared" si="9"/>
        <v/>
      </c>
      <c r="S37" s="47"/>
      <c r="T37" s="47"/>
      <c r="U37" s="47"/>
    </row>
    <row r="38" spans="1:21" x14ac:dyDescent="0.2">
      <c r="B38" s="3" t="s">
        <v>55</v>
      </c>
      <c r="C38" s="61"/>
      <c r="D38" s="63">
        <f>+C38/$C$20</f>
        <v>0</v>
      </c>
      <c r="E38" s="61">
        <v>0</v>
      </c>
      <c r="F38" s="63">
        <f>IF($E$20=0,0,E38/$E$20)</f>
        <v>0</v>
      </c>
      <c r="G38" s="63" t="str">
        <f>IF(C38=0,"",(E38-C38)/ABS(C38)+1)</f>
        <v/>
      </c>
      <c r="H38" s="61">
        <v>0</v>
      </c>
      <c r="I38" s="63" t="e">
        <f>+H38/$H$20</f>
        <v>#DIV/0!</v>
      </c>
      <c r="J38" s="63" t="str">
        <f t="shared" si="4"/>
        <v/>
      </c>
      <c r="K38" s="61"/>
      <c r="L38" s="63">
        <f>+K38/$K$20</f>
        <v>0</v>
      </c>
      <c r="M38" s="61">
        <v>285.55900000000003</v>
      </c>
      <c r="N38" s="63">
        <f>IF($M$20=0,0,M38/$M$20)</f>
        <v>0.4413190162242025</v>
      </c>
      <c r="O38" s="63" t="str">
        <f>IF(K38=0,"",(M38-K38)/ABS(K38)+1)</f>
        <v/>
      </c>
      <c r="P38" s="61">
        <v>0</v>
      </c>
      <c r="Q38" s="63">
        <f>+P38/$P$20</f>
        <v>0</v>
      </c>
      <c r="R38" s="30" t="str">
        <f t="shared" si="9"/>
        <v/>
      </c>
    </row>
    <row r="39" spans="1:21" x14ac:dyDescent="0.2">
      <c r="B39" s="3" t="s">
        <v>56</v>
      </c>
      <c r="C39" s="61"/>
      <c r="D39" s="63"/>
      <c r="E39" s="61">
        <v>2677.9870000000001</v>
      </c>
      <c r="F39" s="63">
        <f>IF($E$20=0,0,E39/$E$20)</f>
        <v>0</v>
      </c>
      <c r="G39" s="63" t="str">
        <f>IF(C39=0,"",(E39-C39)/ABS(C39)+1)</f>
        <v/>
      </c>
      <c r="H39" s="61">
        <v>0</v>
      </c>
      <c r="I39" s="63"/>
      <c r="J39" s="63" t="str">
        <f t="shared" si="4"/>
        <v/>
      </c>
      <c r="K39" s="61">
        <v>0</v>
      </c>
      <c r="L39" s="63">
        <f>+K39/$K$20</f>
        <v>0</v>
      </c>
      <c r="M39" s="61">
        <v>23297.378000000001</v>
      </c>
      <c r="N39" s="63">
        <f>IF($M$20=0,0,M39/$M$20)</f>
        <v>36.005084551925798</v>
      </c>
      <c r="O39" s="63" t="str">
        <f>IF(K39=0,"",(M39-K39)/ABS(K39)+1)</f>
        <v/>
      </c>
      <c r="P39" s="61">
        <v>-0.69</v>
      </c>
      <c r="Q39" s="63">
        <f>+P39/$P$20</f>
        <v>-4.3855852296540309E-5</v>
      </c>
      <c r="R39" s="30" t="str">
        <f t="shared" si="9"/>
        <v/>
      </c>
      <c r="S39" s="47"/>
      <c r="T39" s="47"/>
      <c r="U39" s="47"/>
    </row>
    <row r="40" spans="1:21" x14ac:dyDescent="0.2">
      <c r="J40" s="63" t="str">
        <f t="shared" si="4"/>
        <v/>
      </c>
      <c r="R40" s="30" t="str">
        <f t="shared" si="9"/>
        <v/>
      </c>
      <c r="S40" s="47"/>
      <c r="T40" s="47"/>
      <c r="U40" s="47"/>
    </row>
    <row r="41" spans="1:21" x14ac:dyDescent="0.2">
      <c r="B41" s="3" t="s">
        <v>57</v>
      </c>
      <c r="C41" s="61">
        <f>+C36-C39</f>
        <v>-857</v>
      </c>
      <c r="D41" s="63">
        <f>+C41/$C$20</f>
        <v>-0.58859890109890112</v>
      </c>
      <c r="E41" s="61">
        <f>+E36-E39</f>
        <v>-3562.0419999999999</v>
      </c>
      <c r="F41" s="63">
        <f>IF($E$20=0,0,E41/$E$20)</f>
        <v>0</v>
      </c>
      <c r="G41" s="63">
        <f>IF(C41=0,"",(E41-C41)/ABS(C41)+1)</f>
        <v>-2.1564084014002334</v>
      </c>
      <c r="H41" s="61">
        <f>+H36+H38-H39</f>
        <v>-98787.658149999988</v>
      </c>
      <c r="I41" s="63" t="e">
        <f>+H41/$H$20</f>
        <v>#DIV/0!</v>
      </c>
      <c r="J41" s="63" t="str">
        <f t="shared" si="4"/>
        <v/>
      </c>
      <c r="K41" s="61">
        <f>K36+K38-K39</f>
        <v>-10712</v>
      </c>
      <c r="L41" s="63">
        <f>+K41/$K$20</f>
        <v>-0.58876552709684515</v>
      </c>
      <c r="M41" s="61">
        <f>M36+M38-M39</f>
        <v>-56353.913960000005</v>
      </c>
      <c r="N41" s="63">
        <f>IF($M$20=0,0,M41/$M$20)</f>
        <v>-87.092523328666061</v>
      </c>
      <c r="O41" s="63">
        <f>IF(K41=0,"",(M41-K41)/ABS(K41)+1)</f>
        <v>-3.2608209447348777</v>
      </c>
      <c r="P41" s="61">
        <f>+P36-P39</f>
        <v>-172540.97649999999</v>
      </c>
      <c r="Q41" s="63">
        <f>+P41/$P$20</f>
        <v>-10.966567507949032</v>
      </c>
      <c r="R41" s="30" t="str">
        <f t="shared" si="9"/>
        <v/>
      </c>
    </row>
    <row r="42" spans="1:21" x14ac:dyDescent="0.2">
      <c r="B42" s="3" t="s">
        <v>43</v>
      </c>
      <c r="C42" s="61">
        <v>-309</v>
      </c>
      <c r="D42" s="63">
        <f>+C42/$C$20</f>
        <v>-0.21222527472527472</v>
      </c>
      <c r="E42" s="61"/>
      <c r="F42" s="63">
        <f>IF($E$20=0,0,E42/$E$20)</f>
        <v>0</v>
      </c>
      <c r="G42" s="63">
        <f>IF(C42=0,"",(E42-C42)/ABS(C42)+1)</f>
        <v>2</v>
      </c>
      <c r="H42" s="61"/>
      <c r="I42" s="63" t="e">
        <f>+I41*33%</f>
        <v>#DIV/0!</v>
      </c>
      <c r="J42" s="63" t="str">
        <f t="shared" si="4"/>
        <v/>
      </c>
      <c r="K42" s="61">
        <v>-3880</v>
      </c>
      <c r="L42" s="63">
        <f>+K42/$K$20</f>
        <v>-0.21325711773112016</v>
      </c>
      <c r="M42" s="61">
        <f>+U43+E42</f>
        <v>0</v>
      </c>
      <c r="N42" s="63">
        <f>IF($M$20=0,0,M42/$M$20)</f>
        <v>0</v>
      </c>
      <c r="O42" s="63">
        <f>IF(K42=0,"",(M42-K42)/ABS(K42)+1)</f>
        <v>2</v>
      </c>
      <c r="P42" s="61">
        <v>0</v>
      </c>
      <c r="Q42" s="63">
        <f>+P42/$P$20</f>
        <v>0</v>
      </c>
      <c r="R42" s="30" t="str">
        <f t="shared" si="9"/>
        <v/>
      </c>
      <c r="S42" s="47"/>
      <c r="T42" s="47"/>
      <c r="U42" s="47"/>
    </row>
    <row r="43" spans="1:21" x14ac:dyDescent="0.2">
      <c r="B43" s="19" t="s">
        <v>58</v>
      </c>
      <c r="C43" s="65">
        <f>+C41</f>
        <v>-857</v>
      </c>
      <c r="D43" s="68">
        <f>+C43/$C$20</f>
        <v>-0.58859890109890112</v>
      </c>
      <c r="E43" s="65">
        <f>E41-E42</f>
        <v>-3562.0419999999999</v>
      </c>
      <c r="F43" s="68">
        <f>IF($E$20=0,0,E43/$E$20)</f>
        <v>0</v>
      </c>
      <c r="G43" s="68">
        <f>IF(C43=0,"",(E43-C43)/ABS(C43)+1)</f>
        <v>-2.1564084014002334</v>
      </c>
      <c r="H43" s="65">
        <f>+H41-H42</f>
        <v>-98787.658149999988</v>
      </c>
      <c r="I43" s="68" t="e">
        <f>+H43/$H$20</f>
        <v>#DIV/0!</v>
      </c>
      <c r="J43" s="63" t="str">
        <f t="shared" si="4"/>
        <v/>
      </c>
      <c r="K43" s="65">
        <f>K41-K42</f>
        <v>-6832</v>
      </c>
      <c r="L43" s="68">
        <f>+K43/$K$20</f>
        <v>-0.37550840936572494</v>
      </c>
      <c r="M43" s="65">
        <f>+M41-M42</f>
        <v>-56353.913960000005</v>
      </c>
      <c r="N43" s="68">
        <f>IF($M$20=0,0,M43/$M$20)</f>
        <v>-87.092523328666061</v>
      </c>
      <c r="O43" s="68">
        <f>IF(K43=0,"",(M43-K43)/ABS(K43)+1)</f>
        <v>-6.248523706088994</v>
      </c>
      <c r="P43" s="65">
        <f>P41-P42</f>
        <v>-172540.97649999999</v>
      </c>
      <c r="Q43" s="68">
        <f>+P43/$P$20</f>
        <v>-10.966567507949032</v>
      </c>
      <c r="R43" s="30" t="str">
        <f t="shared" si="9"/>
        <v/>
      </c>
      <c r="S43" s="47"/>
      <c r="T43" s="47"/>
      <c r="U43" s="47"/>
    </row>
    <row r="44" spans="1:21" x14ac:dyDescent="0.2">
      <c r="J44" s="63" t="str">
        <f t="shared" si="4"/>
        <v/>
      </c>
      <c r="R44" s="30" t="str">
        <f t="shared" si="9"/>
        <v/>
      </c>
      <c r="S44" s="47"/>
      <c r="T44" s="47"/>
      <c r="U44" s="47"/>
    </row>
    <row r="45" spans="1:21" x14ac:dyDescent="0.2">
      <c r="B45" s="3" t="s">
        <v>59</v>
      </c>
      <c r="C45" s="61">
        <v>-857</v>
      </c>
      <c r="D45" s="63">
        <f>+C45/$C$20</f>
        <v>-0.58859890109890112</v>
      </c>
      <c r="E45" s="61">
        <v>0</v>
      </c>
      <c r="F45" s="63">
        <f>IF($E$20=0,0,E45/$E$20)</f>
        <v>0</v>
      </c>
      <c r="G45" s="63">
        <f>IF(C45=0,"",(E45-C45)/ABS(C45)+1)</f>
        <v>2</v>
      </c>
      <c r="H45" s="61">
        <v>-95286.518349999984</v>
      </c>
      <c r="I45" s="63" t="e">
        <f>+H45/$H$20</f>
        <v>#DIV/0!</v>
      </c>
      <c r="J45" s="63" t="str">
        <f t="shared" si="4"/>
        <v/>
      </c>
      <c r="K45" s="61">
        <v>-10712</v>
      </c>
      <c r="L45" s="63">
        <f>+K45/$K$20</f>
        <v>-0.58876552709684515</v>
      </c>
      <c r="M45" s="61">
        <v>-8707.022359999999</v>
      </c>
      <c r="N45" s="63">
        <f>IF($M$20=0,0,M45/$M$20)</f>
        <v>-13.456324409867429</v>
      </c>
      <c r="O45" s="63">
        <f>IF(K45=0,"",(M45-K45)/ABS(K45)+1)</f>
        <v>1.1871711762509336</v>
      </c>
      <c r="P45" s="61">
        <v>-130673.76493999999</v>
      </c>
      <c r="Q45" s="63">
        <f>+P45/$P$20</f>
        <v>-8.3055207742629964</v>
      </c>
      <c r="R45" s="30" t="str">
        <f t="shared" si="9"/>
        <v/>
      </c>
    </row>
    <row r="46" spans="1:21" x14ac:dyDescent="0.2">
      <c r="B46" s="3" t="s">
        <v>34</v>
      </c>
      <c r="C46" s="61">
        <v>0</v>
      </c>
      <c r="D46" s="63">
        <f>+C46/$C$20</f>
        <v>0</v>
      </c>
      <c r="E46" s="61">
        <v>0</v>
      </c>
      <c r="F46" s="63">
        <f>IF($E$20=0,0,E46/$E$20)</f>
        <v>0</v>
      </c>
      <c r="G46" s="63" t="str">
        <f>IF(C46=0,"",(E46-C46)/ABS(C46)+1)</f>
        <v/>
      </c>
      <c r="H46" s="61">
        <v>0</v>
      </c>
      <c r="I46" s="63" t="e">
        <f>+H46/$H$20</f>
        <v>#DIV/0!</v>
      </c>
      <c r="J46" s="63" t="str">
        <f t="shared" si="4"/>
        <v/>
      </c>
      <c r="K46" s="61">
        <v>0</v>
      </c>
      <c r="L46" s="63">
        <f>+K46/$K$20</f>
        <v>0</v>
      </c>
      <c r="M46" s="61">
        <v>0</v>
      </c>
      <c r="N46" s="63">
        <f>IF($M$20=0,0,M46/$M$20)</f>
        <v>0</v>
      </c>
      <c r="O46" s="63" t="str">
        <f>IF(K46=0,"",(M46-K46)/ABS(K46)+1)</f>
        <v/>
      </c>
      <c r="P46" s="61">
        <v>0</v>
      </c>
      <c r="Q46" s="61">
        <f>+P46/$P$20</f>
        <v>0</v>
      </c>
      <c r="R46" s="30" t="str">
        <f>IF(P46=0,"",(M46-P46)/ABS(P46))</f>
        <v/>
      </c>
      <c r="S46" s="47"/>
      <c r="T46" s="47"/>
      <c r="U46" s="47"/>
    </row>
    <row r="48" spans="1:21" x14ac:dyDescent="0.2">
      <c r="M48" s="49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C877E-E39D-4509-9D27-8292299F715D}">
  <sheetPr>
    <tabColor theme="2" tint="-9.9978637043366805E-2"/>
  </sheetPr>
  <dimension ref="A3:AJ48"/>
  <sheetViews>
    <sheetView showGridLines="0" zoomScale="91" zoomScaleNormal="91" workbookViewId="0">
      <selection activeCell="M4" sqref="M4"/>
    </sheetView>
  </sheetViews>
  <sheetFormatPr baseColWidth="10" defaultRowHeight="12.75" x14ac:dyDescent="0.2"/>
  <cols>
    <col min="1" max="1" width="4.5703125" style="12" customWidth="1"/>
    <col min="2" max="2" width="29.28515625" style="12" customWidth="1"/>
    <col min="3" max="3" width="14.42578125" style="12" customWidth="1"/>
    <col min="4" max="4" width="8" style="12" customWidth="1"/>
    <col min="5" max="5" width="10.28515625" style="12" bestFit="1" customWidth="1"/>
    <col min="6" max="6" width="6.28515625" style="12" bestFit="1" customWidth="1"/>
    <col min="7" max="7" width="6.5703125" style="12" bestFit="1" customWidth="1"/>
    <col min="8" max="8" width="11.28515625" style="12" customWidth="1"/>
    <col min="9" max="9" width="6.42578125" style="12" customWidth="1"/>
    <col min="10" max="10" width="8.140625" style="12" customWidth="1"/>
    <col min="11" max="11" width="13.28515625" style="12" customWidth="1"/>
    <col min="12" max="12" width="6.7109375" style="12" customWidth="1"/>
    <col min="13" max="15" width="10.140625" style="12" customWidth="1"/>
    <col min="16" max="16" width="11.5703125" style="12" customWidth="1"/>
    <col min="17" max="17" width="8.5703125" style="12" customWidth="1"/>
    <col min="18" max="18" width="9.42578125" style="12" customWidth="1"/>
    <col min="19" max="19" width="8.42578125" style="12" customWidth="1"/>
    <col min="20" max="21" width="11.42578125" style="12" hidden="1" customWidth="1"/>
    <col min="22" max="22" width="25.5703125" style="12" customWidth="1"/>
    <col min="23" max="24" width="11.42578125" style="12"/>
    <col min="25" max="25" width="12.5703125" style="12" customWidth="1"/>
    <col min="26" max="27" width="11.42578125" style="12"/>
    <col min="28" max="28" width="12.42578125" style="12" customWidth="1"/>
    <col min="29" max="29" width="8.42578125" style="12" customWidth="1"/>
    <col min="30" max="30" width="10.28515625" style="12" bestFit="1" customWidth="1"/>
    <col min="31" max="31" width="9.140625" style="12" customWidth="1"/>
    <col min="32" max="32" width="11.42578125" style="12"/>
    <col min="33" max="33" width="27" style="12" customWidth="1"/>
    <col min="34" max="34" width="11.5703125" style="12" customWidth="1"/>
    <col min="35" max="16384" width="11.42578125" style="12"/>
  </cols>
  <sheetData>
    <row r="3" spans="1:36" s="9" customFormat="1" ht="18" x14ac:dyDescent="0.25">
      <c r="B3" s="15" t="s">
        <v>91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77"/>
      <c r="V3" s="12" t="str">
        <f>+B3</f>
        <v>MUSICAR  COLOMBIA</v>
      </c>
    </row>
    <row r="4" spans="1:36" ht="17.25" customHeight="1" x14ac:dyDescent="0.2">
      <c r="A4" s="9"/>
      <c r="B4" s="18" t="s">
        <v>92</v>
      </c>
      <c r="V4" s="18" t="str">
        <f>+'COLOMB$ '!T4</f>
        <v xml:space="preserve">Flujo de Caja </v>
      </c>
      <c r="Z4" s="14"/>
      <c r="AA4" s="14"/>
    </row>
    <row r="5" spans="1:36" x14ac:dyDescent="0.2">
      <c r="B5" s="18" t="s">
        <v>93</v>
      </c>
      <c r="V5" s="18" t="s">
        <v>93</v>
      </c>
      <c r="AI5" s="78">
        <f>+Paramet!D8-Paramet!D9</f>
        <v>829.04</v>
      </c>
      <c r="AJ5" s="79">
        <f>+AI5/Paramet!D9</f>
        <v>0.20824081423504706</v>
      </c>
    </row>
    <row r="6" spans="1:36" ht="13.5" thickBot="1" x14ac:dyDescent="0.25">
      <c r="B6" s="35" t="str">
        <f>+'COLOMB$ '!B6</f>
        <v>DICIEMBRE De 2022</v>
      </c>
      <c r="C6" s="80"/>
      <c r="K6" s="81" t="s">
        <v>22</v>
      </c>
      <c r="L6" s="81"/>
      <c r="M6" s="81"/>
      <c r="N6" s="81"/>
      <c r="O6" s="81"/>
      <c r="P6" s="81"/>
      <c r="Q6" s="81"/>
      <c r="R6" s="81"/>
      <c r="V6" s="35" t="str">
        <f>+B6</f>
        <v>DICIEMBRE De 2022</v>
      </c>
      <c r="Z6" s="20" t="s">
        <v>22</v>
      </c>
      <c r="AA6" s="20"/>
      <c r="AB6" s="20"/>
      <c r="AC6" s="20"/>
      <c r="AD6" s="20"/>
      <c r="AE6" s="20"/>
    </row>
    <row r="7" spans="1:36" ht="15.75" customHeight="1" x14ac:dyDescent="0.2">
      <c r="C7" s="21" t="str">
        <f>+'COLOMB$ '!D7:D7</f>
        <v>Ppto 2022</v>
      </c>
      <c r="D7" s="21"/>
      <c r="E7" s="21" t="str">
        <f>+'COLOMB$ '!F7:F7</f>
        <v>Real 2022</v>
      </c>
      <c r="F7" s="21"/>
      <c r="G7" s="21" t="s">
        <v>23</v>
      </c>
      <c r="H7" s="21" t="str">
        <f>+'COLOMB$ '!I7:I7</f>
        <v>Real 2021</v>
      </c>
      <c r="I7" s="21"/>
      <c r="J7" s="21" t="s">
        <v>24</v>
      </c>
      <c r="K7" s="21" t="str">
        <f>+C7</f>
        <v>Ppto 2022</v>
      </c>
      <c r="L7" s="21"/>
      <c r="M7" s="21" t="str">
        <f>+E7</f>
        <v>Real 2022</v>
      </c>
      <c r="N7" s="21"/>
      <c r="O7" s="21" t="s">
        <v>23</v>
      </c>
      <c r="P7" s="21" t="str">
        <f>+H7</f>
        <v>Real 2021</v>
      </c>
      <c r="Q7" s="21"/>
      <c r="R7" s="21" t="s">
        <v>24</v>
      </c>
      <c r="T7" s="9"/>
      <c r="W7" s="14" t="str">
        <f>+C7</f>
        <v>Ppto 2022</v>
      </c>
      <c r="X7" s="14" t="str">
        <f>+M7</f>
        <v>Real 2022</v>
      </c>
      <c r="Y7" s="14" t="str">
        <f>+H7</f>
        <v>Real 2021</v>
      </c>
      <c r="Z7" s="14" t="str">
        <f>+W7</f>
        <v>Ppto 2022</v>
      </c>
      <c r="AA7" s="14" t="str">
        <f>+X7</f>
        <v>Real 2022</v>
      </c>
      <c r="AB7" s="14" t="s">
        <v>25</v>
      </c>
      <c r="AC7" s="14" t="s">
        <v>23</v>
      </c>
      <c r="AD7" s="14" t="str">
        <f>+Y7</f>
        <v>Real 2021</v>
      </c>
      <c r="AE7" s="14" t="s">
        <v>24</v>
      </c>
      <c r="AI7" s="12" t="s">
        <v>94</v>
      </c>
    </row>
    <row r="8" spans="1:36" ht="13.5" thickBot="1" x14ac:dyDescent="0.25">
      <c r="B8" s="82" t="s">
        <v>26</v>
      </c>
      <c r="C8" s="83" t="s">
        <v>27</v>
      </c>
      <c r="D8" s="83" t="s">
        <v>28</v>
      </c>
      <c r="E8" s="83" t="s">
        <v>27</v>
      </c>
      <c r="F8" s="83" t="s">
        <v>28</v>
      </c>
      <c r="G8" s="83" t="s">
        <v>29</v>
      </c>
      <c r="H8" s="83" t="s">
        <v>27</v>
      </c>
      <c r="I8" s="83" t="s">
        <v>28</v>
      </c>
      <c r="J8" s="83" t="s">
        <v>29</v>
      </c>
      <c r="K8" s="83" t="s">
        <v>27</v>
      </c>
      <c r="L8" s="83" t="s">
        <v>28</v>
      </c>
      <c r="M8" s="83" t="s">
        <v>27</v>
      </c>
      <c r="N8" s="83" t="s">
        <v>28</v>
      </c>
      <c r="O8" s="83" t="s">
        <v>29</v>
      </c>
      <c r="P8" s="83" t="s">
        <v>27</v>
      </c>
      <c r="Q8" s="83" t="s">
        <v>28</v>
      </c>
      <c r="R8" s="83" t="s">
        <v>29</v>
      </c>
      <c r="T8" s="16" t="s">
        <v>95</v>
      </c>
      <c r="U8" s="16"/>
      <c r="V8" s="26"/>
      <c r="W8" s="27"/>
      <c r="X8" s="27"/>
      <c r="Y8" s="27"/>
      <c r="Z8" s="27"/>
      <c r="AA8" s="27"/>
      <c r="AB8" s="27"/>
      <c r="AC8" s="27" t="s">
        <v>29</v>
      </c>
      <c r="AD8" s="27"/>
      <c r="AE8" s="27" t="s">
        <v>29</v>
      </c>
    </row>
    <row r="9" spans="1:36" x14ac:dyDescent="0.2">
      <c r="T9" s="32"/>
      <c r="U9" s="16" t="s">
        <v>96</v>
      </c>
      <c r="AH9" s="78"/>
    </row>
    <row r="10" spans="1:36" x14ac:dyDescent="0.2">
      <c r="B10" s="18" t="str">
        <f>+'COLOMB$ '!B10</f>
        <v>Musical Experience  (Ambiental)</v>
      </c>
      <c r="C10" s="28">
        <f>+'COL. CONS.$'!C10/Paramet!$D$10*1000</f>
        <v>119346.76470588235</v>
      </c>
      <c r="D10" s="29">
        <f t="shared" ref="D10:D15" si="0">+C10/$C$20</f>
        <v>0.43429479632681894</v>
      </c>
      <c r="E10" s="28">
        <f>+'COL. CONS.$'!E10/Paramet!$D$8*1000</f>
        <v>94165.851939628294</v>
      </c>
      <c r="F10" s="29">
        <f t="shared" ref="F10:F18" si="1">+E10/$E$20</f>
        <v>0.43093571961742738</v>
      </c>
      <c r="G10" s="29">
        <f t="shared" ref="G10:G18" si="2">IF(C10=0,"",(E10-C10)/ABS(C10)+1)</f>
        <v>0.7890105121130867</v>
      </c>
      <c r="H10" s="28">
        <f>+'COL. CONS.$'!H10/Paramet!$D$9*1000</f>
        <v>99684.092827216184</v>
      </c>
      <c r="I10" s="29">
        <f t="shared" ref="I10:I18" si="3">+H10/$H$20</f>
        <v>0.39749449465394682</v>
      </c>
      <c r="J10" s="30">
        <f t="shared" ref="J10:J18" si="4">IF(H10=0,"",(E10-H10)/ABS(H10))</f>
        <v>-5.535728651463713E-2</v>
      </c>
      <c r="K10" s="28">
        <f>+'COL. CONS.$'!K10/Paramet!$D$10*1000</f>
        <v>1314040.588235294</v>
      </c>
      <c r="L10" s="29">
        <f t="shared" ref="L10:L18" si="5">+K10/$K$20</f>
        <v>0.43388962125274816</v>
      </c>
      <c r="M10" s="28">
        <f>+'COL. CONS.$'!M10/Paramet!$D$8*1000</f>
        <v>912144.99230801221</v>
      </c>
      <c r="N10" s="29">
        <f t="shared" ref="N10:N18" si="6">+M10/$M$20</f>
        <v>0.43045920450951036</v>
      </c>
      <c r="O10" s="29">
        <f t="shared" ref="O10:O18" si="7">IF(K10=0,"",(M10-K10)/ABS(K10)+1)</f>
        <v>0.69415282942895074</v>
      </c>
      <c r="P10" s="28">
        <f>+'COL. CONS.$'!P10/Paramet!$D$9*1000</f>
        <v>1051839.6881813342</v>
      </c>
      <c r="Q10" s="29">
        <f t="shared" ref="Q10:Q18" si="8">+P10/$P$20</f>
        <v>0.50097339910423955</v>
      </c>
      <c r="R10" s="30">
        <f t="shared" ref="R10:R18" si="9">IF(P10=0,"",(M10-P10)/ABS(P10))</f>
        <v>-0.13280987344645528</v>
      </c>
      <c r="T10" s="32"/>
      <c r="U10" s="31" t="s">
        <v>97</v>
      </c>
      <c r="V10" s="18" t="s">
        <v>30</v>
      </c>
      <c r="W10" s="28">
        <f>+'COL. CONS.$'!U10/Paramet!D10*1000</f>
        <v>13879.117647058823</v>
      </c>
      <c r="X10" s="28">
        <f>'COLOMB$ '!V10/Paramet!$D$8*1000</f>
        <v>15957.132759552618</v>
      </c>
      <c r="Y10" s="28">
        <f>'COLOMB$ '!W10/Paramet!$D$9*1000</f>
        <v>111181.41446211658</v>
      </c>
      <c r="Z10" s="28">
        <f>'COLOMB$ '!X10/Paramet!$D$10*1000</f>
        <v>142468.23529411765</v>
      </c>
      <c r="AA10" s="28">
        <f>+'COL. CONS.$'!Y10/Paramet!D8*1000</f>
        <v>100701.01035299987</v>
      </c>
      <c r="AB10" s="31">
        <f>+AA10-Z10</f>
        <v>-41767.224941117776</v>
      </c>
      <c r="AC10" s="32">
        <f>IF(Z10=0,"",(AA10-Z10)/ABS(Z10)+1)</f>
        <v>0.70683131678516475</v>
      </c>
      <c r="AD10" s="28">
        <f>'COLOMB$ '!AB10/Paramet!$D$9*1000</f>
        <v>148294.46693928403</v>
      </c>
      <c r="AE10" s="30">
        <f>IF(Y10=0,"",(AA10-AD10)/ABS(AD10))</f>
        <v>-0.32093885610560419</v>
      </c>
      <c r="AF10" s="78"/>
    </row>
    <row r="11" spans="1:36" x14ac:dyDescent="0.2">
      <c r="B11" s="18" t="str">
        <f>+'COLOMB$ '!B11</f>
        <v>Instalaciones</v>
      </c>
      <c r="C11" s="28">
        <f>+'COL. CONS.$'!C11/Paramet!$D$10*1000</f>
        <v>12818.235294117647</v>
      </c>
      <c r="D11" s="29">
        <f t="shared" si="0"/>
        <v>4.6644690369672712E-2</v>
      </c>
      <c r="E11" s="28">
        <f>+'COL. CONS.$'!E11/Paramet!$D$8*1000</f>
        <v>11972.598852438568</v>
      </c>
      <c r="F11" s="29">
        <f t="shared" si="1"/>
        <v>5.4790780265803918E-2</v>
      </c>
      <c r="G11" s="29">
        <f t="shared" si="2"/>
        <v>0.93402863793059365</v>
      </c>
      <c r="H11" s="28">
        <f>+'COL. CONS.$'!H11/Paramet!$D$9*1000</f>
        <v>14409.385455495383</v>
      </c>
      <c r="I11" s="29">
        <f t="shared" si="3"/>
        <v>5.7458027930633683E-2</v>
      </c>
      <c r="J11" s="30">
        <f t="shared" si="4"/>
        <v>-0.169111070738099</v>
      </c>
      <c r="K11" s="28">
        <f>+'COL. CONS.$'!K11/Paramet!$D$10*1000</f>
        <v>160223.5294117647</v>
      </c>
      <c r="L11" s="29">
        <f t="shared" si="5"/>
        <v>5.2905006979739433E-2</v>
      </c>
      <c r="M11" s="28">
        <f>+'COL. CONS.$'!M11/Paramet!$D$8*1000</f>
        <v>98761.40534697102</v>
      </c>
      <c r="N11" s="29">
        <f t="shared" si="6"/>
        <v>4.6607454231950417E-2</v>
      </c>
      <c r="O11" s="29">
        <f t="shared" si="7"/>
        <v>0.616397639657283</v>
      </c>
      <c r="P11" s="28">
        <f>+'COL. CONS.$'!P11/Paramet!$D$9*1000</f>
        <v>118986.67825457908</v>
      </c>
      <c r="Q11" s="29">
        <f t="shared" si="8"/>
        <v>5.6671336253136834E-2</v>
      </c>
      <c r="R11" s="30">
        <f t="shared" si="9"/>
        <v>-0.1699793052826879</v>
      </c>
      <c r="T11" s="32">
        <f>+E22/C22</f>
        <v>1.2786896859008812</v>
      </c>
      <c r="U11" s="31" t="s">
        <v>98</v>
      </c>
      <c r="V11" s="18" t="s">
        <v>31</v>
      </c>
      <c r="W11" s="28">
        <f>'COLOMB$ '!U11/Paramet!$D$10*1000</f>
        <v>347664.70588235295</v>
      </c>
      <c r="X11" s="28">
        <f>'COLOMB$ '!V11/Paramet!$D$8*1000</f>
        <v>212385.14831815727</v>
      </c>
      <c r="Y11" s="28">
        <f>'COLOMB$ '!W11/Paramet!$D$9*1000</f>
        <v>324721.58586190961</v>
      </c>
      <c r="Z11" s="28">
        <f>'COLOMB$ '!X11/Paramet!$D$10*1000</f>
        <v>3663724.1176470588</v>
      </c>
      <c r="AA11" s="28">
        <f>'COLOMB$ '!Y11/Paramet!$D$8*1000</f>
        <v>2552958.2559082783</v>
      </c>
      <c r="AB11" s="31">
        <f>+AA11-Z11</f>
        <v>-1110765.8617387805</v>
      </c>
      <c r="AC11" s="32">
        <f>IF(Z11=0,"",(AA11-Z11)/ABS(Z11)+1)</f>
        <v>0.69682055032786039</v>
      </c>
      <c r="AD11" s="28">
        <f>'COLOMB$ '!AB11/Paramet!$D$9*1000</f>
        <v>2946355.1218388616</v>
      </c>
      <c r="AE11" s="30">
        <f>IF(AD11=0,"",(AA11-AD11)/ABS(AD11))</f>
        <v>-0.13351984050213839</v>
      </c>
      <c r="AF11" s="78"/>
    </row>
    <row r="12" spans="1:36" x14ac:dyDescent="0.2">
      <c r="B12" s="18" t="str">
        <f>+'COLOMB$ '!B12</f>
        <v>Voice Experience (Publihold)</v>
      </c>
      <c r="C12" s="28">
        <f>+'COL. CONS.$'!C12/Paramet!$D$10*1000</f>
        <v>26133.823529411762</v>
      </c>
      <c r="D12" s="29">
        <f t="shared" si="0"/>
        <v>9.5099214418734077E-2</v>
      </c>
      <c r="E12" s="28">
        <f>+'COL. CONS.$'!E12/Paramet!$D$8*1000</f>
        <v>20855.553823125854</v>
      </c>
      <c r="F12" s="29">
        <f t="shared" si="1"/>
        <v>9.544227455777432E-2</v>
      </c>
      <c r="G12" s="29">
        <f t="shared" si="2"/>
        <v>0.79802918236033893</v>
      </c>
      <c r="H12" s="28">
        <f>+'COL. CONS.$'!H12/Paramet!$D$9*1000</f>
        <v>23540.580383606786</v>
      </c>
      <c r="I12" s="29">
        <f t="shared" si="3"/>
        <v>9.3869050096703446E-2</v>
      </c>
      <c r="J12" s="30">
        <f t="shared" si="4"/>
        <v>-0.11405948862461919</v>
      </c>
      <c r="K12" s="28">
        <f>+'COL. CONS.$'!K12/Paramet!$D$10*1000</f>
        <v>282049.70588235295</v>
      </c>
      <c r="L12" s="29">
        <f t="shared" si="5"/>
        <v>9.3131400320056082E-2</v>
      </c>
      <c r="M12" s="28">
        <f>+'COL. CONS.$'!M12/Paramet!$D$8*1000</f>
        <v>217245.38227100746</v>
      </c>
      <c r="N12" s="29">
        <f t="shared" si="6"/>
        <v>0.10252237881514807</v>
      </c>
      <c r="O12" s="29">
        <f t="shared" si="7"/>
        <v>0.770237932322552</v>
      </c>
      <c r="P12" s="28">
        <f>+'COL. CONS.$'!P12/Paramet!$D$9*1000</f>
        <v>276950.81212510925</v>
      </c>
      <c r="Q12" s="29">
        <f t="shared" si="8"/>
        <v>0.13190697336672125</v>
      </c>
      <c r="R12" s="30">
        <f t="shared" si="9"/>
        <v>-0.21558134961211298</v>
      </c>
      <c r="T12" s="32">
        <f>+E24/C24</f>
        <v>0.74915501391973882</v>
      </c>
      <c r="U12" s="84">
        <v>1208</v>
      </c>
      <c r="AE12" s="2"/>
      <c r="AF12" s="78"/>
    </row>
    <row r="13" spans="1:36" x14ac:dyDescent="0.2">
      <c r="B13" s="18" t="str">
        <f>+'COLOMB$ '!B13</f>
        <v>Service &amp; Equipment Experience</v>
      </c>
      <c r="C13" s="28">
        <f>+'COL. CONS.$'!C13/Paramet!$D$10*1000</f>
        <v>27341.176470588234</v>
      </c>
      <c r="D13" s="29">
        <f t="shared" si="0"/>
        <v>9.9492690027184971E-2</v>
      </c>
      <c r="E13" s="28">
        <f>+'COL. CONS.$'!E13/Paramet!$D$8*1000</f>
        <v>32270.164442226935</v>
      </c>
      <c r="F13" s="29">
        <f t="shared" si="1"/>
        <v>0.14767950642021957</v>
      </c>
      <c r="G13" s="29">
        <f t="shared" si="2"/>
        <v>1.1802770987905722</v>
      </c>
      <c r="H13" s="28">
        <f>+'COL. CONS.$'!H13/Paramet!$D$9*1000</f>
        <v>49743.604627796929</v>
      </c>
      <c r="I13" s="29">
        <f t="shared" si="3"/>
        <v>0.19835470658357049</v>
      </c>
      <c r="J13" s="30">
        <f t="shared" si="4"/>
        <v>-0.35127008419099898</v>
      </c>
      <c r="K13" s="28">
        <f>+'COL. CONS.$'!K13/Paramet!$D$10*1000</f>
        <v>334762.9411764706</v>
      </c>
      <c r="L13" s="29">
        <f t="shared" si="5"/>
        <v>0.11053704661556933</v>
      </c>
      <c r="M13" s="28">
        <f>+'COL. CONS.$'!M13/Paramet!$D$8*1000</f>
        <v>250109.36800964616</v>
      </c>
      <c r="N13" s="29">
        <f t="shared" si="6"/>
        <v>0.11803154158791183</v>
      </c>
      <c r="O13" s="29">
        <f t="shared" si="7"/>
        <v>0.74712382180260739</v>
      </c>
      <c r="P13" s="28">
        <f>+'COL. CONS.$'!P13/Paramet!$D$9*1000</f>
        <v>238480.00582744725</v>
      </c>
      <c r="Q13" s="29">
        <f t="shared" si="8"/>
        <v>0.11358398098130944</v>
      </c>
      <c r="R13" s="30">
        <f t="shared" si="9"/>
        <v>4.8764516513025241E-2</v>
      </c>
      <c r="T13" s="32">
        <f>+E26/C26</f>
        <v>0.90442535473215324</v>
      </c>
      <c r="U13" s="31" t="s">
        <v>99</v>
      </c>
      <c r="V13" s="18" t="s">
        <v>32</v>
      </c>
      <c r="W13" s="28">
        <f>'COLOMB$ '!U13/Paramet!$D$10*1000</f>
        <v>30863.823529411766</v>
      </c>
      <c r="X13" s="28">
        <f>'COLOMB$ '!V13/Paramet!$D$8*1000</f>
        <v>23803.656812606547</v>
      </c>
      <c r="Y13" s="28">
        <f>'COLOMB$ '!W13/Paramet!$D$9*1000</f>
        <v>65992.905690803687</v>
      </c>
      <c r="Z13" s="28">
        <f>'COLOMB$ '!X13/Paramet!$D$10*1000</f>
        <v>447247.9411764706</v>
      </c>
      <c r="AA13" s="28">
        <f>'COLOMB$ '!Y13/Paramet!$D$8*1000</f>
        <v>318455.74600432417</v>
      </c>
      <c r="AB13" s="31">
        <f>+Z13-AA13</f>
        <v>128792.19517214643</v>
      </c>
      <c r="AC13" s="32">
        <f>IF(Z13=0,"",(AA13-Z13)/ABS(Z13)+1)</f>
        <v>0.71203401220056395</v>
      </c>
      <c r="AD13" s="28">
        <f>'COLOMB$ '!AB13/Paramet!$D$9*1000</f>
        <v>719205.20214962482</v>
      </c>
      <c r="AE13" s="30">
        <f>IF(AD13=0,"",(AA13-AD13)/ABS(AD13))</f>
        <v>-0.55721156486007728</v>
      </c>
      <c r="AF13" s="78"/>
      <c r="AG13" s="33"/>
    </row>
    <row r="14" spans="1:36" x14ac:dyDescent="0.2">
      <c r="B14" s="18" t="str">
        <f>+'COLOMB$ '!B14</f>
        <v>POP Satelital</v>
      </c>
      <c r="C14" s="28">
        <f>+'COL. CONS.$'!C14/Paramet!$D$10*1000</f>
        <v>0</v>
      </c>
      <c r="D14" s="29">
        <f t="shared" si="0"/>
        <v>0</v>
      </c>
      <c r="E14" s="28">
        <f>+'COL. CONS.$'!E14/Paramet!$D$8*1000</f>
        <v>0</v>
      </c>
      <c r="F14" s="29">
        <f t="shared" si="1"/>
        <v>0</v>
      </c>
      <c r="G14" s="29" t="str">
        <f t="shared" si="2"/>
        <v/>
      </c>
      <c r="H14" s="28">
        <f>+'COL. CONS.$'!H14/Paramet!$D$9*1000</f>
        <v>0</v>
      </c>
      <c r="I14" s="29">
        <f t="shared" si="3"/>
        <v>0</v>
      </c>
      <c r="J14" s="30" t="str">
        <f t="shared" si="4"/>
        <v/>
      </c>
      <c r="K14" s="28">
        <f>+'COL. CONS.$'!K14/Paramet!$D$10*1000</f>
        <v>0</v>
      </c>
      <c r="L14" s="29">
        <f t="shared" si="5"/>
        <v>0</v>
      </c>
      <c r="M14" s="28">
        <f>+'COL. CONS.$'!M14/Paramet!$D$8*1000</f>
        <v>0</v>
      </c>
      <c r="N14" s="29">
        <f t="shared" si="6"/>
        <v>0</v>
      </c>
      <c r="O14" s="29" t="str">
        <f t="shared" si="7"/>
        <v/>
      </c>
      <c r="P14" s="28">
        <f>+'COL. CONS.$'!P14/Paramet!$D$9*1000</f>
        <v>0</v>
      </c>
      <c r="Q14" s="29">
        <f t="shared" si="8"/>
        <v>0</v>
      </c>
      <c r="R14" s="30" t="str">
        <f t="shared" si="9"/>
        <v/>
      </c>
      <c r="T14" s="32"/>
      <c r="U14" s="31"/>
      <c r="V14" s="18" t="s">
        <v>33</v>
      </c>
      <c r="W14" s="28">
        <f>'COLOMB$ '!U14/Paramet!$D$10*1000</f>
        <v>2455.8823529411766</v>
      </c>
      <c r="X14" s="28">
        <f>'COLOMB$ '!V14/Paramet!$D$8*1000</f>
        <v>2110.081493492994</v>
      </c>
      <c r="Y14" s="28">
        <f>'COLOMB$ '!W14/Paramet!$D$9*1000</f>
        <v>2336.0744104733294</v>
      </c>
      <c r="Z14" s="28">
        <f>'COLOMB$ '!X14/Paramet!$D$10*1000</f>
        <v>29479.411764705885</v>
      </c>
      <c r="AA14" s="28">
        <f>'COLOMB$ '!Y14/Paramet!$D$8*1000</f>
        <v>25979.112997380569</v>
      </c>
      <c r="AB14" s="31">
        <f>+Z14-AA14</f>
        <v>3500.2987673253156</v>
      </c>
      <c r="AC14" s="32">
        <f>IF(Z14=0,"",(AA14-Z14)/ABS(Z14)+1)</f>
        <v>0.88126293715548165</v>
      </c>
      <c r="AD14" s="28">
        <f>'COLOMB$ '!AB14/Paramet!$D$9*1000</f>
        <v>23008.191582352883</v>
      </c>
      <c r="AE14" s="30">
        <f>IF(AD14=0,"",(AA14-AD14)/ABS(AD14))</f>
        <v>0.12912450786903049</v>
      </c>
      <c r="AF14" s="78"/>
    </row>
    <row r="15" spans="1:36" x14ac:dyDescent="0.2">
      <c r="B15" s="18" t="str">
        <f>+'COLOMB$ '!B15</f>
        <v>Voice Experience (Audicóm)</v>
      </c>
      <c r="C15" s="28">
        <f>+'COL. CONS.$'!C15/Paramet!$D$10*1000</f>
        <v>42162.352941176476</v>
      </c>
      <c r="D15" s="29">
        <f t="shared" si="0"/>
        <v>0.1534259477278079</v>
      </c>
      <c r="E15" s="28">
        <f>+'COL. CONS.$'!E15/Paramet!$D$8*1000</f>
        <v>26972.831067315292</v>
      </c>
      <c r="F15" s="29">
        <f t="shared" si="1"/>
        <v>0.12343706478187999</v>
      </c>
      <c r="G15" s="29">
        <f t="shared" si="2"/>
        <v>0.63973732929343141</v>
      </c>
      <c r="H15" s="28">
        <f>+'COL. CONS.$'!H15/Paramet!$D$9*1000</f>
        <v>28549.591576324488</v>
      </c>
      <c r="I15" s="29">
        <f t="shared" si="3"/>
        <v>0.11384269199176897</v>
      </c>
      <c r="J15" s="30">
        <f t="shared" si="4"/>
        <v>-5.5228828923660239E-2</v>
      </c>
      <c r="K15" s="28">
        <f>+'COL. CONS.$'!K15/Paramet!$D$10*1000</f>
        <v>446207.94117647054</v>
      </c>
      <c r="L15" s="29">
        <f t="shared" si="5"/>
        <v>0.14733562747634105</v>
      </c>
      <c r="M15" s="28">
        <f>+'COL. CONS.$'!M15/Paramet!$D$8*1000</f>
        <v>307881.71926323231</v>
      </c>
      <c r="N15" s="29">
        <f t="shared" si="6"/>
        <v>0.14529545310743602</v>
      </c>
      <c r="O15" s="29">
        <f t="shared" si="7"/>
        <v>0.68999605531777908</v>
      </c>
      <c r="P15" s="28">
        <f>+'COL. CONS.$'!P15/Paramet!$D$9*1000</f>
        <v>347260.45223000337</v>
      </c>
      <c r="Q15" s="29">
        <f t="shared" si="8"/>
        <v>0.16539426215123817</v>
      </c>
      <c r="R15" s="30">
        <f t="shared" si="9"/>
        <v>-0.11339826552056978</v>
      </c>
      <c r="T15" s="32"/>
      <c r="U15" s="84"/>
      <c r="V15" s="18" t="s">
        <v>34</v>
      </c>
      <c r="W15" s="28">
        <f>'COLOMB$ '!U15/Paramet!$D$10*1000</f>
        <v>153607.94117647057</v>
      </c>
      <c r="X15" s="28">
        <f>'COLOMB$ '!V15/Paramet!$D$8*1000</f>
        <v>100135.26859590039</v>
      </c>
      <c r="Y15" s="28">
        <f>'COLOMB$ '!W15/Paramet!$D$9*1000</f>
        <v>111876.90296295553</v>
      </c>
      <c r="Z15" s="28">
        <f>'COLOMB$ '!X15/Paramet!$D$10*1000</f>
        <v>1411200.8823529412</v>
      </c>
      <c r="AA15" s="28">
        <f>'COLOMB$ '!Y15/Paramet!$D$8*1000</f>
        <v>967005.91540476482</v>
      </c>
      <c r="AB15" s="31">
        <f>+Z15-AA15</f>
        <v>444194.96694817638</v>
      </c>
      <c r="AC15" s="32">
        <f>IF(Z15=0,"",(AA15-Z15)/ABS(Z15)+1)</f>
        <v>0.68523618961493593</v>
      </c>
      <c r="AD15" s="28">
        <f>'COLOMB$ '!AB15/Paramet!$D$9*1000</f>
        <v>1027533.8825869847</v>
      </c>
      <c r="AE15" s="30">
        <f>IF(AD15=0,"",(AA15-AD15)/ABS(AD15))</f>
        <v>-5.8906054786077501E-2</v>
      </c>
      <c r="AF15" s="78"/>
    </row>
    <row r="16" spans="1:36" x14ac:dyDescent="0.2">
      <c r="B16" s="18" t="str">
        <f>+'COLOMB$ '!B16</f>
        <v>Fact. Servicio Satelital</v>
      </c>
      <c r="C16" s="28">
        <f>+'COL. CONS.$'!C16/Paramet!$D$8*1000</f>
        <v>0</v>
      </c>
      <c r="D16" s="29"/>
      <c r="E16" s="28">
        <f>+'COL. CONS.$'!E16/Paramet!$D$8*1000</f>
        <v>0</v>
      </c>
      <c r="F16" s="29">
        <f t="shared" si="1"/>
        <v>0</v>
      </c>
      <c r="G16" s="29" t="str">
        <f t="shared" si="2"/>
        <v/>
      </c>
      <c r="H16" s="28">
        <f>+'COL. CONS.$'!H16/Paramet!$D$9*1000</f>
        <v>0</v>
      </c>
      <c r="I16" s="29">
        <f t="shared" si="3"/>
        <v>0</v>
      </c>
      <c r="J16" s="30" t="str">
        <f t="shared" si="4"/>
        <v/>
      </c>
      <c r="K16" s="28">
        <f>+'COL. CONS.$'!K16/Paramet!$D$8*1000</f>
        <v>0</v>
      </c>
      <c r="L16" s="29">
        <f t="shared" si="5"/>
        <v>0</v>
      </c>
      <c r="M16" s="28">
        <f>+'COL. CONS.$'!M16/Paramet!$D$8*1000</f>
        <v>0</v>
      </c>
      <c r="N16" s="29">
        <f t="shared" si="6"/>
        <v>0</v>
      </c>
      <c r="O16" s="29" t="str">
        <f t="shared" si="7"/>
        <v/>
      </c>
      <c r="P16" s="28">
        <f>+'COL. CONS.$'!P16/Paramet!$D$9*1000</f>
        <v>0</v>
      </c>
      <c r="Q16" s="29">
        <f t="shared" si="8"/>
        <v>0</v>
      </c>
      <c r="R16" s="30" t="str">
        <f t="shared" si="9"/>
        <v/>
      </c>
      <c r="V16" s="18" t="s">
        <v>35</v>
      </c>
      <c r="W16" s="28">
        <f>'COLOMB$ '!U16/Paramet!$D$10*1000</f>
        <v>68863.529411764699</v>
      </c>
      <c r="X16" s="28">
        <f>'COLOMB$ '!V16/Paramet!$D$8*1000</f>
        <v>68946.792680138053</v>
      </c>
      <c r="Y16" s="28">
        <f>'COLOMB$ '!W16/Paramet!$D$9*1000</f>
        <v>61418.454731786718</v>
      </c>
      <c r="Z16" s="28">
        <f>'COLOMB$ '!X16/Paramet!$D$10*1000</f>
        <v>868463.5294117647</v>
      </c>
      <c r="AA16" s="28">
        <f>'COLOMB$ '!Y16/Paramet!$D$8*1000</f>
        <v>627734.19275913679</v>
      </c>
      <c r="AB16" s="31">
        <f>+Z16-AA16</f>
        <v>240729.33665262791</v>
      </c>
      <c r="AC16" s="32">
        <f>IF(Z16=0,"",(AA16-Z16)/ABS(Z16)+1)</f>
        <v>0.72281007952552612</v>
      </c>
      <c r="AD16" s="28">
        <f>'COLOMB$ '!AB16/Paramet!$D$9*1000</f>
        <v>525352.9972671282</v>
      </c>
      <c r="AE16" s="30">
        <f>IF(AD16=0,"",(AA16-AD16)/ABS(AD16))</f>
        <v>0.19488076783532737</v>
      </c>
      <c r="AF16" s="78"/>
    </row>
    <row r="17" spans="2:33" x14ac:dyDescent="0.2">
      <c r="B17" s="18" t="str">
        <f>+'COLOMB$ '!B17</f>
        <v>Visual Experience</v>
      </c>
      <c r="C17" s="28">
        <f>+'COL. CONS.$'!C17/Paramet!$D$10*1000</f>
        <v>6650.2941176470586</v>
      </c>
      <c r="D17" s="29"/>
      <c r="E17" s="28">
        <f>+'COL. CONS.$'!E17/Paramet!$D$8*1000</f>
        <v>4630.6055881252341</v>
      </c>
      <c r="F17" s="29">
        <f t="shared" si="1"/>
        <v>2.119126318384058E-2</v>
      </c>
      <c r="G17" s="29">
        <f t="shared" si="2"/>
        <v>0.69630087124080298</v>
      </c>
      <c r="H17" s="28">
        <f>+'COL. CONS.$'!H17/Paramet!$D$9*1000</f>
        <v>4269.2509218418754</v>
      </c>
      <c r="I17" s="29">
        <f t="shared" si="3"/>
        <v>1.7023816835750039E-2</v>
      </c>
      <c r="J17" s="30">
        <f t="shared" si="4"/>
        <v>8.4641234000708512E-2</v>
      </c>
      <c r="K17" s="28">
        <f>+'COL. CONS.$'!K17/Paramet!$D$10*1000</f>
        <v>90871.470588235301</v>
      </c>
      <c r="L17" s="29">
        <f t="shared" si="5"/>
        <v>3.0005304485427046E-2</v>
      </c>
      <c r="M17" s="28">
        <f>+'COL. CONS.$'!M17/Paramet!$D$8*1000</f>
        <v>64178.49465718682</v>
      </c>
      <c r="N17" s="29">
        <f t="shared" si="6"/>
        <v>3.028709688669946E-2</v>
      </c>
      <c r="O17" s="29">
        <f t="shared" si="7"/>
        <v>0.70625570645816871</v>
      </c>
      <c r="P17" s="28">
        <f>+'COL. CONS.$'!P17/Paramet!$D$9*1000</f>
        <v>66074.258005204523</v>
      </c>
      <c r="Q17" s="29">
        <f t="shared" si="8"/>
        <v>3.1470048143354738E-2</v>
      </c>
      <c r="R17" s="30">
        <f t="shared" si="9"/>
        <v>-2.8691405779666532E-2</v>
      </c>
      <c r="V17" s="18" t="s">
        <v>36</v>
      </c>
      <c r="W17" s="28">
        <f>'COLOMB$ '!U17/Paramet!$D$10*1000</f>
        <v>255791.17647058822</v>
      </c>
      <c r="X17" s="28">
        <f>'COLOMB$ '!V17/Paramet!$D$8*1000</f>
        <v>194995.79958213796</v>
      </c>
      <c r="Y17" s="28">
        <f>'COLOMB$ '!W17/Paramet!$D$9*1000</f>
        <v>241624.33779601927</v>
      </c>
      <c r="Z17" s="28">
        <f>'COLOMB$ '!X17/Paramet!$D$10*1000</f>
        <v>2756391.7647058824</v>
      </c>
      <c r="AA17" s="28">
        <f>'COLOMB$ '!Y17/Paramet!$D$8*1000</f>
        <v>1939174.9671656066</v>
      </c>
      <c r="AB17" s="31">
        <f>+AA17-Z17</f>
        <v>-817216.79754027585</v>
      </c>
      <c r="AC17" s="32">
        <f>IF(Z17=0,"",(AA17-Z17)/ABS(Z17)+1)</f>
        <v>0.70351935889364547</v>
      </c>
      <c r="AD17" s="28">
        <f>'COLOMB$ '!AB17/Paramet!$D$9*1000</f>
        <v>2295100.2735860907</v>
      </c>
      <c r="AE17" s="30">
        <f>IF(AD17=0,"",(AA17-AD17)/ABS(AD17))</f>
        <v>-0.15508050367853921</v>
      </c>
      <c r="AF17" s="78"/>
    </row>
    <row r="18" spans="2:33" x14ac:dyDescent="0.2">
      <c r="B18" s="18" t="str">
        <f>+'COL. CONS.$'!B18</f>
        <v>Olfa Experience</v>
      </c>
      <c r="C18" s="28">
        <f>+'COL. CONS.$'!C18/Paramet!$D$10*1000</f>
        <v>40353.235294117643</v>
      </c>
      <c r="D18" s="29"/>
      <c r="E18" s="28">
        <f>+'COL. CONS.$'!E18/Paramet!$D$8*1000</f>
        <v>27647.239200033266</v>
      </c>
      <c r="F18" s="29">
        <f t="shared" si="1"/>
        <v>0.12652339117305406</v>
      </c>
      <c r="G18" s="29">
        <f t="shared" si="2"/>
        <v>0.68513067164315933</v>
      </c>
      <c r="H18" s="28">
        <f>+'COL. CONS.$'!H18/Paramet!$D$9*1000</f>
        <v>21888.647278682594</v>
      </c>
      <c r="I18" s="29">
        <f t="shared" si="3"/>
        <v>8.7281897662241106E-2</v>
      </c>
      <c r="J18" s="34">
        <f t="shared" si="4"/>
        <v>0.26308578360431517</v>
      </c>
      <c r="K18" s="28">
        <f>+'COL. CONS.$'!K18/Paramet!$D$10*1000</f>
        <v>400357.3529411765</v>
      </c>
      <c r="L18" s="29">
        <f t="shared" si="5"/>
        <v>0.13219599287011899</v>
      </c>
      <c r="M18" s="28">
        <f>+'COL. CONS.$'!M18/Paramet!$D$8*1000</f>
        <v>268683.14020207059</v>
      </c>
      <c r="N18" s="29">
        <f t="shared" si="6"/>
        <v>0.12679687086134389</v>
      </c>
      <c r="O18" s="29">
        <f t="shared" si="7"/>
        <v>0.67110829419822726</v>
      </c>
      <c r="P18" s="28">
        <f>+'COL. CONS.$'!P18/Paramet!$D$9*1000</f>
        <v>255333.52364637444</v>
      </c>
      <c r="Q18" s="29">
        <f t="shared" si="8"/>
        <v>0.12161102559987705</v>
      </c>
      <c r="R18" s="34">
        <f t="shared" si="9"/>
        <v>5.2283054590923105E-2</v>
      </c>
      <c r="AE18" s="2"/>
      <c r="AF18" s="78"/>
    </row>
    <row r="19" spans="2:33" x14ac:dyDescent="0.2">
      <c r="B19" s="18" t="str">
        <f>+'COLOMB$ '!B19</f>
        <v>Locutor virtual</v>
      </c>
      <c r="C19" s="28"/>
      <c r="D19" s="29"/>
      <c r="E19" s="28"/>
      <c r="F19" s="29"/>
      <c r="G19" s="29"/>
      <c r="H19" s="28">
        <f>+'COL. CONS.$'!H19/Paramet!$D$9*1000</f>
        <v>8695.9122466818717</v>
      </c>
      <c r="I19" s="29"/>
      <c r="J19" s="30"/>
      <c r="K19" s="28"/>
      <c r="L19" s="29"/>
      <c r="M19" s="28"/>
      <c r="N19" s="29"/>
      <c r="O19" s="29"/>
      <c r="P19" s="28"/>
      <c r="Q19" s="29"/>
      <c r="R19" s="30"/>
      <c r="T19" s="32">
        <f>+E27/C27</f>
        <v>0.76412849331764354</v>
      </c>
      <c r="U19" s="31" t="s">
        <v>100</v>
      </c>
      <c r="V19" s="18" t="s">
        <v>37</v>
      </c>
      <c r="W19" s="28">
        <f>+W11-W17</f>
        <v>91873.529411764728</v>
      </c>
      <c r="X19" s="28">
        <f>+X11-X17</f>
        <v>17389.34873601931</v>
      </c>
      <c r="Y19" s="28">
        <f>+Y11-Y17</f>
        <v>83097.248065890337</v>
      </c>
      <c r="Z19" s="28">
        <f>+Z11-Z17</f>
        <v>907332.35294117639</v>
      </c>
      <c r="AA19" s="28">
        <f>+AA11-AA17</f>
        <v>613783.28874267172</v>
      </c>
      <c r="AB19" s="31">
        <f>+AA19-Z19</f>
        <v>-293549.06419850467</v>
      </c>
      <c r="AC19" s="32">
        <f>IF(Z19=0,"",(AA19-Z19)/ABS(Z19)+1)</f>
        <v>0.67647018950999993</v>
      </c>
      <c r="AD19" s="28">
        <f>+AD11-AD17</f>
        <v>651254.84825277096</v>
      </c>
      <c r="AE19" s="30">
        <f>IF(AD19=0,"",(AA19-AD19)/ABS(AD19))</f>
        <v>-5.7537474938774556E-2</v>
      </c>
      <c r="AF19" s="78"/>
    </row>
    <row r="20" spans="2:33" x14ac:dyDescent="0.2">
      <c r="B20" s="35" t="s">
        <v>38</v>
      </c>
      <c r="C20" s="36">
        <f>SUM(C10:C19)</f>
        <v>274805.88235294115</v>
      </c>
      <c r="D20" s="37">
        <f>+C20/$C$20</f>
        <v>1</v>
      </c>
      <c r="E20" s="36">
        <f>SUM(E10:E19)</f>
        <v>218514.84491289349</v>
      </c>
      <c r="F20" s="37">
        <f>+E20/$E$20</f>
        <v>1</v>
      </c>
      <c r="G20" s="37">
        <f>IF(C20=0,"",(E20-C20)/ABS(C20)+1)</f>
        <v>0.79516072597110043</v>
      </c>
      <c r="H20" s="36">
        <f>+'COL. CONS.$'!H20/Paramet!$D$9*1000</f>
        <v>250781.06531764616</v>
      </c>
      <c r="I20" s="37">
        <f>+H20/$H$20</f>
        <v>1</v>
      </c>
      <c r="J20" s="38">
        <f>IF(H20=0,"",(E20-H20)/ABS(H20))</f>
        <v>-0.12866290508768435</v>
      </c>
      <c r="K20" s="36">
        <f>SUM(K10:K19)</f>
        <v>3028513.5294117643</v>
      </c>
      <c r="L20" s="37">
        <f>+K20/$K$20</f>
        <v>1</v>
      </c>
      <c r="M20" s="36">
        <f>SUM(M10:M19)</f>
        <v>2119004.5020581265</v>
      </c>
      <c r="N20" s="37">
        <f>+M20/$M$20</f>
        <v>1</v>
      </c>
      <c r="O20" s="37">
        <f>IF(K20=0,"",(M20-K20)/ABS(K20)+1)</f>
        <v>0.69968467417403479</v>
      </c>
      <c r="P20" s="36">
        <f>SUM(P10:P17)</f>
        <v>2099591.8946236777</v>
      </c>
      <c r="Q20" s="37">
        <f>+P20/$P$20</f>
        <v>1</v>
      </c>
      <c r="R20" s="38">
        <f>IF(P20=0,"",(M20-P20)/ABS(P20))</f>
        <v>9.2458955876890646E-3</v>
      </c>
      <c r="T20" s="32">
        <f>+E28/C28</f>
        <v>0.82079222278797248</v>
      </c>
      <c r="U20" s="31"/>
      <c r="V20" s="18"/>
      <c r="W20" s="28"/>
      <c r="X20" s="28"/>
      <c r="Y20" s="28"/>
      <c r="Z20" s="28"/>
      <c r="AA20" s="28"/>
      <c r="AB20" s="31"/>
      <c r="AC20" s="32"/>
      <c r="AD20" s="28"/>
      <c r="AE20" s="30" t="str">
        <f>IF(AD20=0,"",(AA20-AD20)/ABS(AD20))</f>
        <v/>
      </c>
      <c r="AF20" s="78"/>
      <c r="AG20" s="33"/>
    </row>
    <row r="21" spans="2:33" x14ac:dyDescent="0.2">
      <c r="J21" s="30"/>
      <c r="R21" s="30"/>
      <c r="T21" s="32">
        <f>+E30/C30</f>
        <v>0.7294174635020233</v>
      </c>
      <c r="U21" s="31"/>
      <c r="V21" s="18" t="s">
        <v>39</v>
      </c>
      <c r="W21" s="28">
        <f>+'COL. CONS.$'!U21/Paramet!D10*1000</f>
        <v>105752.64705882352</v>
      </c>
      <c r="X21" s="28">
        <f>+X10+X19</f>
        <v>33346.481495571927</v>
      </c>
      <c r="Y21" s="28">
        <f>'COLOMB$ '!W21/Paramet!$D$9*1000</f>
        <v>194278.66252800691</v>
      </c>
      <c r="Z21" s="28">
        <f>'COLOMB$ '!X21/Paramet!$D$10*1000</f>
        <v>1049800.588235294</v>
      </c>
      <c r="AA21" s="28">
        <f>+'COL. CONS.$'!Y21/Paramet!D8*1000</f>
        <v>714484.29909567162</v>
      </c>
      <c r="AB21" s="31">
        <f>+AA21-Z21</f>
        <v>-335316.28913962236</v>
      </c>
      <c r="AC21" s="32">
        <f>IF(Z21=0,"",(AA21-Z21)/ABS(Z21)+1)</f>
        <v>0.68059049223501944</v>
      </c>
      <c r="AD21" s="28">
        <f>'COLOMB$ '!AB21/Paramet!$D$9*1000</f>
        <v>799549.31519205496</v>
      </c>
      <c r="AE21" s="30">
        <f>IF(AD21=0,"",(AA21-AD21)/ABS(AD21))</f>
        <v>-0.10639120624592165</v>
      </c>
      <c r="AF21" s="78"/>
      <c r="AG21" s="33"/>
    </row>
    <row r="22" spans="2:33" x14ac:dyDescent="0.2">
      <c r="B22" s="18" t="s">
        <v>40</v>
      </c>
      <c r="C22" s="28">
        <f>+'COL. CONS.$'!C22/Paramet!$D$10*1000</f>
        <v>23875</v>
      </c>
      <c r="D22" s="29">
        <f>+C22/$C$20</f>
        <v>8.6879508530085414E-2</v>
      </c>
      <c r="E22" s="28">
        <f>+'COL. CONS.$'!E22/Paramet!$D$8*1000</f>
        <v>30528.716250883539</v>
      </c>
      <c r="F22" s="29">
        <f>+E22/$E$20</f>
        <v>0.13971003326137038</v>
      </c>
      <c r="G22" s="29">
        <f>IF(C22=0,"",(E22-C22)/ABS(C22)+1)</f>
        <v>1.2786896859008812</v>
      </c>
      <c r="H22" s="28">
        <f>+'COL. CONS.$'!H22/Paramet!$D$9*1000</f>
        <v>42888.497982999928</v>
      </c>
      <c r="I22" s="29">
        <f>+H22/$H$20</f>
        <v>0.17101968176375748</v>
      </c>
      <c r="J22" s="30">
        <f>IF(H22=0,"",(E22-H22)/ABS(H22))</f>
        <v>-0.2881840659706838</v>
      </c>
      <c r="K22" s="28">
        <f>+'COL. CONS.$'!K22/Paramet!$D$10*1000</f>
        <v>273692.0588235294</v>
      </c>
      <c r="L22" s="29">
        <f>+K22/$K$20</f>
        <v>9.0371747118028978E-2</v>
      </c>
      <c r="M22" s="28">
        <f>+'COL. CONS.$'!M22/Paramet!$D$8*1000</f>
        <v>220506.86413454745</v>
      </c>
      <c r="N22" s="29">
        <f>+M22/$M$20</f>
        <v>0.10406153640559784</v>
      </c>
      <c r="O22" s="29">
        <f>IF(K22=0,"",(M22-K22)/ABS(K22)+1)</f>
        <v>0.80567505349771729</v>
      </c>
      <c r="P22" s="28">
        <f>+'COL. CONS.$'!P22/Paramet!$D$9*1000</f>
        <v>191849.89378472604</v>
      </c>
      <c r="Q22" s="29">
        <f>+P22/$P$20</f>
        <v>9.1374849691497992E-2</v>
      </c>
      <c r="R22" s="30">
        <f>IF(P22=0,"",(M22-P22)/ABS(P22))</f>
        <v>0.14937183328325046</v>
      </c>
      <c r="T22" s="32">
        <f>+E32/C32</f>
        <v>0.81728275492739821</v>
      </c>
      <c r="U22" s="31"/>
      <c r="AE22" s="30"/>
      <c r="AF22" s="78"/>
      <c r="AG22" s="33"/>
    </row>
    <row r="23" spans="2:33" x14ac:dyDescent="0.2">
      <c r="J23" s="30"/>
      <c r="R23" s="30"/>
      <c r="T23" s="32">
        <f>+E33/C33</f>
        <v>0.79602428451271712</v>
      </c>
      <c r="U23" s="84">
        <v>2101</v>
      </c>
      <c r="V23" s="18" t="s">
        <v>41</v>
      </c>
      <c r="W23" s="28">
        <f>'COLOMB$ '!U23/Paramet!$D$10*1000</f>
        <v>0</v>
      </c>
      <c r="X23" s="28">
        <f>'COLOMB$ '!V23/Paramet!$D$8*1000</f>
        <v>34621.186462101374</v>
      </c>
      <c r="Y23" s="28">
        <f>'COLOMB$ '!W23/Paramet!$D$9*1000</f>
        <v>41410.019190386723</v>
      </c>
      <c r="Z23" s="28">
        <f>'COLOMB$ '!X23/Paramet!$D$10*1000</f>
        <v>124936.76470588235</v>
      </c>
      <c r="AA23" s="28">
        <f>'COLOMB$ '!Y23/Paramet!$D$8*1000</f>
        <v>207045.39998960542</v>
      </c>
      <c r="AB23" s="31">
        <f>+AA23-Z23</f>
        <v>82108.635283723066</v>
      </c>
      <c r="AC23" s="32">
        <f>IF(Z23=0,"",(AA23-Z23)/ABS(Z23)+1)</f>
        <v>1.6572015489357166</v>
      </c>
      <c r="AD23" s="28">
        <f>'COLOMB$ '!AB23/Paramet!$D$9*1000</f>
        <v>164557.44205206525</v>
      </c>
      <c r="AE23" s="30">
        <f>IF(AD23=0,"",(AA23-AD23)/ABS(AD23))</f>
        <v>0.25819529890417942</v>
      </c>
      <c r="AF23" s="78"/>
    </row>
    <row r="24" spans="2:33" x14ac:dyDescent="0.2">
      <c r="B24" s="18" t="s">
        <v>42</v>
      </c>
      <c r="C24" s="28">
        <f>C20-C22</f>
        <v>250930.88235294115</v>
      </c>
      <c r="D24" s="29">
        <f>+C24/$C$20</f>
        <v>0.91312049146991459</v>
      </c>
      <c r="E24" s="28">
        <f>E20-E22</f>
        <v>187986.12866200996</v>
      </c>
      <c r="F24" s="29">
        <f>+E24/$E$20</f>
        <v>0.86028996673862967</v>
      </c>
      <c r="G24" s="29">
        <f>IF(C24=0,"",(E24-C24)/ABS(C24)+1)</f>
        <v>0.74915501391973871</v>
      </c>
      <c r="H24" s="28">
        <f>+'COL. CONS.$'!H24/Paramet!$D$9*1000</f>
        <v>207892.56733464624</v>
      </c>
      <c r="I24" s="29">
        <f>+H24/$H$20</f>
        <v>0.82898031823624252</v>
      </c>
      <c r="J24" s="30">
        <f>IF(H24=0,"",(E24-H24)/ABS(H24))</f>
        <v>-9.5753489063381186E-2</v>
      </c>
      <c r="K24" s="28">
        <f>K20-K22</f>
        <v>2754821.4705882352</v>
      </c>
      <c r="L24" s="29">
        <f>+K24/$K$20</f>
        <v>0.90962825288197113</v>
      </c>
      <c r="M24" s="28">
        <f>M20-M22</f>
        <v>1898497.637923579</v>
      </c>
      <c r="N24" s="29">
        <f>+M24/$M$20</f>
        <v>0.8959384635944021</v>
      </c>
      <c r="O24" s="29">
        <f>IF(K24=0,"",(M24-K24)/ABS(K24)+1)</f>
        <v>0.68915450899190001</v>
      </c>
      <c r="P24" s="28">
        <f>P20-P22</f>
        <v>1907742.0008389517</v>
      </c>
      <c r="Q24" s="29">
        <f>+P24/$P$20</f>
        <v>0.90862515030850199</v>
      </c>
      <c r="R24" s="30">
        <f>IF(P24=0,"",(M24-P24)/ABS(P24))</f>
        <v>-4.8457091741479679E-3</v>
      </c>
      <c r="T24" s="32">
        <f>+E34/C34</f>
        <v>0.81312789347862213</v>
      </c>
      <c r="U24" s="31" t="s">
        <v>101</v>
      </c>
      <c r="AE24" s="30"/>
      <c r="AF24" s="78"/>
    </row>
    <row r="25" spans="2:33" x14ac:dyDescent="0.2">
      <c r="J25" s="30"/>
      <c r="R25" s="30"/>
      <c r="T25" s="32">
        <f>+E36/C36</f>
        <v>0.48217904745299306</v>
      </c>
      <c r="U25" s="84" t="s">
        <v>102</v>
      </c>
      <c r="V25" s="18" t="s">
        <v>43</v>
      </c>
      <c r="W25" s="28">
        <f>'COLOMB$ '!U25/Paramet!$D$10*1000</f>
        <v>16311.470588235296</v>
      </c>
      <c r="X25" s="28">
        <f>'COLOMB$ '!V25/Paramet!$D$8*1000</f>
        <v>10497.916028439568</v>
      </c>
      <c r="Y25" s="28">
        <f>'COLOMB$ '!W25/Paramet!$D$9*1000</f>
        <v>17479.692092254521</v>
      </c>
      <c r="Z25" s="28">
        <f>'COLOMB$ '!X25/Paramet!$D$10*1000</f>
        <v>610068.23529411771</v>
      </c>
      <c r="AA25" s="28">
        <f>'COLOMB$ '!Y25/Paramet!$D$8*1000</f>
        <v>406020.30735104572</v>
      </c>
      <c r="AB25" s="31">
        <f>+AA25-Z25</f>
        <v>-204047.92794307199</v>
      </c>
      <c r="AC25" s="32">
        <f>IF(Z25=0,"",(AA25-Z25)/ABS(Z25)+1)</f>
        <v>0.66553261399571273</v>
      </c>
      <c r="AD25" s="28">
        <f>'COLOMB$ '!AB25/Paramet!$D$9*1000</f>
        <v>450355.09243285877</v>
      </c>
      <c r="AE25" s="30">
        <f>IF(AD25=0,"",(AA25-AD25)/ABS(AD25))</f>
        <v>-9.844406297775507E-2</v>
      </c>
    </row>
    <row r="26" spans="2:33" x14ac:dyDescent="0.2">
      <c r="B26" s="18" t="s">
        <v>44</v>
      </c>
      <c r="C26" s="28">
        <f>+'COL. CONS.$'!C26/Paramet!$D$10*1000</f>
        <v>56457.352941176476</v>
      </c>
      <c r="D26" s="29">
        <f>+C26/$C$20</f>
        <v>0.20544448487702555</v>
      </c>
      <c r="E26" s="28">
        <f>+'COL. CONS.$'!E26/Paramet!$D$8*1000</f>
        <v>51061.46146106191</v>
      </c>
      <c r="F26" s="29">
        <f>+E26/$E$20</f>
        <v>0.2336750232297331</v>
      </c>
      <c r="G26" s="29">
        <f>IF(C26=0,"",(E26-C26)/ABS(C26)+1)</f>
        <v>0.90442535473215324</v>
      </c>
      <c r="H26" s="28">
        <f>+'COL. CONS.$'!H26/Paramet!$D$9*1000</f>
        <v>62601.261810628064</v>
      </c>
      <c r="I26" s="29">
        <f>+H26/$H$20</f>
        <v>0.24962515304469096</v>
      </c>
      <c r="J26" s="30">
        <f>IF(H26=0,"",(E26-H26)/ABS(H26))</f>
        <v>-0.18433814296706391</v>
      </c>
      <c r="K26" s="28">
        <f>+'COL. CONS.$'!K26/Paramet!$D$10*1000</f>
        <v>703480.8823529412</v>
      </c>
      <c r="L26" s="29">
        <f>+K26/$K$20</f>
        <v>0.23228586417759212</v>
      </c>
      <c r="M26" s="28">
        <f>+'COL. CONS.$'!M26/Paramet!$D$8*1000</f>
        <v>501064.98134173214</v>
      </c>
      <c r="N26" s="29">
        <f>+M26/$M$20</f>
        <v>0.23646244302693201</v>
      </c>
      <c r="O26" s="29">
        <f>IF(K26=0,"",(M26-K26)/ABS(K26)+1)</f>
        <v>0.71226524261158874</v>
      </c>
      <c r="P26" s="28">
        <f>+'COL. CONS.$'!P26/Paramet!$D$9*1000</f>
        <v>530961.68563182594</v>
      </c>
      <c r="Q26" s="29">
        <f>+P26/$P$20</f>
        <v>0.25288804314373359</v>
      </c>
      <c r="R26" s="30">
        <f>IF(P26=0,"",(M26-P26)/ABS(P26))</f>
        <v>-5.6306707431286226E-2</v>
      </c>
      <c r="T26" s="32">
        <f>+E38/C38</f>
        <v>1.3297800958119782E-2</v>
      </c>
      <c r="U26" s="84" t="s">
        <v>103</v>
      </c>
      <c r="AE26" s="30"/>
    </row>
    <row r="27" spans="2:33" x14ac:dyDescent="0.2">
      <c r="B27" s="18" t="s">
        <v>45</v>
      </c>
      <c r="C27" s="28">
        <f>+'COL. CONS.$'!C27/Paramet!$D$10*1000</f>
        <v>83328.529411764699</v>
      </c>
      <c r="D27" s="29">
        <f>+C27/$C$20</f>
        <v>0.30322687672581716</v>
      </c>
      <c r="E27" s="28">
        <f>+'COL. CONS.$'!E27/Paramet!$D$8*1000</f>
        <v>63673.703629786702</v>
      </c>
      <c r="F27" s="29">
        <f>+E27/$E$20</f>
        <v>0.29139303398434524</v>
      </c>
      <c r="G27" s="29">
        <f>IF(C27=0,"",(E27-C27)/ABS(C27)+1)</f>
        <v>0.76412849331764354</v>
      </c>
      <c r="H27" s="28">
        <f>+'COL. CONS.$'!H27/Paramet!$D$9*1000</f>
        <v>93656.627472897337</v>
      </c>
      <c r="I27" s="29">
        <f>+H27/$H$20</f>
        <v>0.37345972413933759</v>
      </c>
      <c r="J27" s="30">
        <f>IF(H27=0,"",(E27-H27)/ABS(H27))</f>
        <v>-0.32013670203731381</v>
      </c>
      <c r="K27" s="28">
        <f>+'COL. CONS.$'!K27/Paramet!$D$10*1000</f>
        <v>992955</v>
      </c>
      <c r="L27" s="29">
        <f>+K27/$K$20</f>
        <v>0.32786876807938981</v>
      </c>
      <c r="M27" s="28">
        <f>+'COL. CONS.$'!M27/Paramet!$D$8*1000</f>
        <v>716176.03602137126</v>
      </c>
      <c r="N27" s="29">
        <f>+M27/$M$20</f>
        <v>0.33797759057414489</v>
      </c>
      <c r="O27" s="29">
        <f>IF(K27=0,"",(M27-K27)/ABS(K27)+1)</f>
        <v>0.72125729365517199</v>
      </c>
      <c r="P27" s="28">
        <f>+'COL. CONS.$'!P27/Paramet!$D$9*1000</f>
        <v>908879.12149474025</v>
      </c>
      <c r="Q27" s="29">
        <f>+P27/$P$20</f>
        <v>0.43288370650604174</v>
      </c>
      <c r="R27" s="30">
        <f>IF(P27=0,"",(M27-P27)/ABS(P27))</f>
        <v>-0.21202278819701567</v>
      </c>
      <c r="T27" s="32">
        <f>+E39/C39</f>
        <v>1.1502860981982128</v>
      </c>
      <c r="U27" s="31"/>
      <c r="V27" s="18" t="s">
        <v>46</v>
      </c>
      <c r="W27" s="28">
        <f>'COLOMB$ '!U27/Paramet!$D$10*1000</f>
        <v>45621.764705882357</v>
      </c>
      <c r="X27" s="28">
        <f>'COLOMB$ '!V27/Paramet!$D$8*1000</f>
        <v>-20432.170464845542</v>
      </c>
      <c r="Y27" s="28">
        <f>'COLOMB$ '!W27/Paramet!$D$9*1000</f>
        <v>13717.824320047423</v>
      </c>
      <c r="Z27" s="28">
        <f>'COLOMB$ '!X27/Paramet!$D$10*1000</f>
        <v>88623.23529411765</v>
      </c>
      <c r="AA27" s="28">
        <f>'COLOMB$ '!Y27/Paramet!$D$8*1000</f>
        <v>-26167.856155669208</v>
      </c>
      <c r="AB27" s="31">
        <f>+AA27-Z27</f>
        <v>-114791.09144978685</v>
      </c>
      <c r="AC27" s="32">
        <f>IF(Z27=0,"",(AA27-Z27)/ABS(Z27)+1)</f>
        <v>-0.29527082901932933</v>
      </c>
      <c r="AD27" s="28">
        <f>'COLOMB$ '!AB27/Paramet!$D$9*1000</f>
        <v>62965.700697786582</v>
      </c>
      <c r="AE27" s="30">
        <f>IF(AD27=0,"",(AA27-AD27)/ABS(AD27))</f>
        <v>-1.4155890566717551</v>
      </c>
    </row>
    <row r="28" spans="2:33" x14ac:dyDescent="0.2">
      <c r="B28" s="18" t="s">
        <v>47</v>
      </c>
      <c r="C28" s="28">
        <f>SUM(C26:C27)</f>
        <v>139785.88235294117</v>
      </c>
      <c r="D28" s="29">
        <f>+C28/$C$20</f>
        <v>0.50867136160284265</v>
      </c>
      <c r="E28" s="28">
        <f>SUM(E26:E27)</f>
        <v>114735.1650908486</v>
      </c>
      <c r="F28" s="29">
        <f>+E28/$E$20</f>
        <v>0.52506805721407834</v>
      </c>
      <c r="G28" s="29">
        <f>IF(C28=0,"",(E28-C28)/ABS(C28)+1)</f>
        <v>0.82079222278797248</v>
      </c>
      <c r="H28" s="28">
        <f>+'COL. CONS.$'!H28/Paramet!$D$9*1000</f>
        <v>156257.88928352544</v>
      </c>
      <c r="I28" s="29">
        <f>+H28/$H$20</f>
        <v>0.62308487718402872</v>
      </c>
      <c r="J28" s="30">
        <f>IF(H28=0,"",(E28-H28)/ABS(H28))</f>
        <v>-0.26573201764766607</v>
      </c>
      <c r="K28" s="28">
        <f>SUM(K26:K27)</f>
        <v>1696435.8823529412</v>
      </c>
      <c r="L28" s="29">
        <f>+K28/$K$20</f>
        <v>0.56015463225698192</v>
      </c>
      <c r="M28" s="28">
        <f>SUM(M26:M27)</f>
        <v>1217241.0173631033</v>
      </c>
      <c r="N28" s="29">
        <f>+M28/$M$20</f>
        <v>0.57444003360107687</v>
      </c>
      <c r="O28" s="29">
        <f>IF(K28=0,"",(M28-K28)/ABS(K28)+1)</f>
        <v>0.71752845481834604</v>
      </c>
      <c r="P28" s="28">
        <f>SUM(P26:P27)</f>
        <v>1439840.8071265663</v>
      </c>
      <c r="Q28" s="29">
        <f>+P28/$P$20</f>
        <v>0.68577174964977539</v>
      </c>
      <c r="R28" s="30">
        <f>IF(P28=0,"",(M28-P28)/ABS(P28))</f>
        <v>-0.15460027849029825</v>
      </c>
      <c r="T28" s="32">
        <f>+E41/C41</f>
        <v>0.33762717165830214</v>
      </c>
      <c r="U28" s="16"/>
      <c r="V28" s="18" t="s">
        <v>48</v>
      </c>
      <c r="W28" s="28">
        <f>'COLOMB$ '!U28/Paramet!$D$10*1000</f>
        <v>0</v>
      </c>
      <c r="X28" s="28">
        <f>'COLOMB$ '!V28/Paramet!$D$8*1000</f>
        <v>1984.8316078333542</v>
      </c>
      <c r="Y28" s="28">
        <f>'COLOMB$ '!W28/Paramet!$D$9*1000</f>
        <v>0</v>
      </c>
      <c r="Z28" s="28">
        <f>'COLOMB$ '!X28/Paramet!$D$10*1000</f>
        <v>182352.94117647057</v>
      </c>
      <c r="AA28" s="28">
        <f>'COLOMB$ '!Y28/Paramet!$D$8*1000</f>
        <v>120911.7169764251</v>
      </c>
      <c r="AB28" s="31">
        <f>+AA28-Z28</f>
        <v>-61441.224200045472</v>
      </c>
      <c r="AC28" s="32">
        <f>IF(Z28=0,"",(AA28-Z28)/ABS(Z28)+1)</f>
        <v>0.66306425438684746</v>
      </c>
      <c r="AD28" s="28">
        <f>'COLOMB$ '!AB28/Paramet!$D$9*1000</f>
        <v>0</v>
      </c>
      <c r="AE28" s="30" t="str">
        <f>IF(AD28=0,"",(AA28-AD28)/ABS(AD28))</f>
        <v/>
      </c>
    </row>
    <row r="29" spans="2:33" x14ac:dyDescent="0.2">
      <c r="J29" s="30"/>
      <c r="R29" s="30"/>
      <c r="T29" s="23">
        <f>+E42/C42</f>
        <v>0.54288754754152047</v>
      </c>
      <c r="U29" s="23"/>
      <c r="AE29" s="2"/>
    </row>
    <row r="30" spans="2:33" x14ac:dyDescent="0.2">
      <c r="B30" s="18" t="s">
        <v>49</v>
      </c>
      <c r="C30" s="28">
        <f>+'COL. CONS.$'!C30/Paramet!$D$10*1000</f>
        <v>15155.294117647059</v>
      </c>
      <c r="D30" s="29">
        <f>+C30/$C$20</f>
        <v>5.5149089196652193E-2</v>
      </c>
      <c r="E30" s="28">
        <f>+'COL. CONS.$'!E30/Paramet!$D$8*1000</f>
        <v>11054.536193921253</v>
      </c>
      <c r="F30" s="29">
        <f>+E30/$E$20</f>
        <v>5.0589405943234286E-2</v>
      </c>
      <c r="G30" s="29">
        <f>IF(C30=0,"",(E30-C30)/ABS(C30)+1)</f>
        <v>0.7294174635020233</v>
      </c>
      <c r="H30" s="28">
        <f>+'COL. CONS.$'!H30/Paramet!$D$9*1000</f>
        <v>10017.325166534378</v>
      </c>
      <c r="I30" s="29">
        <f>+H30/$H$20</f>
        <v>3.9944503600565534E-2</v>
      </c>
      <c r="J30" s="30">
        <f>IF(H30=0,"",(E30-H30)/ABS(H30))</f>
        <v>0.10354171499313636</v>
      </c>
      <c r="K30" s="28">
        <f>+'COL. CONS.$'!K30/Paramet!$D$10*1000</f>
        <v>190244.70588235295</v>
      </c>
      <c r="L30" s="29">
        <f>+K30/$K$20</f>
        <v>6.2817849098169509E-2</v>
      </c>
      <c r="M30" s="28">
        <f>+'COL. CONS.$'!M30/Paramet!$D$8*1000</f>
        <v>128335.82217579312</v>
      </c>
      <c r="N30" s="29">
        <f>+M30/$M$20</f>
        <v>6.0564204583399575E-2</v>
      </c>
      <c r="O30" s="29">
        <f>IF(K30=0,"",(M30-K30)/ABS(K30)+1)</f>
        <v>0.67458288303252867</v>
      </c>
      <c r="P30" s="28">
        <f>+'COL. CONS.$'!P30/Paramet!$D$9*1000</f>
        <v>122950.17518512192</v>
      </c>
      <c r="Q30" s="29">
        <f>+P30/$P$20</f>
        <v>5.8559082600744661E-2</v>
      </c>
      <c r="R30" s="30">
        <f>IF(P30=0,"",(M30-P30)/ABS(P30))</f>
        <v>4.3803491801148023E-2</v>
      </c>
      <c r="T30" s="32">
        <f>+E43/C43</f>
        <v>0.21378108730305004</v>
      </c>
      <c r="U30" s="16"/>
      <c r="V30" s="35" t="s">
        <v>50</v>
      </c>
      <c r="W30" s="36">
        <f>+W21-W23-W25-W27-W28</f>
        <v>43819.411764705867</v>
      </c>
      <c r="X30" s="36">
        <f>+X21-X23-X25-X27-X28</f>
        <v>6674.7178620431732</v>
      </c>
      <c r="Y30" s="36">
        <f>+Y21-Y23-Y25-Y27-Y28</f>
        <v>121671.12692531824</v>
      </c>
      <c r="Z30" s="36">
        <f>'COLOMB$ '!X30/Paramet!$D$10*1000</f>
        <v>43819.411764705881</v>
      </c>
      <c r="AA30" s="36">
        <f>+'COL. CONS.$'!Y30/Paramet!D8*1000</f>
        <v>6674.730934264584</v>
      </c>
      <c r="AB30" s="40">
        <f>+AA30-Z30</f>
        <v>-37144.680830441299</v>
      </c>
      <c r="AC30" s="41">
        <f>IF(W30=0,"",(X30-W30)/ABS(W30)+1)</f>
        <v>0.15232331045163172</v>
      </c>
      <c r="AD30" s="36">
        <f>+AD21-AD23-AD25-AD27-AD28</f>
        <v>121671.08000934432</v>
      </c>
      <c r="AE30" s="30">
        <f>IF(AD30=0,"",(AA30-AD30)/ABS(AD30))</f>
        <v>-0.94514118775183087</v>
      </c>
    </row>
    <row r="31" spans="2:33" x14ac:dyDescent="0.2">
      <c r="J31" s="30"/>
      <c r="R31" s="30"/>
      <c r="T31" s="32">
        <f>+E45/C45</f>
        <v>0.59298638674321624</v>
      </c>
      <c r="U31" s="16"/>
      <c r="W31" s="78"/>
      <c r="X31" s="78"/>
      <c r="Y31" s="78"/>
      <c r="Z31" s="78"/>
      <c r="AA31" s="78"/>
      <c r="AB31" s="78"/>
    </row>
    <row r="32" spans="2:33" x14ac:dyDescent="0.2">
      <c r="B32" s="18" t="s">
        <v>51</v>
      </c>
      <c r="C32" s="28">
        <f>+'COL. CONS.$'!C31/Paramet!$D$10*1000</f>
        <v>47484.411764705881</v>
      </c>
      <c r="D32" s="29">
        <f>+C32/$C$20</f>
        <v>0.17279255945373206</v>
      </c>
      <c r="E32" s="28">
        <f>+'COL. CONS.$'!E31/Paramet!$D$8*1000</f>
        <v>38808.190863165779</v>
      </c>
      <c r="F32" s="29">
        <f>+E32/$E$20</f>
        <v>0.17759979134889384</v>
      </c>
      <c r="G32" s="29">
        <f>IF(C32=0,"",(E32-C32)/ABS(C32)+1)</f>
        <v>0.81728275492739821</v>
      </c>
      <c r="H32" s="28">
        <f>+'COL. CONS.$'!H31/Paramet!$D$9*1000</f>
        <v>41352.60452230004</v>
      </c>
      <c r="I32" s="29">
        <f>+H32/$H$20</f>
        <v>0.1648952422700721</v>
      </c>
      <c r="J32" s="30">
        <f>IF(H32=0,"",(E32-H32)/ABS(H32))</f>
        <v>-6.1529707464064234E-2</v>
      </c>
      <c r="K32" s="28">
        <f>+'COL. CONS.$'!K31/Paramet!$D$10*1000</f>
        <v>606622.3529411765</v>
      </c>
      <c r="L32" s="29">
        <f>+K32/$K$20</f>
        <v>0.20030366285304405</v>
      </c>
      <c r="M32" s="28">
        <f>+'COL. CONS.$'!M31/Paramet!$D$8*1000</f>
        <v>427554.5640513908</v>
      </c>
      <c r="N32" s="29">
        <f>+M32/$M$20</f>
        <v>0.20177142787385288</v>
      </c>
      <c r="O32" s="29">
        <f>IF(K32=0,"",(M32-K32)/ABS(K32)+1)</f>
        <v>0.70481175310869282</v>
      </c>
      <c r="P32" s="28">
        <f>+'COL. CONS.$'!P31/Paramet!$D$9*1000</f>
        <v>466639.806935667</v>
      </c>
      <c r="Q32" s="29">
        <f>+P32/$P$20</f>
        <v>0.22225262353630185</v>
      </c>
      <c r="R32" s="30">
        <f>IF(P32=0,"",(M32-P32)/ABS(P32))</f>
        <v>-8.3758912770304367E-2</v>
      </c>
      <c r="T32" s="32">
        <f>+E46/C46</f>
        <v>0.71184096645056549</v>
      </c>
      <c r="U32" s="16"/>
    </row>
    <row r="33" spans="2:27" x14ac:dyDescent="0.2">
      <c r="B33" s="18" t="s">
        <v>52</v>
      </c>
      <c r="C33" s="28">
        <f>SUM(C30:C32)</f>
        <v>62639.705882352937</v>
      </c>
      <c r="D33" s="29">
        <f>+C33/$C$20</f>
        <v>0.22794164865038424</v>
      </c>
      <c r="E33" s="28">
        <f>SUM(E30:E32)</f>
        <v>49862.727057087031</v>
      </c>
      <c r="F33" s="29">
        <f>+E33/$E$20</f>
        <v>0.22818919729212811</v>
      </c>
      <c r="G33" s="29">
        <f>IF(C33=0,"",(E33-C33)/ABS(C33)+1)</f>
        <v>0.79602428451271701</v>
      </c>
      <c r="H33" s="28">
        <f>SUM(H30:H32)</f>
        <v>51369.929688834418</v>
      </c>
      <c r="I33" s="29">
        <f>+H33/$H$20</f>
        <v>0.20483974587063764</v>
      </c>
      <c r="J33" s="30">
        <f>IF(H33=0,"",(E33-H33)/ABS(H33))</f>
        <v>-2.9340173149487229E-2</v>
      </c>
      <c r="K33" s="28">
        <f>SUM(K30:K32)</f>
        <v>796867.0588235294</v>
      </c>
      <c r="L33" s="29">
        <f>+K33/$K$20</f>
        <v>0.26312151195121353</v>
      </c>
      <c r="M33" s="28">
        <f>SUM(M30:M32)</f>
        <v>555890.38622718398</v>
      </c>
      <c r="N33" s="29">
        <f>+M33/$M$20</f>
        <v>0.2623356324572525</v>
      </c>
      <c r="O33" s="29">
        <f>IF(K33=0,"",(M33-K33)/ABS(K33)+1)</f>
        <v>0.69759488746828591</v>
      </c>
      <c r="P33" s="28">
        <f>SUM(P30:P32)</f>
        <v>589589.98212078889</v>
      </c>
      <c r="Q33" s="29">
        <f>+P33/$P$20</f>
        <v>0.28081170613704648</v>
      </c>
      <c r="R33" s="30">
        <f>IF(P33=0,"",(M33-P33)/ABS(P33))</f>
        <v>-5.7157680617953413E-2</v>
      </c>
    </row>
    <row r="34" spans="2:27" x14ac:dyDescent="0.2">
      <c r="B34" s="18" t="s">
        <v>53</v>
      </c>
      <c r="C34" s="28">
        <f>+C28+C33</f>
        <v>202425.5882352941</v>
      </c>
      <c r="D34" s="29">
        <f>+C34/$C$20</f>
        <v>0.7366130102532269</v>
      </c>
      <c r="E34" s="28">
        <f>+E28+E33</f>
        <v>164597.89214793564</v>
      </c>
      <c r="F34" s="29">
        <f>+E34/$E$20</f>
        <v>0.7532572545062064</v>
      </c>
      <c r="G34" s="29">
        <f>IF(C34=0,"",(E34-C34)/ABS(C34)+1)</f>
        <v>0.81312789347862213</v>
      </c>
      <c r="H34" s="28">
        <f>+H28+H33</f>
        <v>207627.81897235985</v>
      </c>
      <c r="I34" s="29">
        <f>+H34/$H$20</f>
        <v>0.8279246230546663</v>
      </c>
      <c r="J34" s="30">
        <f>IF(H34=0,"",(E34-H34)/ABS(H34))</f>
        <v>-0.20724547913375957</v>
      </c>
      <c r="K34" s="28">
        <f>+K28+K33</f>
        <v>2493302.9411764704</v>
      </c>
      <c r="L34" s="29">
        <f>+K34/$K$20</f>
        <v>0.82327614420819539</v>
      </c>
      <c r="M34" s="28">
        <f>+M28+M33</f>
        <v>1773131.4035902873</v>
      </c>
      <c r="N34" s="29">
        <f>+M34/$M$20</f>
        <v>0.83677566605832931</v>
      </c>
      <c r="O34" s="29">
        <f>IF(K34=0,"",(M34-K34)/ABS(K34)+1)</f>
        <v>0.71115762722103537</v>
      </c>
      <c r="P34" s="28">
        <f>+P28+P33</f>
        <v>2029430.7892473552</v>
      </c>
      <c r="Q34" s="29">
        <f>+P34/$P$20</f>
        <v>0.96658345578682192</v>
      </c>
      <c r="R34" s="30">
        <f>IF(P34=0,"",(M34-P34)/ABS(P34))</f>
        <v>-0.12629126699714668</v>
      </c>
    </row>
    <row r="35" spans="2:27" x14ac:dyDescent="0.2">
      <c r="J35" s="30"/>
      <c r="R35" s="30"/>
    </row>
    <row r="36" spans="2:27" x14ac:dyDescent="0.2">
      <c r="B36" s="18" t="s">
        <v>54</v>
      </c>
      <c r="C36" s="28">
        <f>C24-C34</f>
        <v>48505.294117647049</v>
      </c>
      <c r="D36" s="29">
        <f>+C36/$C$20</f>
        <v>0.17650748121668769</v>
      </c>
      <c r="E36" s="28">
        <f>E24-E34</f>
        <v>23388.23651407432</v>
      </c>
      <c r="F36" s="29">
        <f>+E36/$E$20</f>
        <v>0.10703271223242324</v>
      </c>
      <c r="G36" s="29">
        <f>IF(C36=0,"",(E36-C36)/ABS(C36)+1)</f>
        <v>0.482179047452993</v>
      </c>
      <c r="H36" s="28">
        <f>H24-H34</f>
        <v>264.74836228639469</v>
      </c>
      <c r="I36" s="29">
        <f>+H36/$H$20</f>
        <v>1.0556951815762373E-3</v>
      </c>
      <c r="J36" s="30">
        <f>IF(H36=0,"",(E36-H36)/ABS(H36))</f>
        <v>87.341383161319868</v>
      </c>
      <c r="K36" s="28">
        <f>K24-K34</f>
        <v>261518.52941176482</v>
      </c>
      <c r="L36" s="29">
        <f>+K36/$K$20</f>
        <v>8.635210867377574E-2</v>
      </c>
      <c r="M36" s="28">
        <f>M24-M34</f>
        <v>125366.23433329165</v>
      </c>
      <c r="N36" s="29">
        <f>+M36/$M$20</f>
        <v>5.916279753607278E-2</v>
      </c>
      <c r="O36" s="29">
        <f>IF(K36=0,"",(M36-K36)/ABS(K36)+1)</f>
        <v>0.47937801812850001</v>
      </c>
      <c r="P36" s="28">
        <f>P24-P34</f>
        <v>-121688.78840840352</v>
      </c>
      <c r="Q36" s="29">
        <f>+P36/$P$20</f>
        <v>-5.7958305478319878E-2</v>
      </c>
      <c r="R36" s="30">
        <f>IF(P36=0,"",(M36-P36)/ABS(P36))</f>
        <v>2.0302200882512378</v>
      </c>
      <c r="Z36" s="33"/>
      <c r="AA36" s="33"/>
    </row>
    <row r="37" spans="2:27" ht="11.25" customHeight="1" x14ac:dyDescent="0.2">
      <c r="J37" s="30"/>
      <c r="R37" s="30"/>
    </row>
    <row r="38" spans="2:27" x14ac:dyDescent="0.2">
      <c r="B38" s="18" t="s">
        <v>55</v>
      </c>
      <c r="C38" s="28">
        <f>+'COL. CONS.$'!C38/Paramet!$D$10*1000</f>
        <v>10670.294117647058</v>
      </c>
      <c r="D38" s="29">
        <f>+C38/$C$20</f>
        <v>3.8828477856026715E-2</v>
      </c>
      <c r="E38" s="28">
        <f>+'COL. CONS.$'!E38/Paramet!$D$8*1000</f>
        <v>141.89144734106691</v>
      </c>
      <c r="F38" s="29">
        <f>+E38/$E$20</f>
        <v>6.493446584721924E-4</v>
      </c>
      <c r="G38" s="29">
        <f>IF(C38=0,"",(E38-C38)/ABS(C38)+1)</f>
        <v>1.3297800958119832E-2</v>
      </c>
      <c r="H38" s="28">
        <f>+'COL. CONS.$'!H38/Paramet!$D$9*1000</f>
        <v>27242.806541309565</v>
      </c>
      <c r="I38" s="29">
        <f>+H38/$H$20</f>
        <v>0.1086318319399556</v>
      </c>
      <c r="J38" s="30">
        <f>IF(H38=0,"",(E38-H38)/ABS(H38))</f>
        <v>-0.99479159949523155</v>
      </c>
      <c r="K38" s="28">
        <f>+'COL. CONS.$'!K38/Paramet!$D$10*1000</f>
        <v>12740.882352941177</v>
      </c>
      <c r="L38" s="29">
        <f>+K38/$K$20</f>
        <v>4.2069755440108172E-3</v>
      </c>
      <c r="M38" s="28">
        <f>+'COL. CONS.$'!M38/Paramet!$D$8*1000</f>
        <v>5165.4823728743095</v>
      </c>
      <c r="N38" s="29">
        <f>+M38/$M$20</f>
        <v>2.4376929675502005E-3</v>
      </c>
      <c r="O38" s="29">
        <f>IF(K38=0,"",(M38-K38)/ABS(K38)+1)</f>
        <v>0.4054257962504364</v>
      </c>
      <c r="P38" s="28">
        <f>+'COL. CONS.$'!P38/Paramet!$D$9*1000</f>
        <v>82336.437671432446</v>
      </c>
      <c r="Q38" s="29">
        <f>+P38/$P$20</f>
        <v>3.9215448431796356E-2</v>
      </c>
      <c r="R38" s="30">
        <f>IF(P38=0,"",(M38-P38)/ABS(P38))</f>
        <v>-0.93726371313892132</v>
      </c>
    </row>
    <row r="39" spans="2:27" x14ac:dyDescent="0.2">
      <c r="B39" s="18" t="s">
        <v>56</v>
      </c>
      <c r="C39" s="28">
        <f>+'COL. CONS.$'!C39/Paramet!$D$10*1000</f>
        <v>4369.411764705882</v>
      </c>
      <c r="D39" s="29">
        <f>+C39/$C$20</f>
        <v>1.5899993578354775E-2</v>
      </c>
      <c r="E39" s="28">
        <f>+'COL. CONS.$'!E39/Paramet!$D$8*1000</f>
        <v>5026.0736102448964</v>
      </c>
      <c r="F39" s="29">
        <f>+E39/$E$20</f>
        <v>2.3001062523914286E-2</v>
      </c>
      <c r="G39" s="29">
        <f>IF(C39=0,"",(E39-C39)/ABS(C39)+1)</f>
        <v>1.1502860981982128</v>
      </c>
      <c r="H39" s="28">
        <f>+'COL. CONS.$'!H39/Paramet!$D$9*1000</f>
        <v>30880.404193752573</v>
      </c>
      <c r="I39" s="29">
        <f>+H39/$H$20</f>
        <v>0.12313690491201403</v>
      </c>
      <c r="J39" s="30">
        <f>IF(H39=0,"",(E39-H39)/ABS(H39))</f>
        <v>-0.83724067927641554</v>
      </c>
      <c r="K39" s="28">
        <f>+'COL. CONS.$'!K39/Paramet!$D$10*1000</f>
        <v>52673.529411764706</v>
      </c>
      <c r="L39" s="29">
        <f>+K39/$K$20</f>
        <v>1.7392535612015449E-2</v>
      </c>
      <c r="M39" s="28">
        <f>+'COL. CONS.$'!M39/Paramet!$D$8*1000</f>
        <v>49328.124364891271</v>
      </c>
      <c r="N39" s="29">
        <f>+M39/$M$20</f>
        <v>2.3278914375585481E-2</v>
      </c>
      <c r="O39" s="29">
        <f>IF(K39=0,"",(M39-K39)/ABS(K39)+1)</f>
        <v>0.93648792696761585</v>
      </c>
      <c r="P39" s="28">
        <f>+'COL. CONS.$'!P39/Paramet!$D$9*1000</f>
        <v>102347.40838599806</v>
      </c>
      <c r="Q39" s="29">
        <f>+P39/$P$20</f>
        <v>4.874633429861968E-2</v>
      </c>
      <c r="R39" s="30">
        <f>IF(P39=0,"",(M39-P39)/ABS(P39))</f>
        <v>-0.51803250182112326</v>
      </c>
    </row>
    <row r="40" spans="2:27" x14ac:dyDescent="0.2">
      <c r="J40" s="30"/>
      <c r="R40" s="30"/>
    </row>
    <row r="41" spans="2:27" x14ac:dyDescent="0.2">
      <c r="B41" s="18" t="s">
        <v>57</v>
      </c>
      <c r="C41" s="28">
        <f>+C36+C38-C39</f>
        <v>54806.176470588223</v>
      </c>
      <c r="D41" s="29">
        <f>+C41/$C$20</f>
        <v>0.19943596549435963</v>
      </c>
      <c r="E41" s="28">
        <f>E36+E38-E39</f>
        <v>18504.054351170489</v>
      </c>
      <c r="F41" s="29">
        <f>+E41/$E$20</f>
        <v>8.4680994366981135E-2</v>
      </c>
      <c r="G41" s="29">
        <f>IF(C41=0,"",(E41-C41)/ABS(C41)+1)</f>
        <v>0.33762717165830214</v>
      </c>
      <c r="H41" s="28">
        <f>+H36+H38-H39</f>
        <v>-3372.8492901566133</v>
      </c>
      <c r="I41" s="29">
        <f>+H41/$H$20</f>
        <v>-1.3449377790482189E-2</v>
      </c>
      <c r="J41" s="30">
        <f>IF(H41=0,"",(E41-H41)/ABS(H41))</f>
        <v>6.4861788236945745</v>
      </c>
      <c r="K41" s="28">
        <f>K36+K38-K39</f>
        <v>221585.88235294132</v>
      </c>
      <c r="L41" s="29">
        <f>+K41/$K$20</f>
        <v>7.3166548605771126E-2</v>
      </c>
      <c r="M41" s="28">
        <f>M36+M38-M39</f>
        <v>81203.592341274692</v>
      </c>
      <c r="N41" s="29">
        <f>+M41/$M$20</f>
        <v>3.83215761280375E-2</v>
      </c>
      <c r="O41" s="29">
        <f>IF(K41=0,"",(M41-K41)/ABS(K41)+1)</f>
        <v>0.36646555041775564</v>
      </c>
      <c r="P41" s="28">
        <f>P36+P38-P39</f>
        <v>-141699.75912296912</v>
      </c>
      <c r="Q41" s="29">
        <f>+P41/$P$20</f>
        <v>-6.7489191345143196E-2</v>
      </c>
      <c r="R41" s="30">
        <f>IF(P41=0,"",(M41-P41)/ABS(P41))</f>
        <v>1.5730679631629085</v>
      </c>
    </row>
    <row r="42" spans="2:27" x14ac:dyDescent="0.2">
      <c r="B42" s="18" t="s">
        <v>43</v>
      </c>
      <c r="C42" s="28">
        <f>+'COL. CONS.$'!C42/Paramet!$D$10*1000</f>
        <v>20624.117647058825</v>
      </c>
      <c r="D42" s="29">
        <f>+C42/$C$20</f>
        <v>7.5049767750497695E-2</v>
      </c>
      <c r="E42" s="28">
        <f>+'COL. CONS.$'!E42/Paramet!$D$8*1000</f>
        <v>11196.576649619559</v>
      </c>
      <c r="F42" s="29">
        <f>+E42/$E$20</f>
        <v>5.1239432515822199E-2</v>
      </c>
      <c r="G42" s="29">
        <f>IF(C42=0,"",(E42-C42)/ABS(C42)+1)</f>
        <v>0.54288754754152047</v>
      </c>
      <c r="H42" s="28">
        <f>+'COL. CONS.$'!H42/Paramet!$D$9*1000</f>
        <v>-35059.75318751319</v>
      </c>
      <c r="I42" s="29">
        <f>+H42/$H$20</f>
        <v>-0.13980223404468572</v>
      </c>
      <c r="J42" s="30">
        <f>IF(H42=0,"",(E42-H42)/ABS(H42))</f>
        <v>1.3193569729294987</v>
      </c>
      <c r="K42" s="28">
        <f>+'COL. CONS.$'!K42/Paramet!$D$10*1000</f>
        <v>131157.0588235294</v>
      </c>
      <c r="L42" s="29">
        <f>+K42/$K$20</f>
        <v>4.3307403962301053E-2</v>
      </c>
      <c r="M42" s="28">
        <f>+'COL. CONS.$'!M42/Paramet!$D$8*1000</f>
        <v>79168.73705875015</v>
      </c>
      <c r="N42" s="29">
        <f>+M42/$M$20</f>
        <v>3.7361287803709661E-2</v>
      </c>
      <c r="O42" s="29">
        <f>IF(K42=0,"",(M42-K42)/ABS(K42)+1)</f>
        <v>0.60361781339783582</v>
      </c>
      <c r="P42" s="28">
        <f>+'COL. CONS.$'!P42/Paramet!$D$9*1000</f>
        <v>45055.247465562803</v>
      </c>
      <c r="Q42" s="29">
        <f>+P42/$P$20</f>
        <v>2.1459050009163004E-2</v>
      </c>
      <c r="R42" s="30">
        <f>IF(P42=0,"",(M42-P42)/ABS(P42))</f>
        <v>0.75714797969451619</v>
      </c>
    </row>
    <row r="43" spans="2:27" x14ac:dyDescent="0.2">
      <c r="B43" s="35" t="s">
        <v>58</v>
      </c>
      <c r="C43" s="36">
        <f>C41-C42</f>
        <v>34182.058823529398</v>
      </c>
      <c r="D43" s="37">
        <f>+C43/$C$20</f>
        <v>0.12438619774386195</v>
      </c>
      <c r="E43" s="36">
        <f>E41-E42</f>
        <v>7307.4777015509299</v>
      </c>
      <c r="F43" s="37">
        <f>+E43/$E$20</f>
        <v>3.3441561851158937E-2</v>
      </c>
      <c r="G43" s="37">
        <f>IF(C43=0,"",(E43-C43)/ABS(C43)+1)</f>
        <v>0.21378108730305012</v>
      </c>
      <c r="H43" s="36">
        <f>H41-H42</f>
        <v>31686.903897356577</v>
      </c>
      <c r="I43" s="37">
        <f>+H43/$H$20</f>
        <v>0.12635285625420356</v>
      </c>
      <c r="J43" s="38">
        <f>IF(H43=0,"",(E43-H43)/ABS(H43))</f>
        <v>-0.76938492554457028</v>
      </c>
      <c r="K43" s="36">
        <f>K41-K42</f>
        <v>90428.823529411922</v>
      </c>
      <c r="L43" s="37">
        <f>+K43/$K$20</f>
        <v>2.985914464347007E-2</v>
      </c>
      <c r="M43" s="36">
        <f>M41-M42</f>
        <v>2034.8552825245424</v>
      </c>
      <c r="N43" s="37">
        <f>+M43/$M$20</f>
        <v>9.602883243278377E-4</v>
      </c>
      <c r="O43" s="37">
        <f>IF(K43=0,"",(M43-K43)/ABS(K43)+1)</f>
        <v>2.2502286362961588E-2</v>
      </c>
      <c r="P43" s="36">
        <f>P41-P42</f>
        <v>-186755.00658853192</v>
      </c>
      <c r="Q43" s="37">
        <f>+P43/$P$20</f>
        <v>-8.8948241354306207E-2</v>
      </c>
      <c r="R43" s="38">
        <f>IF(P43=0,"",(M43-P43)/ABS(P43))</f>
        <v>1.0108958539837587</v>
      </c>
    </row>
    <row r="44" spans="2:27" x14ac:dyDescent="0.2">
      <c r="J44" s="30"/>
      <c r="R44" s="30"/>
    </row>
    <row r="45" spans="2:27" x14ac:dyDescent="0.2">
      <c r="B45" s="18" t="s">
        <v>59</v>
      </c>
      <c r="C45" s="28">
        <f>+'COL. CONS.$'!C45/Paramet!$D$10*1000</f>
        <v>73261.470588235301</v>
      </c>
      <c r="D45" s="29">
        <f>+C45/$C$20</f>
        <v>0.26659353126270957</v>
      </c>
      <c r="E45" s="28">
        <f>+'COL. CONS.$'!E45/Paramet!$D$8*1000</f>
        <v>43443.054731612057</v>
      </c>
      <c r="F45" s="29">
        <f>+E45/$E$20</f>
        <v>0.19881054190588174</v>
      </c>
      <c r="G45" s="29">
        <f>IF(C45=0,"",(E45-C45)/ABS(C45)+1)</f>
        <v>0.59298638674321613</v>
      </c>
      <c r="H45" s="28">
        <f>+'COL. CONS.$'!H45/Paramet!$D$9*1000</f>
        <v>40175.730375066567</v>
      </c>
      <c r="I45" s="29">
        <f>+H45/$H$20</f>
        <v>0.16020240732361068</v>
      </c>
      <c r="J45" s="30">
        <f>IF(H45=0,"",(E45-H45)/ABS(H45))</f>
        <v>8.1325823477081643E-2</v>
      </c>
      <c r="K45" s="28">
        <f>+'COL. CONS.$'!K45/Paramet!$D$10*1000</f>
        <v>559955</v>
      </c>
      <c r="L45" s="29">
        <f>+K45/$K$20</f>
        <v>0.18489433663146337</v>
      </c>
      <c r="M45" s="28">
        <f>+'COL. CONS.$'!M45/Paramet!$D$8*1000</f>
        <v>362819.03606918594</v>
      </c>
      <c r="N45" s="29">
        <f>+M45/$M$20</f>
        <v>0.1712214559793481</v>
      </c>
      <c r="O45" s="29">
        <f>IF(K45=0,"",(M45-K45)/ABS(K45)+1)</f>
        <v>0.64794320270233485</v>
      </c>
      <c r="P45" s="28">
        <f>+'COL. CONS.$'!P45/Paramet!$D$9*1000</f>
        <v>345453.39673110342</v>
      </c>
      <c r="Q45" s="29">
        <f>+P45/$P$20</f>
        <v>0.16453359227366474</v>
      </c>
      <c r="R45" s="30">
        <f>IF(P45=0,"",(M45-P45)/ABS(P45))</f>
        <v>5.0269123136165633E-2</v>
      </c>
    </row>
    <row r="46" spans="2:27" x14ac:dyDescent="0.2">
      <c r="B46" s="18" t="s">
        <v>34</v>
      </c>
      <c r="C46" s="28">
        <f>+'COL. CONS.$'!C46/Paramet!$D$10*1000</f>
        <v>105945.58823529413</v>
      </c>
      <c r="D46" s="29">
        <f>+C46/$C$20</f>
        <v>0.38552882248432058</v>
      </c>
      <c r="E46" s="28">
        <f>+'COL. CONS.$'!E46/Paramet!$D$8*1000</f>
        <v>75416.409920585429</v>
      </c>
      <c r="F46" s="29">
        <f>+E46/$E$20</f>
        <v>0.34513174585758077</v>
      </c>
      <c r="G46" s="29">
        <f>IF(C46=0,"",(E46-C46)/ABS(C46)+1)</f>
        <v>0.71184096645056538</v>
      </c>
      <c r="H46" s="28">
        <f>+'COL. CONS.$'!H46/Paramet!$D$9*1000</f>
        <v>76270.237066583606</v>
      </c>
      <c r="I46" s="29">
        <f>+H46/$H$20</f>
        <v>0.30413076429824409</v>
      </c>
      <c r="J46" s="30">
        <f>IF(H46=0,"",(E46-H46)/ABS(H46))</f>
        <v>-1.1194761925976307E-2</v>
      </c>
      <c r="K46" s="28">
        <f>+'COL. CONS.$'!K46/Paramet!$D$10*1000</f>
        <v>1290894.117647059</v>
      </c>
      <c r="L46" s="29">
        <f>+K46/$K$20</f>
        <v>0.42624677258674576</v>
      </c>
      <c r="M46" s="28">
        <f>+'COL. CONS.$'!M46/Paramet!$D$8*1000</f>
        <v>879793.59818718571</v>
      </c>
      <c r="N46" s="29">
        <f>+M46/$M$20</f>
        <v>0.41519194382676777</v>
      </c>
      <c r="O46" s="29">
        <f>IF(K46=0,"",(M46-K46)/ABS(K46)+1)</f>
        <v>0.68153815728187284</v>
      </c>
      <c r="P46" s="28">
        <f>+'COL. CONS.$'!P46/Paramet!$D$9*1000</f>
        <v>962845.64473670989</v>
      </c>
      <c r="Q46" s="29">
        <f>+P46/$P$20</f>
        <v>0.45858704598842359</v>
      </c>
      <c r="R46" s="30">
        <f>IF(P46=0,"",(M46-P46)/ABS(P46))</f>
        <v>-8.6256864746202144E-2</v>
      </c>
    </row>
    <row r="48" spans="2:27" x14ac:dyDescent="0.2">
      <c r="P48" s="23"/>
    </row>
  </sheetData>
  <conditionalFormatting sqref="R10:R46">
    <cfRule type="cellIs" dxfId="63" priority="3" operator="lessThan">
      <formula>0</formula>
    </cfRule>
  </conditionalFormatting>
  <conditionalFormatting sqref="J10:J46">
    <cfRule type="cellIs" dxfId="62" priority="2" operator="lessThan">
      <formula>0</formula>
    </cfRule>
  </conditionalFormatting>
  <conditionalFormatting sqref="AE19:AE28 AE30 AE10:AE11 AE13:AE17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CB0DA-9DAB-40DE-9318-E912417CED13}">
  <sheetPr>
    <tabColor theme="0" tint="-0.249977111117893"/>
  </sheetPr>
  <dimension ref="A1:AI68"/>
  <sheetViews>
    <sheetView showGridLines="0" tabSelected="1" topLeftCell="J1" zoomScaleNormal="100" workbookViewId="0">
      <selection activeCell="T9" sqref="T9"/>
    </sheetView>
  </sheetViews>
  <sheetFormatPr baseColWidth="10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48" customFormat="1" x14ac:dyDescent="0.2"/>
    <row r="2" spans="1:34" x14ac:dyDescent="0.2">
      <c r="Z2" s="48"/>
      <c r="AA2" s="48"/>
      <c r="AB2" s="48"/>
    </row>
    <row r="3" spans="1:34" ht="18" x14ac:dyDescent="0.25">
      <c r="B3" s="15" t="s">
        <v>104</v>
      </c>
      <c r="T3" s="17"/>
      <c r="U3" s="85" t="str">
        <f>+B3</f>
        <v>MUSICAR S.A. EL SALVADOR</v>
      </c>
    </row>
    <row r="4" spans="1:34" x14ac:dyDescent="0.2">
      <c r="B4" s="3" t="s">
        <v>105</v>
      </c>
      <c r="U4" s="3" t="s">
        <v>20</v>
      </c>
    </row>
    <row r="5" spans="1:34" x14ac:dyDescent="0.2">
      <c r="B5" s="3" t="s">
        <v>93</v>
      </c>
      <c r="U5" s="3" t="s">
        <v>93</v>
      </c>
    </row>
    <row r="6" spans="1:34" ht="13.5" thickBot="1" x14ac:dyDescent="0.25">
      <c r="B6" s="74" t="str">
        <f>+'COL. CONS.$'!B6</f>
        <v>DICIEMBRE De 2022</v>
      </c>
      <c r="C6" s="86"/>
      <c r="K6" s="81" t="s">
        <v>22</v>
      </c>
      <c r="L6" s="81"/>
      <c r="M6" s="81"/>
      <c r="N6" s="81"/>
      <c r="O6" s="81"/>
      <c r="P6" s="81"/>
      <c r="Q6" s="81"/>
      <c r="R6" s="81"/>
      <c r="S6" s="87"/>
      <c r="T6" s="88"/>
      <c r="U6" s="19" t="str">
        <f>+B6</f>
        <v>DICIEMBRE De 2022</v>
      </c>
      <c r="Y6" s="20" t="s">
        <v>22</v>
      </c>
      <c r="Z6" s="20"/>
      <c r="AA6" s="20"/>
      <c r="AB6" s="20"/>
      <c r="AC6" s="20"/>
      <c r="AD6" s="20"/>
    </row>
    <row r="7" spans="1:34" x14ac:dyDescent="0.2">
      <c r="A7" s="89"/>
      <c r="B7" s="3"/>
      <c r="C7" s="55" t="str">
        <f>+'COLOMB$ '!D7:D7</f>
        <v>Ppto 2022</v>
      </c>
      <c r="D7" s="55"/>
      <c r="E7" s="55" t="str">
        <f>+'COLOMB$ '!F7:F7</f>
        <v>Real 2022</v>
      </c>
      <c r="F7" s="55"/>
      <c r="G7" s="55" t="s">
        <v>23</v>
      </c>
      <c r="H7" s="55" t="str">
        <f>+'COLOMB$ '!I7:I7</f>
        <v>Real 2021</v>
      </c>
      <c r="I7" s="55"/>
      <c r="J7" s="55" t="s">
        <v>24</v>
      </c>
      <c r="K7" s="55" t="str">
        <f>+C7</f>
        <v>Ppto 2022</v>
      </c>
      <c r="L7" s="55"/>
      <c r="M7" s="55" t="str">
        <f>+E7</f>
        <v>Real 2022</v>
      </c>
      <c r="N7" s="55"/>
      <c r="O7" s="55" t="s">
        <v>23</v>
      </c>
      <c r="P7" s="55" t="str">
        <f>+H7</f>
        <v>Real 2021</v>
      </c>
      <c r="Q7" s="55"/>
      <c r="R7" s="55" t="s">
        <v>24</v>
      </c>
      <c r="S7" s="55"/>
      <c r="T7" s="57"/>
      <c r="V7" s="48" t="str">
        <f>+C7</f>
        <v>Ppto 2022</v>
      </c>
      <c r="W7" s="48" t="str">
        <f>+M7</f>
        <v>Real 2022</v>
      </c>
      <c r="X7" s="48" t="str">
        <f>+H7</f>
        <v>Real 2021</v>
      </c>
      <c r="Y7" s="48" t="str">
        <f>+V7</f>
        <v>Ppto 2022</v>
      </c>
      <c r="Z7" s="48" t="str">
        <f>+W7</f>
        <v>Real 2022</v>
      </c>
      <c r="AA7" s="48" t="s">
        <v>25</v>
      </c>
      <c r="AB7" s="48" t="s">
        <v>23</v>
      </c>
      <c r="AC7" s="48" t="str">
        <f>+X7</f>
        <v>Real 2021</v>
      </c>
      <c r="AD7" s="48" t="s">
        <v>24</v>
      </c>
      <c r="AF7" s="2" t="s">
        <v>106</v>
      </c>
    </row>
    <row r="8" spans="1:34" ht="13.5" thickBot="1" x14ac:dyDescent="0.25">
      <c r="B8" s="26" t="s">
        <v>26</v>
      </c>
      <c r="C8" s="60" t="s">
        <v>27</v>
      </c>
      <c r="D8" s="60" t="s">
        <v>28</v>
      </c>
      <c r="E8" s="60" t="s">
        <v>27</v>
      </c>
      <c r="F8" s="60" t="s">
        <v>28</v>
      </c>
      <c r="G8" s="60" t="s">
        <v>29</v>
      </c>
      <c r="H8" s="60" t="s">
        <v>27</v>
      </c>
      <c r="I8" s="60" t="s">
        <v>28</v>
      </c>
      <c r="J8" s="60" t="s">
        <v>29</v>
      </c>
      <c r="K8" s="60" t="s">
        <v>27</v>
      </c>
      <c r="L8" s="60" t="s">
        <v>28</v>
      </c>
      <c r="M8" s="60" t="s">
        <v>27</v>
      </c>
      <c r="N8" s="60" t="s">
        <v>28</v>
      </c>
      <c r="O8" s="60" t="s">
        <v>29</v>
      </c>
      <c r="P8" s="60" t="s">
        <v>27</v>
      </c>
      <c r="Q8" s="60" t="s">
        <v>28</v>
      </c>
      <c r="R8" s="60" t="s">
        <v>29</v>
      </c>
      <c r="S8" s="55"/>
      <c r="T8" s="57"/>
      <c r="U8" s="26"/>
      <c r="V8" s="27"/>
      <c r="W8" s="27"/>
      <c r="X8" s="27"/>
      <c r="Y8" s="26"/>
      <c r="Z8" s="26"/>
      <c r="AA8" s="27"/>
      <c r="AB8" s="27" t="s">
        <v>29</v>
      </c>
      <c r="AC8" s="26"/>
      <c r="AD8" s="27" t="s">
        <v>29</v>
      </c>
      <c r="AF8" s="2" t="s">
        <v>63</v>
      </c>
      <c r="AG8" s="2" t="s">
        <v>65</v>
      </c>
      <c r="AH8" s="2" t="s">
        <v>107</v>
      </c>
    </row>
    <row r="9" spans="1:34" x14ac:dyDescent="0.2"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</row>
    <row r="10" spans="1:34" x14ac:dyDescent="0.2">
      <c r="A10" s="89"/>
      <c r="B10" s="3" t="str">
        <f>+'COLOMB$ '!B10</f>
        <v>Musical Experience  (Ambiental)</v>
      </c>
      <c r="C10" s="61">
        <v>7827.51</v>
      </c>
      <c r="D10" s="30">
        <f>+C10/$C$20</f>
        <v>0.74552187416959304</v>
      </c>
      <c r="E10" s="61">
        <v>6864.83</v>
      </c>
      <c r="F10" s="30">
        <f>+E10/$E$20</f>
        <v>0.80356292117865058</v>
      </c>
      <c r="G10" s="30">
        <f>IF(C10=0,"",(E10-C10)/ABS(C10)+1)</f>
        <v>0.8770132519792373</v>
      </c>
      <c r="H10" s="61">
        <v>7165.72</v>
      </c>
      <c r="I10" s="30">
        <f>+H10/$H$20</f>
        <v>0.71671319249892229</v>
      </c>
      <c r="J10" s="30">
        <f>IF(H10=0,"",(E10-H10)/ABS(H10))</f>
        <v>-4.1990197774961949E-2</v>
      </c>
      <c r="K10" s="61">
        <v>84197.51</v>
      </c>
      <c r="L10" s="30">
        <f>+K10/$K$20</f>
        <v>0.74626504129706461</v>
      </c>
      <c r="M10" s="61">
        <v>80504.53</v>
      </c>
      <c r="N10" s="30">
        <f>+M10/$M$20</f>
        <v>0.82874892822027801</v>
      </c>
      <c r="O10" s="30">
        <f>IF(K10=0,"",(M10-K10)/ABS(K10)+1)</f>
        <v>0.9561390829728813</v>
      </c>
      <c r="P10" s="61">
        <v>85804.15</v>
      </c>
      <c r="Q10" s="30">
        <f>+P10/$P$20</f>
        <v>0.77552431675364231</v>
      </c>
      <c r="R10" s="30">
        <f t="shared" ref="R10:R17" si="0">IF(P10=0,"",(M10-P10)/ABS(P10))</f>
        <v>-6.1764145440517684E-2</v>
      </c>
      <c r="S10" s="30"/>
      <c r="T10" s="57"/>
      <c r="U10" s="3" t="s">
        <v>30</v>
      </c>
      <c r="V10" s="61">
        <v>10157.73900723889</v>
      </c>
      <c r="W10" s="61">
        <v>13112</v>
      </c>
      <c r="X10" s="61">
        <v>21006</v>
      </c>
      <c r="Y10" s="61">
        <v>24475</v>
      </c>
      <c r="Z10" s="61">
        <v>24475</v>
      </c>
      <c r="AA10" s="57">
        <f>+Z10-Y10</f>
        <v>0</v>
      </c>
      <c r="AB10" s="63">
        <f>IF(Y10=0,"",(Z10-Y10)/ABS(Y10)+1)</f>
        <v>1</v>
      </c>
      <c r="AC10" s="61">
        <v>14944</v>
      </c>
      <c r="AD10" s="30">
        <f>IF(X10=0,"",(Z10-AC10)/ABS(AC10))</f>
        <v>0.63778104925053536</v>
      </c>
      <c r="AF10" s="62">
        <v>24475</v>
      </c>
      <c r="AG10" s="62">
        <v>14944</v>
      </c>
      <c r="AH10" s="62">
        <v>24475</v>
      </c>
    </row>
    <row r="11" spans="1:34" x14ac:dyDescent="0.2">
      <c r="A11" s="89"/>
      <c r="B11" s="3" t="str">
        <f>+'COLOMB$ '!B11</f>
        <v>Instalaciones</v>
      </c>
      <c r="C11" s="61">
        <v>368.55</v>
      </c>
      <c r="D11" s="30">
        <f>+C11/$C$20</f>
        <v>3.5102106126367577E-2</v>
      </c>
      <c r="E11" s="61">
        <v>0</v>
      </c>
      <c r="F11" s="30">
        <f>+E11/$E$20</f>
        <v>0</v>
      </c>
      <c r="G11" s="30">
        <f>IF(C11=0,"",(E11-C11)/ABS(C11)+1)</f>
        <v>0</v>
      </c>
      <c r="H11" s="61">
        <v>500</v>
      </c>
      <c r="I11" s="30">
        <f>+H11/$H$20</f>
        <v>5.0009851940832344E-2</v>
      </c>
      <c r="J11" s="30">
        <f>IF(H11=0,"",(E11-H11)/ABS(H11))</f>
        <v>-1</v>
      </c>
      <c r="K11" s="61">
        <v>6265.35</v>
      </c>
      <c r="L11" s="30">
        <f>+K11/$K$20</f>
        <v>5.5531472088551838E-2</v>
      </c>
      <c r="M11" s="61">
        <v>1298.23</v>
      </c>
      <c r="N11" s="30">
        <f>+M11/$M$20</f>
        <v>1.3364548815866779E-2</v>
      </c>
      <c r="O11" s="30">
        <f>IF(K11=0,"",(M11-K11)/ABS(K11)+1)</f>
        <v>0.20720789740397572</v>
      </c>
      <c r="P11" s="61">
        <v>5670</v>
      </c>
      <c r="Q11" s="30">
        <f>+P11/$P$20</f>
        <v>5.1247205129275823E-2</v>
      </c>
      <c r="R11" s="30">
        <f t="shared" si="0"/>
        <v>-0.77103527336860678</v>
      </c>
      <c r="S11" s="30"/>
      <c r="T11" s="57"/>
      <c r="U11" s="3" t="s">
        <v>31</v>
      </c>
      <c r="V11" s="61">
        <v>11576.441630555553</v>
      </c>
      <c r="W11" s="61">
        <v>10153</v>
      </c>
      <c r="X11" s="61">
        <v>16055</v>
      </c>
      <c r="Y11" s="61">
        <f>+AF11+V11</f>
        <v>126584.63479222222</v>
      </c>
      <c r="Z11" s="61">
        <f>+W11+AH11</f>
        <v>108112</v>
      </c>
      <c r="AA11" s="57">
        <f>+Z11-Y11</f>
        <v>-18472.634792222219</v>
      </c>
      <c r="AB11" s="63">
        <f>IF(Y11=0,"",(Z11-Y11)/ABS(Y11)+1)</f>
        <v>0.85406890162819948</v>
      </c>
      <c r="AC11" s="61">
        <v>132191</v>
      </c>
      <c r="AD11" s="30">
        <f>IF(AC11=0,"",(Z11-AC11)/ABS(AC11))</f>
        <v>-0.18215309665559681</v>
      </c>
      <c r="AF11" s="62">
        <v>115008.19316166667</v>
      </c>
      <c r="AG11" s="62">
        <v>106808.8</v>
      </c>
      <c r="AH11" s="62">
        <v>97959</v>
      </c>
    </row>
    <row r="12" spans="1:34" x14ac:dyDescent="0.2">
      <c r="A12" s="89"/>
      <c r="B12" s="3" t="str">
        <f>+'COLOMB$ '!B12</f>
        <v>Voice Experience (Publihold)</v>
      </c>
      <c r="C12" s="61">
        <v>1844.77</v>
      </c>
      <c r="D12" s="30">
        <f>+C12/$C$20</f>
        <v>0.17570292312776861</v>
      </c>
      <c r="E12" s="61">
        <v>1678.16</v>
      </c>
      <c r="F12" s="30">
        <f>+E12/$E$20</f>
        <v>0.19643707882134945</v>
      </c>
      <c r="G12" s="30">
        <f>IF(C12=0,"",(E12-C12)/ABS(C12)+1)</f>
        <v>0.9096852182114844</v>
      </c>
      <c r="H12" s="61">
        <v>1592.31</v>
      </c>
      <c r="I12" s="30">
        <f>+H12/$H$20</f>
        <v>0.15926237468781348</v>
      </c>
      <c r="J12" s="30">
        <f>IF(H12=0,"",(E12-H12)/ABS(H12))</f>
        <v>5.3915380798965115E-2</v>
      </c>
      <c r="K12" s="61">
        <v>14736.83</v>
      </c>
      <c r="L12" s="30">
        <f>+K12/$K$20</f>
        <v>0.13061646417498357</v>
      </c>
      <c r="M12" s="61">
        <v>13015.07</v>
      </c>
      <c r="N12" s="30">
        <f>+M12/$M$20</f>
        <v>0.13398283690634419</v>
      </c>
      <c r="O12" s="30">
        <f>IF(K12=0,"",(M12-K12)/ABS(K12)+1)</f>
        <v>0.88316618974365579</v>
      </c>
      <c r="P12" s="61">
        <v>12385.68</v>
      </c>
      <c r="Q12" s="30">
        <f>+P12/$P$20</f>
        <v>0.11194558794101746</v>
      </c>
      <c r="R12" s="30">
        <f t="shared" si="0"/>
        <v>5.0815942281731759E-2</v>
      </c>
      <c r="S12" s="30"/>
      <c r="T12" s="57"/>
      <c r="AF12" s="62"/>
      <c r="AG12" s="62"/>
      <c r="AH12" s="62"/>
    </row>
    <row r="13" spans="1:34" x14ac:dyDescent="0.2">
      <c r="A13" s="89"/>
      <c r="B13" s="3" t="str">
        <f>+'COLOMB$ '!B13</f>
        <v>Service &amp; Equipment Experience</v>
      </c>
      <c r="C13" s="61">
        <v>268.54000000000002</v>
      </c>
      <c r="D13" s="30">
        <f>+C13/$C$20</f>
        <v>2.5576772701600192E-2</v>
      </c>
      <c r="E13" s="61">
        <v>0</v>
      </c>
      <c r="F13" s="30"/>
      <c r="G13" s="30">
        <f>IF(C13=0,"",(E13-C13)/ABS(C13)+1)</f>
        <v>0</v>
      </c>
      <c r="H13" s="61">
        <v>740</v>
      </c>
      <c r="I13" s="30"/>
      <c r="J13" s="30">
        <f>IF(H13=0,"",(E13-H13)/ABS(H13))</f>
        <v>-1</v>
      </c>
      <c r="K13" s="61">
        <v>4885.5200000000004</v>
      </c>
      <c r="L13" s="30">
        <f>+K13/$K$20</f>
        <v>4.3301669901611529E-2</v>
      </c>
      <c r="M13" s="61">
        <v>666</v>
      </c>
      <c r="N13" s="30">
        <f>+M13/$M$20</f>
        <v>6.8560960009915609E-3</v>
      </c>
      <c r="O13" s="30">
        <f>IF(K13=0,"",(M13-K13)/ABS(K13)+1)</f>
        <v>0.13632121043409917</v>
      </c>
      <c r="P13" s="61">
        <v>4476.3500000000004</v>
      </c>
      <c r="Q13" s="30"/>
      <c r="R13" s="30">
        <f t="shared" si="0"/>
        <v>-0.851218068292247</v>
      </c>
      <c r="S13" s="30"/>
      <c r="T13" s="57"/>
      <c r="U13" s="3" t="s">
        <v>32</v>
      </c>
      <c r="V13" s="61">
        <v>1600</v>
      </c>
      <c r="W13" s="61">
        <v>283</v>
      </c>
      <c r="X13" s="61">
        <v>283</v>
      </c>
      <c r="Y13" s="61">
        <f>+AF13+V13</f>
        <v>27381.999375799995</v>
      </c>
      <c r="Z13" s="61">
        <f t="shared" ref="Z13:Z16" si="1">+W13+AH13</f>
        <v>12306</v>
      </c>
      <c r="AA13" s="57">
        <f>+Y13-Z13</f>
        <v>15075.999375799995</v>
      </c>
      <c r="AB13" s="63">
        <f>IF(Y13=0,"",(Z13-Y13)/ABS(Y13)+1)</f>
        <v>0.44941933680985879</v>
      </c>
      <c r="AC13" s="61">
        <v>377</v>
      </c>
      <c r="AD13" s="30">
        <f>IF(AC13=0,"",(Z13-AC13)/ABS(AC13))</f>
        <v>31.641909814323608</v>
      </c>
      <c r="AF13" s="62">
        <v>25781.999375799995</v>
      </c>
      <c r="AG13" s="62">
        <v>94</v>
      </c>
      <c r="AH13" s="62">
        <v>12023</v>
      </c>
    </row>
    <row r="14" spans="1:34" x14ac:dyDescent="0.2">
      <c r="A14" s="89"/>
      <c r="B14" s="3" t="str">
        <f>+'COLOMB$ '!B14</f>
        <v>POP Satelital</v>
      </c>
      <c r="C14" s="61"/>
      <c r="D14" s="30"/>
      <c r="E14" s="61"/>
      <c r="F14" s="30"/>
      <c r="G14" s="30"/>
      <c r="H14" s="61"/>
      <c r="I14" s="30"/>
      <c r="J14" s="30"/>
      <c r="K14" s="61"/>
      <c r="L14" s="30"/>
      <c r="M14" s="61"/>
      <c r="N14" s="30"/>
      <c r="O14" s="30"/>
      <c r="P14" s="61"/>
      <c r="Q14" s="30"/>
      <c r="R14" s="30" t="str">
        <f t="shared" si="0"/>
        <v/>
      </c>
      <c r="S14" s="30"/>
      <c r="T14" s="57"/>
      <c r="U14" s="3" t="s">
        <v>33</v>
      </c>
      <c r="V14" s="61"/>
      <c r="W14" s="61"/>
      <c r="X14" s="61"/>
      <c r="Y14" s="61">
        <f t="shared" ref="Y14:Y16" si="2">+AF14+V14</f>
        <v>0</v>
      </c>
      <c r="Z14" s="61">
        <f t="shared" si="1"/>
        <v>0</v>
      </c>
      <c r="AA14" s="57">
        <f>+Y14-Z14</f>
        <v>0</v>
      </c>
      <c r="AB14" s="63" t="str">
        <f>IF(Y14=0,"",(Z14-Y14)/ABS(Y14)+1)</f>
        <v/>
      </c>
      <c r="AC14" s="61">
        <v>0</v>
      </c>
      <c r="AD14" s="30" t="str">
        <f>IF(AC14=0,"",(Z14-AC14)/ABS(AC14))</f>
        <v/>
      </c>
      <c r="AF14" s="62">
        <v>0</v>
      </c>
      <c r="AG14" s="62">
        <v>0</v>
      </c>
      <c r="AH14" s="62">
        <v>0</v>
      </c>
    </row>
    <row r="15" spans="1:34" x14ac:dyDescent="0.2">
      <c r="A15" s="89"/>
      <c r="B15" s="3" t="str">
        <f>+'COLOMB$ '!B15</f>
        <v>Voice Experience (Audicóm)</v>
      </c>
      <c r="C15" s="61">
        <v>190</v>
      </c>
      <c r="D15" s="30">
        <f>+C15/$C$20</f>
        <v>1.8096323874670573E-2</v>
      </c>
      <c r="E15" s="61">
        <v>0</v>
      </c>
      <c r="F15" s="30"/>
      <c r="G15" s="30">
        <f>IF(C15=0,"",(E15-C15)/ABS(C15)+1)</f>
        <v>0</v>
      </c>
      <c r="H15" s="61">
        <v>0</v>
      </c>
      <c r="I15" s="30"/>
      <c r="J15" s="30" t="str">
        <f>IF(H15=0,"",(E15-H15)/ABS(H15))</f>
        <v/>
      </c>
      <c r="K15" s="61">
        <v>2740</v>
      </c>
      <c r="L15" s="30"/>
      <c r="M15" s="61">
        <v>1656</v>
      </c>
      <c r="N15" s="30"/>
      <c r="O15" s="30">
        <f>IF(K15=0,"",(M15-K15)/ABS(K15)+1)</f>
        <v>0.60437956204379562</v>
      </c>
      <c r="P15" s="61">
        <v>2304</v>
      </c>
      <c r="Q15" s="30"/>
      <c r="R15" s="30">
        <f t="shared" si="0"/>
        <v>-0.28125</v>
      </c>
      <c r="S15" s="30"/>
      <c r="T15" s="57"/>
      <c r="U15" s="3" t="s">
        <v>34</v>
      </c>
      <c r="V15" s="61">
        <v>11358.750627149999</v>
      </c>
      <c r="W15" s="61">
        <v>8534.7000000000007</v>
      </c>
      <c r="X15" s="61">
        <v>8665</v>
      </c>
      <c r="Y15" s="61">
        <f t="shared" si="2"/>
        <v>78262.524743249989</v>
      </c>
      <c r="Z15" s="61">
        <f t="shared" si="1"/>
        <v>65385.5</v>
      </c>
      <c r="AA15" s="57">
        <f>+Y15-Z15</f>
        <v>12877.024743249989</v>
      </c>
      <c r="AB15" s="63">
        <f>IF(Y15=0,"",(Z15-Y15)/ABS(Y15)+1)</f>
        <v>0.8354637192513954</v>
      </c>
      <c r="AC15" s="61">
        <v>68404</v>
      </c>
      <c r="AD15" s="30">
        <f>IF(AC15=0,"",(Z15-AC15)/ABS(AC15))</f>
        <v>-4.4127536401380035E-2</v>
      </c>
      <c r="AF15" s="62">
        <v>66903.774116099987</v>
      </c>
      <c r="AG15" s="62">
        <v>55055.1</v>
      </c>
      <c r="AH15" s="62">
        <v>56850.8</v>
      </c>
    </row>
    <row r="16" spans="1:34" x14ac:dyDescent="0.2">
      <c r="B16" s="3" t="str">
        <f>+'COLOMB$ '!B16</f>
        <v>Fact. Servicio Satelital</v>
      </c>
      <c r="C16" s="61"/>
      <c r="D16" s="30"/>
      <c r="E16" s="61"/>
      <c r="F16" s="30"/>
      <c r="G16" s="30"/>
      <c r="H16" s="61"/>
      <c r="I16" s="30"/>
      <c r="J16" s="30"/>
      <c r="K16" s="61">
        <f>+T16+C16</f>
        <v>0</v>
      </c>
      <c r="L16" s="30"/>
      <c r="M16" s="61"/>
      <c r="N16" s="30"/>
      <c r="O16" s="30"/>
      <c r="P16" s="61"/>
      <c r="Q16" s="30"/>
      <c r="R16" s="30" t="str">
        <f t="shared" si="0"/>
        <v/>
      </c>
      <c r="S16" s="30"/>
      <c r="T16" s="57"/>
      <c r="U16" s="3" t="s">
        <v>35</v>
      </c>
      <c r="V16" s="61">
        <v>1171.575</v>
      </c>
      <c r="W16" s="61">
        <v>1976.6000000000001</v>
      </c>
      <c r="X16" s="61">
        <v>1890</v>
      </c>
      <c r="Y16" s="61">
        <f t="shared" si="2"/>
        <v>16999.704999999998</v>
      </c>
      <c r="Z16" s="61">
        <f t="shared" si="1"/>
        <v>20293.899999999998</v>
      </c>
      <c r="AA16" s="57">
        <f>+Y16-Z16</f>
        <v>-3294.1949999999997</v>
      </c>
      <c r="AB16" s="63">
        <f>IF(Y16=0,"",(Z16-Y16)/ABS(Y16)+1)</f>
        <v>1.1937795391155317</v>
      </c>
      <c r="AC16" s="61">
        <v>23095</v>
      </c>
      <c r="AD16" s="30">
        <f>IF(AC16=0,"",(Z16-AC16)/ABS(AC16))</f>
        <v>-0.12128599263909946</v>
      </c>
      <c r="AF16" s="62">
        <v>15828.129999999997</v>
      </c>
      <c r="AG16" s="62">
        <v>19478.68</v>
      </c>
      <c r="AH16" s="62">
        <v>18317.3</v>
      </c>
    </row>
    <row r="17" spans="1:35" x14ac:dyDescent="0.2">
      <c r="A17" s="89"/>
      <c r="B17" s="3" t="str">
        <f>+'COLOMB$ '!B17</f>
        <v>Visual Experience</v>
      </c>
      <c r="C17" s="61"/>
      <c r="D17" s="30"/>
      <c r="E17" s="61"/>
      <c r="F17" s="30"/>
      <c r="G17" s="30" t="str">
        <f>IF(C17=0,"",(E17-C17)/ABS(C17)+1)</f>
        <v/>
      </c>
      <c r="H17" s="61"/>
      <c r="I17" s="30"/>
      <c r="J17" s="30" t="str">
        <f>IF(H17=0,"",(E17-H17)/ABS(H17))</f>
        <v/>
      </c>
      <c r="K17" s="61">
        <f>+T17+C17</f>
        <v>0</v>
      </c>
      <c r="L17" s="30"/>
      <c r="M17" s="61"/>
      <c r="N17" s="30"/>
      <c r="O17" s="30" t="str">
        <f>IF(K17=0,"",(M17-K17)/ABS(K17)+1)</f>
        <v/>
      </c>
      <c r="P17" s="61"/>
      <c r="Q17" s="30"/>
      <c r="R17" s="30" t="str">
        <f t="shared" si="0"/>
        <v/>
      </c>
      <c r="S17" s="30"/>
      <c r="T17" s="57"/>
      <c r="U17" s="3" t="s">
        <v>36</v>
      </c>
      <c r="V17" s="61">
        <f>SUM(V13:V16)</f>
        <v>14130.325627149999</v>
      </c>
      <c r="W17" s="61">
        <f>SUM(W13:W16)</f>
        <v>10794.300000000001</v>
      </c>
      <c r="X17" s="61">
        <f>SUM(X13:X16)</f>
        <v>10838</v>
      </c>
      <c r="Y17" s="61">
        <f>SUM(Y13:Y16)</f>
        <v>122644.22911904998</v>
      </c>
      <c r="Z17" s="61">
        <f>SUM(Z13:Z16)</f>
        <v>97985.4</v>
      </c>
      <c r="AA17" s="57">
        <f>+Z17-Y17</f>
        <v>-24658.829119049988</v>
      </c>
      <c r="AB17" s="63">
        <f>IF(Y17=0,"",(Z17-Y17)/ABS(Y17)+1)</f>
        <v>0.79894015971094889</v>
      </c>
      <c r="AC17" s="61">
        <f>SUM(AC13:AC16)</f>
        <v>91876</v>
      </c>
      <c r="AD17" s="30">
        <f>IF(AC17=0,"",(Z17-AC17)/ABS(AC17))</f>
        <v>6.6496146980713072E-2</v>
      </c>
      <c r="AF17" s="62">
        <v>108513.90349189998</v>
      </c>
      <c r="AG17" s="62">
        <v>74627.78</v>
      </c>
      <c r="AH17" s="62">
        <v>87191.1</v>
      </c>
    </row>
    <row r="18" spans="1:35" x14ac:dyDescent="0.2">
      <c r="A18" s="89"/>
      <c r="B18" s="3" t="str">
        <f>+'COL. CONS.$'!B18</f>
        <v>Olfa Experience</v>
      </c>
      <c r="C18" s="61">
        <v>0</v>
      </c>
      <c r="D18" s="30"/>
      <c r="E18" s="61"/>
      <c r="F18" s="30"/>
      <c r="G18" s="30"/>
      <c r="H18" s="61"/>
      <c r="I18" s="30"/>
      <c r="J18" s="30"/>
      <c r="K18" s="61">
        <v>0</v>
      </c>
      <c r="L18" s="30"/>
      <c r="M18" s="61"/>
      <c r="N18" s="30"/>
      <c r="O18" s="30"/>
      <c r="P18" s="61"/>
      <c r="Q18" s="30"/>
      <c r="R18" s="30"/>
      <c r="S18" s="30"/>
      <c r="T18" s="57"/>
      <c r="AF18" s="62"/>
      <c r="AG18" s="62"/>
      <c r="AH18" s="62"/>
    </row>
    <row r="19" spans="1:35" x14ac:dyDescent="0.2">
      <c r="B19" s="3" t="str">
        <f>+'COLOMB$ '!B19</f>
        <v>Locutor virtual</v>
      </c>
      <c r="C19" s="61"/>
      <c r="D19" s="30"/>
      <c r="E19" s="61"/>
      <c r="F19" s="30"/>
      <c r="G19" s="30"/>
      <c r="H19" s="61"/>
      <c r="I19" s="30"/>
      <c r="J19" s="30"/>
      <c r="K19" s="61"/>
      <c r="L19" s="30"/>
      <c r="M19" s="61"/>
      <c r="N19" s="30"/>
      <c r="O19" s="30"/>
      <c r="P19" s="61"/>
      <c r="Q19" s="30"/>
      <c r="R19" s="30"/>
      <c r="S19" s="30"/>
      <c r="T19" s="57"/>
      <c r="U19" s="3" t="s">
        <v>37</v>
      </c>
      <c r="V19" s="61">
        <f>V11-V17</f>
        <v>-2553.8839965944462</v>
      </c>
      <c r="W19" s="61">
        <f>W11-W17</f>
        <v>-641.30000000000109</v>
      </c>
      <c r="X19" s="61">
        <f>X11-X17</f>
        <v>5217</v>
      </c>
      <c r="Y19" s="61">
        <f>Y11-Y17</f>
        <v>3940.4056731722376</v>
      </c>
      <c r="Z19" s="61">
        <f>Z11-Z17</f>
        <v>10126.600000000006</v>
      </c>
      <c r="AA19" s="57">
        <f>+Z19-Y19</f>
        <v>6186.1943268277682</v>
      </c>
      <c r="AB19" s="63">
        <f>IF(Y19=0,"",(Z19-Y19)/ABS(Y19)+1)</f>
        <v>2.5699384377973322</v>
      </c>
      <c r="AC19" s="61">
        <f>AC11-AC17</f>
        <v>40315</v>
      </c>
      <c r="AD19" s="30">
        <f>IF(AC19=0,"",(Z19-AC19)/ABS(AC19))</f>
        <v>-0.74881309686220998</v>
      </c>
      <c r="AF19" s="62">
        <v>6494.2896697666874</v>
      </c>
      <c r="AG19" s="62">
        <v>32181.020000000004</v>
      </c>
      <c r="AH19" s="62">
        <v>10700.14</v>
      </c>
      <c r="AI19" s="49"/>
    </row>
    <row r="20" spans="1:35" x14ac:dyDescent="0.2">
      <c r="B20" s="19" t="s">
        <v>38</v>
      </c>
      <c r="C20" s="65">
        <f>SUM(C10:C19)</f>
        <v>10499.37</v>
      </c>
      <c r="D20" s="38">
        <f>+C20/$C$20</f>
        <v>1</v>
      </c>
      <c r="E20" s="65">
        <f>SUM(E10:E19)</f>
        <v>8542.99</v>
      </c>
      <c r="F20" s="38">
        <f>+E20/$E$20</f>
        <v>1</v>
      </c>
      <c r="G20" s="38">
        <f>IF(C20=0,"",(E20-C20)/ABS(C20)+1)</f>
        <v>0.81366691525301027</v>
      </c>
      <c r="H20" s="65">
        <f>SUM(H10:H19)</f>
        <v>9998.0300000000007</v>
      </c>
      <c r="I20" s="38">
        <f>+H20/$H$20</f>
        <v>1</v>
      </c>
      <c r="J20" s="38">
        <f>IF(H20=0,"",(E20-H20)/ABS(H20))</f>
        <v>-0.14553266993597747</v>
      </c>
      <c r="K20" s="65">
        <f>SUM(K10:K19)</f>
        <v>112825.21</v>
      </c>
      <c r="L20" s="38">
        <f>+K20/$K$20</f>
        <v>1</v>
      </c>
      <c r="M20" s="65">
        <f>SUM(M10:M19)</f>
        <v>97139.829999999987</v>
      </c>
      <c r="N20" s="38">
        <f>+M20/$M$20</f>
        <v>1</v>
      </c>
      <c r="O20" s="38">
        <f>IF(K20=0,"",(M20-K20)/ABS(K20)+1)</f>
        <v>0.86097628358059319</v>
      </c>
      <c r="P20" s="65">
        <f>SUM(P10:P19)</f>
        <v>110640.18</v>
      </c>
      <c r="Q20" s="38">
        <f>+P20/$P$20</f>
        <v>1</v>
      </c>
      <c r="R20" s="38">
        <f>IF(P20=0,"",(M20-P20)/ABS(P20))</f>
        <v>-0.12202031847742842</v>
      </c>
      <c r="S20" s="38"/>
      <c r="T20" s="57"/>
      <c r="U20" s="3"/>
      <c r="V20" s="61"/>
      <c r="W20" s="61"/>
      <c r="X20" s="61"/>
      <c r="Y20" s="61"/>
      <c r="Z20" s="61"/>
      <c r="AA20" s="57"/>
      <c r="AB20" s="63"/>
      <c r="AC20" s="61"/>
      <c r="AD20" s="30"/>
      <c r="AF20" s="62"/>
      <c r="AG20" s="62"/>
      <c r="AH20" s="62"/>
    </row>
    <row r="21" spans="1:35" x14ac:dyDescent="0.2">
      <c r="J21" s="30"/>
      <c r="R21" s="30"/>
      <c r="S21" s="30"/>
      <c r="U21" s="3" t="s">
        <v>39</v>
      </c>
      <c r="V21" s="61">
        <f>+V10+V19</f>
        <v>7603.8550106444436</v>
      </c>
      <c r="W21" s="61">
        <f>+W10+W19</f>
        <v>12470.699999999999</v>
      </c>
      <c r="X21" s="61">
        <f>+X10+X19</f>
        <v>26223</v>
      </c>
      <c r="Y21" s="61">
        <f>+Y10+Y19</f>
        <v>28415.405673172238</v>
      </c>
      <c r="Z21" s="61">
        <f>+Z10+Z19</f>
        <v>34601.600000000006</v>
      </c>
      <c r="AA21" s="57">
        <f>+Z21-Y21</f>
        <v>6186.1943268277682</v>
      </c>
      <c r="AB21" s="63">
        <f>IF(Y21=0,"",(Z21-Y21)/ABS(Y21)+1)</f>
        <v>1.2177056487589872</v>
      </c>
      <c r="AC21" s="61">
        <f>+AC10+AC19</f>
        <v>55259</v>
      </c>
      <c r="AD21" s="30">
        <f>IF(AC21=0,"",(Z21-AC21)/ABS(AC21))</f>
        <v>-0.37382869758772314</v>
      </c>
      <c r="AF21" s="62">
        <v>30969.289669766687</v>
      </c>
      <c r="AG21" s="62">
        <v>47125.020000000004</v>
      </c>
      <c r="AH21" s="61">
        <v>35175.14</v>
      </c>
    </row>
    <row r="22" spans="1:35" x14ac:dyDescent="0.2">
      <c r="A22" s="89"/>
      <c r="B22" s="3" t="s">
        <v>40</v>
      </c>
      <c r="C22" s="61">
        <v>53.71</v>
      </c>
      <c r="D22" s="30">
        <f>+C22/$C$20</f>
        <v>5.1155450279397711E-3</v>
      </c>
      <c r="E22" s="61">
        <v>0</v>
      </c>
      <c r="F22" s="30">
        <f>+E22/$E$20</f>
        <v>0</v>
      </c>
      <c r="G22" s="30">
        <f>IF(C22=0,"",(E22-C22)/ABS(C22)+1)</f>
        <v>0</v>
      </c>
      <c r="H22" s="61">
        <v>715.56</v>
      </c>
      <c r="I22" s="30">
        <f>+H22/$H$20</f>
        <v>7.157009930956397E-2</v>
      </c>
      <c r="J22" s="30">
        <f>IF(H22=0,"",(E22-H22)/ABS(H22))</f>
        <v>-1</v>
      </c>
      <c r="K22" s="61">
        <v>977.1</v>
      </c>
      <c r="L22" s="30">
        <f>+K22/$K$20</f>
        <v>8.6602985272529066E-3</v>
      </c>
      <c r="M22" s="61">
        <v>47.7</v>
      </c>
      <c r="N22" s="30">
        <f>+M22/$M$20</f>
        <v>4.9104471358453082E-4</v>
      </c>
      <c r="O22" s="30">
        <f>IF(K22=0,"",(M22-K22)/ABS(K22)+1)</f>
        <v>4.8817930610991711E-2</v>
      </c>
      <c r="P22" s="61">
        <v>1782.06</v>
      </c>
      <c r="Q22" s="30">
        <f>+P22/$P$20</f>
        <v>1.6106806767667948E-2</v>
      </c>
      <c r="R22" s="30">
        <f>IF(P22=0,"",(M22-P22)/ABS(P22))</f>
        <v>-0.97323322447055649</v>
      </c>
      <c r="S22" s="30"/>
      <c r="T22" s="57"/>
      <c r="AD22" s="30"/>
      <c r="AF22" s="62"/>
      <c r="AG22" s="62"/>
      <c r="AH22" s="62"/>
    </row>
    <row r="23" spans="1:35" x14ac:dyDescent="0.2">
      <c r="J23" s="30"/>
      <c r="R23" s="30"/>
      <c r="S23" s="30"/>
      <c r="U23" s="3" t="s">
        <v>41</v>
      </c>
      <c r="V23" s="61"/>
      <c r="W23" s="61"/>
      <c r="X23" s="61"/>
      <c r="Y23" s="61">
        <f>+AF23+V23</f>
        <v>0</v>
      </c>
      <c r="Z23" s="61">
        <f>+W23+AH23</f>
        <v>1792.9</v>
      </c>
      <c r="AA23" s="57">
        <f>+Z23-Y23</f>
        <v>1792.9</v>
      </c>
      <c r="AB23" s="63" t="str">
        <f>IF(Y23=0,"",(Z23-Y23)/ABS(Y23)+1)</f>
        <v/>
      </c>
      <c r="AC23" s="61">
        <v>0</v>
      </c>
      <c r="AD23" s="30" t="str">
        <f>IF(AC23=0,"",(Z23-AC23)/ABS(AC23))</f>
        <v/>
      </c>
      <c r="AF23" s="62">
        <v>0</v>
      </c>
      <c r="AG23" s="62">
        <v>0</v>
      </c>
      <c r="AH23" s="62">
        <v>1792.9</v>
      </c>
    </row>
    <row r="24" spans="1:35" x14ac:dyDescent="0.2">
      <c r="B24" s="3" t="s">
        <v>42</v>
      </c>
      <c r="C24" s="61">
        <f>+C20-C22</f>
        <v>10445.660000000002</v>
      </c>
      <c r="D24" s="30">
        <f>+C24/$C$20</f>
        <v>0.99488445497206035</v>
      </c>
      <c r="E24" s="61">
        <f>+E20-E22</f>
        <v>8542.99</v>
      </c>
      <c r="F24" s="30">
        <f>+E24/$E$20</f>
        <v>1</v>
      </c>
      <c r="G24" s="30">
        <f>IF(C24=0,"",(E24-C24)/ABS(C24)+1)</f>
        <v>0.81785066716703381</v>
      </c>
      <c r="H24" s="61">
        <f>+H20-H22</f>
        <v>9282.4700000000012</v>
      </c>
      <c r="I24" s="30">
        <f>+H24/$H$20</f>
        <v>0.92842990069043607</v>
      </c>
      <c r="J24" s="30">
        <f>IF(H24=0,"",(E24-H24)/ABS(H24))</f>
        <v>-7.966414111761215E-2</v>
      </c>
      <c r="K24" s="61">
        <f>+K20-K22</f>
        <v>111848.11</v>
      </c>
      <c r="L24" s="30">
        <f>+K24/$K$20</f>
        <v>0.99133970147274708</v>
      </c>
      <c r="M24" s="61">
        <f>+M20-M22</f>
        <v>97092.12999999999</v>
      </c>
      <c r="N24" s="30">
        <f>+M24/$M$20</f>
        <v>0.99950895528641548</v>
      </c>
      <c r="O24" s="30">
        <f>IF(K24=0,"",(M24-K24)/ABS(K24)+1)</f>
        <v>0.86807126199986739</v>
      </c>
      <c r="P24" s="61">
        <f>+P20-P22</f>
        <v>108858.12</v>
      </c>
      <c r="Q24" s="30">
        <f>+P24/$P$20</f>
        <v>0.98389319323233204</v>
      </c>
      <c r="R24" s="30">
        <f>IF(P24=0,"",(M24-P24)/ABS(P24))</f>
        <v>-0.10808555209294451</v>
      </c>
      <c r="S24" s="30"/>
      <c r="T24" s="57"/>
      <c r="AD24" s="30"/>
      <c r="AF24" s="62"/>
      <c r="AG24" s="62"/>
      <c r="AH24" s="62"/>
    </row>
    <row r="25" spans="1:35" x14ac:dyDescent="0.2">
      <c r="J25" s="30"/>
      <c r="R25" s="30"/>
      <c r="S25" s="30"/>
      <c r="U25" s="3" t="s">
        <v>43</v>
      </c>
      <c r="V25" s="61">
        <v>1459.8019898000002</v>
      </c>
      <c r="W25" s="61">
        <v>1212.9000000000001</v>
      </c>
      <c r="X25" s="61">
        <v>1749</v>
      </c>
      <c r="Y25" s="61">
        <f>+AF25+V25</f>
        <v>17271.204231799999</v>
      </c>
      <c r="Z25" s="61">
        <f t="shared" ref="Z25" si="3">+W25+AH25</f>
        <v>16096.900000000001</v>
      </c>
      <c r="AA25" s="57">
        <f>+Z25-Y25</f>
        <v>-1174.3042317999971</v>
      </c>
      <c r="AB25" s="63">
        <f>IF(Y25=0,"",(Z25-Y25)/ABS(Y25)+1)</f>
        <v>0.93200797025850401</v>
      </c>
      <c r="AC25" s="61">
        <v>20499</v>
      </c>
      <c r="AD25" s="30">
        <f>IF(AC25=0,"",(Z25-AC25)/ABS(AC25))</f>
        <v>-0.21474706083223566</v>
      </c>
      <c r="AF25" s="62">
        <v>15811.402241999998</v>
      </c>
      <c r="AG25" s="62">
        <v>16937.100000000002</v>
      </c>
      <c r="AH25" s="62">
        <v>14884.000000000002</v>
      </c>
    </row>
    <row r="26" spans="1:35" x14ac:dyDescent="0.2">
      <c r="B26" s="3" t="s">
        <v>44</v>
      </c>
      <c r="C26" s="61">
        <v>1117.9000000000001</v>
      </c>
      <c r="D26" s="30">
        <f>+C26/$C$20</f>
        <v>0.10647305504996966</v>
      </c>
      <c r="E26" s="61">
        <v>1130.0999999999999</v>
      </c>
      <c r="F26" s="30">
        <f>+E26/$E$20</f>
        <v>0.13228389591934439</v>
      </c>
      <c r="G26" s="30">
        <f>IF(C26=0,"",(E26-C26)/ABS(C26)+1)</f>
        <v>1.0109133196171391</v>
      </c>
      <c r="H26" s="61">
        <v>1156.1600000000001</v>
      </c>
      <c r="I26" s="30">
        <f>+H26/$H$20</f>
        <v>0.11563878083982544</v>
      </c>
      <c r="J26" s="30">
        <f>IF(H26=0,"",(E26-H26)/ABS(H26))</f>
        <v>-2.2540132853584426E-2</v>
      </c>
      <c r="K26" s="61">
        <v>11764.47</v>
      </c>
      <c r="L26" s="30">
        <f>+K26/$K$20</f>
        <v>0.10427164283585201</v>
      </c>
      <c r="M26" s="61">
        <v>8850.82</v>
      </c>
      <c r="N26" s="30">
        <f>+M26/$M$20</f>
        <v>9.1114221632877065E-2</v>
      </c>
      <c r="O26" s="30">
        <f>IF(K26=0,"",(M26-K26)/ABS(K26)+1)</f>
        <v>0.75233478431242551</v>
      </c>
      <c r="P26" s="61">
        <v>11204.44</v>
      </c>
      <c r="Q26" s="30">
        <f>+P26/$P$20</f>
        <v>0.10126917725549615</v>
      </c>
      <c r="R26" s="30">
        <f>IF(P26=0,"",(M26-P26)/ABS(P26))</f>
        <v>-0.21006136852890467</v>
      </c>
      <c r="S26" s="30"/>
      <c r="T26" s="57"/>
      <c r="AD26" s="30"/>
      <c r="AF26" s="52"/>
      <c r="AG26" s="48"/>
      <c r="AH26" s="48"/>
    </row>
    <row r="27" spans="1:35" x14ac:dyDescent="0.2">
      <c r="B27" s="3" t="s">
        <v>45</v>
      </c>
      <c r="C27" s="61">
        <v>1235.92</v>
      </c>
      <c r="D27" s="30">
        <f>+C27/$C$20</f>
        <v>0.1177137294904361</v>
      </c>
      <c r="E27" s="61">
        <v>1717.82</v>
      </c>
      <c r="F27" s="30">
        <f>+E27/$E$20</f>
        <v>0.20107948153983557</v>
      </c>
      <c r="G27" s="30">
        <f>IF(C27=0,"",(E27-C27)/ABS(C27)+1)</f>
        <v>1.3899119684121948</v>
      </c>
      <c r="H27" s="61">
        <v>1366.46</v>
      </c>
      <c r="I27" s="30">
        <f>+H27/$H$20</f>
        <v>0.13667292456613953</v>
      </c>
      <c r="J27" s="30">
        <f>IF(H27=0,"",(E27-H27)/ABS(H27))</f>
        <v>0.25713156623684547</v>
      </c>
      <c r="K27" s="61">
        <v>14525.76</v>
      </c>
      <c r="L27" s="30">
        <f>+K27/$K$20</f>
        <v>0.12874569433551242</v>
      </c>
      <c r="M27" s="61">
        <v>14661.16</v>
      </c>
      <c r="N27" s="30">
        <f>+M27/$M$20</f>
        <v>0.15092840907792407</v>
      </c>
      <c r="O27" s="30">
        <f>IF(K27=0,"",(M27-K27)/ABS(K27)+1)</f>
        <v>1.0093213711365188</v>
      </c>
      <c r="P27" s="61">
        <v>15349.74</v>
      </c>
      <c r="Q27" s="30">
        <f>+P27/$P$20</f>
        <v>0.13873567450812174</v>
      </c>
      <c r="R27" s="30">
        <f>IF(P27=0,"",(M27-P27)/ABS(P27))</f>
        <v>-4.4859391755169793E-2</v>
      </c>
      <c r="S27" s="30"/>
      <c r="T27" s="57"/>
      <c r="U27" s="3" t="s">
        <v>46</v>
      </c>
      <c r="V27" s="61"/>
      <c r="W27" s="61"/>
      <c r="X27" s="61"/>
      <c r="Y27" s="61">
        <f t="shared" ref="Y27:Y28" si="4">+AF27+V27</f>
        <v>0</v>
      </c>
      <c r="Z27" s="61">
        <f t="shared" ref="Z27:Z28" si="5">+W27+AH27</f>
        <v>0</v>
      </c>
      <c r="AA27" s="57">
        <f>+Z27-Y27</f>
        <v>0</v>
      </c>
      <c r="AB27" s="63" t="str">
        <f>IF(Y27=0,"",(Z27-Y27)/ABS(Y27)+1)</f>
        <v/>
      </c>
      <c r="AC27" s="61">
        <v>0</v>
      </c>
      <c r="AD27" s="30" t="str">
        <f>IF(AC27=0,"",(Z27-AC27)/ABS(AC27))</f>
        <v/>
      </c>
      <c r="AF27" s="62">
        <v>0</v>
      </c>
      <c r="AG27" s="2">
        <v>0</v>
      </c>
      <c r="AH27" s="2">
        <v>0</v>
      </c>
    </row>
    <row r="28" spans="1:35" x14ac:dyDescent="0.2">
      <c r="B28" s="3" t="s">
        <v>47</v>
      </c>
      <c r="C28" s="61">
        <f>SUM(C26:C27)</f>
        <v>2353.8200000000002</v>
      </c>
      <c r="D28" s="30">
        <f>+C28/$C$20</f>
        <v>0.22418678454040575</v>
      </c>
      <c r="E28" s="61">
        <f>SUM(E26:E27)</f>
        <v>2847.92</v>
      </c>
      <c r="F28" s="30">
        <f>+E28/$E$20</f>
        <v>0.33336337745917999</v>
      </c>
      <c r="G28" s="30">
        <f>IF(C28=0,"",(E28-C28)/ABS(C28)+1)</f>
        <v>1.2099140970847388</v>
      </c>
      <c r="H28" s="61">
        <f>SUM(H26:H27)</f>
        <v>2522.62</v>
      </c>
      <c r="I28" s="30">
        <f>+H28/$H$20</f>
        <v>0.25231170540596493</v>
      </c>
      <c r="J28" s="30">
        <f>IF(H28=0,"",(E28-H28)/ABS(H28))</f>
        <v>0.12895323116442436</v>
      </c>
      <c r="K28" s="61">
        <f>SUM(K26:K27)</f>
        <v>26290.23</v>
      </c>
      <c r="L28" s="30">
        <f>+K28/$K$20</f>
        <v>0.23301733717136444</v>
      </c>
      <c r="M28" s="61">
        <f>SUM(M26:M27)</f>
        <v>23511.98</v>
      </c>
      <c r="N28" s="30">
        <f>+M28/$M$20</f>
        <v>0.24204263071080115</v>
      </c>
      <c r="O28" s="30">
        <f>IF(K28=0,"",(M28-K28)/ABS(K28)+1)</f>
        <v>0.89432386099322825</v>
      </c>
      <c r="P28" s="61">
        <f>SUM(P26:P27)</f>
        <v>26554.18</v>
      </c>
      <c r="Q28" s="30">
        <f>+P28/$P$20</f>
        <v>0.24000485176361791</v>
      </c>
      <c r="R28" s="30">
        <f>IF(P28=0,"",(M28-P28)/ABS(P28))</f>
        <v>-0.11456576704684539</v>
      </c>
      <c r="S28" s="30"/>
      <c r="T28" s="57"/>
      <c r="U28" s="3" t="s">
        <v>48</v>
      </c>
      <c r="V28" s="61"/>
      <c r="W28" s="61"/>
      <c r="X28" s="61"/>
      <c r="Y28" s="61">
        <f t="shared" si="4"/>
        <v>5000</v>
      </c>
      <c r="Z28" s="61">
        <f t="shared" si="5"/>
        <v>5453.7</v>
      </c>
      <c r="AA28" s="57">
        <f>+Z28-Y28</f>
        <v>453.69999999999982</v>
      </c>
      <c r="AB28" s="63">
        <f>IF(Y28=0,"",(Z28-Y28)/ABS(Y28)+1)</f>
        <v>1.09074</v>
      </c>
      <c r="AC28" s="61">
        <v>10286</v>
      </c>
      <c r="AD28" s="30">
        <f>IF(AC28=0,"",(Z28-AC28)/ABS(AC28))</f>
        <v>-0.46979389461403853</v>
      </c>
      <c r="AF28" s="62">
        <v>5000</v>
      </c>
      <c r="AG28" s="2">
        <v>10286</v>
      </c>
      <c r="AH28" s="2">
        <v>5453.7</v>
      </c>
    </row>
    <row r="29" spans="1:35" x14ac:dyDescent="0.2">
      <c r="J29" s="30"/>
      <c r="R29" s="30"/>
      <c r="S29" s="30"/>
      <c r="AF29" s="62"/>
    </row>
    <row r="30" spans="1:35" x14ac:dyDescent="0.2">
      <c r="B30" s="3" t="s">
        <v>49</v>
      </c>
      <c r="C30" s="61">
        <v>6518.11</v>
      </c>
      <c r="D30" s="30">
        <f>+C30/$C$20</f>
        <v>0.62080962953015273</v>
      </c>
      <c r="E30" s="61">
        <v>3099.87</v>
      </c>
      <c r="F30" s="30">
        <f>+E30/$E$20</f>
        <v>0.36285539372046555</v>
      </c>
      <c r="G30" s="30">
        <f>IF(C30=0,"",(E30-C30)/ABS(C30)+1)</f>
        <v>0.47557804332851084</v>
      </c>
      <c r="H30" s="61">
        <v>11672.3</v>
      </c>
      <c r="I30" s="30">
        <f>+H30/$H$20</f>
        <v>1.1674599896179545</v>
      </c>
      <c r="J30" s="30">
        <f>IF(H30=0,"",(E30-H30)/ABS(H30))</f>
        <v>-0.73442509188420457</v>
      </c>
      <c r="K30" s="61">
        <v>78652.53</v>
      </c>
      <c r="L30" s="30">
        <f>+K30/$K$20</f>
        <v>0.69711840110911383</v>
      </c>
      <c r="M30" s="61">
        <v>67362.22</v>
      </c>
      <c r="N30" s="30">
        <f>+M30/$M$20</f>
        <v>0.69345622696683751</v>
      </c>
      <c r="O30" s="30">
        <f>IF(K30=0,"",(M30-K30)/ABS(K30)+1)</f>
        <v>0.85645331434348015</v>
      </c>
      <c r="P30" s="61">
        <v>74576</v>
      </c>
      <c r="Q30" s="30">
        <f>+P30/$P$20</f>
        <v>0.6740408412206127</v>
      </c>
      <c r="R30" s="30">
        <f>IF(P30=0,"",(M30-P30)/ABS(P30))</f>
        <v>-9.6730583565758407E-2</v>
      </c>
      <c r="S30" s="30"/>
      <c r="T30" s="57"/>
      <c r="U30" s="19" t="s">
        <v>50</v>
      </c>
      <c r="V30" s="65">
        <f>V21-V23-V25-V27-V28</f>
        <v>6144.0530208444434</v>
      </c>
      <c r="W30" s="65">
        <f>W21-W23-W25-W27-W28</f>
        <v>11257.8</v>
      </c>
      <c r="X30" s="65">
        <f>X21-X23-X25-X27-X28</f>
        <v>24474</v>
      </c>
      <c r="Y30" s="65">
        <f>Y21-Y23-Y25-Y27-Y28</f>
        <v>6144.2014413722391</v>
      </c>
      <c r="Z30" s="65">
        <f>Z21-Z23-Z25-Z27-Z28</f>
        <v>11258.100000000002</v>
      </c>
      <c r="AA30" s="67">
        <f>+Z30-Y30</f>
        <v>5113.8985586277631</v>
      </c>
      <c r="AB30" s="68">
        <f>IF(V30=0,"",(W30-V30)/ABS(V30)+1)</f>
        <v>1.8323084064877939</v>
      </c>
      <c r="AC30" s="65">
        <f>AC21-AC23-AC25-AC27-AC28</f>
        <v>24474</v>
      </c>
      <c r="AD30" s="30">
        <f>IF(AC30=0,"",(Z30-AC30)/ABS(AC30))</f>
        <v>-0.53999754841873004</v>
      </c>
      <c r="AF30" s="62">
        <v>8795.2233386055814</v>
      </c>
      <c r="AG30" s="2">
        <v>13139.619999999999</v>
      </c>
      <c r="AH30" s="2">
        <v>12166.640000000003</v>
      </c>
    </row>
    <row r="31" spans="1:35" x14ac:dyDescent="0.2">
      <c r="B31" s="3" t="s">
        <v>51</v>
      </c>
      <c r="C31" s="61">
        <v>0</v>
      </c>
      <c r="D31" s="30">
        <f>+C31/$C$20</f>
        <v>0</v>
      </c>
      <c r="E31" s="61">
        <v>0</v>
      </c>
      <c r="F31" s="30">
        <f>+E31/$E$20</f>
        <v>0</v>
      </c>
      <c r="G31" s="30" t="str">
        <f>IF(C31=0,"",(E31-C31)/ABS(C31)+1)</f>
        <v/>
      </c>
      <c r="H31" s="61">
        <v>0</v>
      </c>
      <c r="I31" s="30">
        <f>+H31/$H$20</f>
        <v>0</v>
      </c>
      <c r="J31" s="30" t="str">
        <f>IF(H31=0,"",(E31-H31)/ABS(H31))</f>
        <v/>
      </c>
      <c r="K31" s="61">
        <v>0</v>
      </c>
      <c r="L31" s="30">
        <f>+K31/$K$20</f>
        <v>0</v>
      </c>
      <c r="M31" s="61">
        <v>0</v>
      </c>
      <c r="N31" s="30">
        <f>+M31/$M$20</f>
        <v>0</v>
      </c>
      <c r="O31" s="30" t="str">
        <f>IF(K31=0,"",(M31-K31)/ABS(K31)+1)</f>
        <v/>
      </c>
      <c r="P31" s="61">
        <v>0</v>
      </c>
      <c r="Q31" s="30">
        <f>+P31/$P$20</f>
        <v>0</v>
      </c>
      <c r="R31" s="30" t="str">
        <f>IF(P31=0,"",(M31-P31)/ABS(P31))</f>
        <v/>
      </c>
      <c r="S31" s="30"/>
      <c r="T31" s="57"/>
      <c r="U31" s="49"/>
      <c r="V31" s="55" t="s">
        <v>61</v>
      </c>
      <c r="W31" s="57" t="s">
        <v>61</v>
      </c>
      <c r="X31" s="55" t="s">
        <v>61</v>
      </c>
      <c r="Y31" s="61" t="s">
        <v>61</v>
      </c>
      <c r="Z31" s="61" t="s">
        <v>61</v>
      </c>
      <c r="AA31" s="55"/>
      <c r="AB31" s="55"/>
      <c r="AC31" s="61" t="s">
        <v>61</v>
      </c>
      <c r="AD31" s="55"/>
      <c r="AE31" s="55"/>
      <c r="AF31" s="55" t="s">
        <v>61</v>
      </c>
      <c r="AG31" s="55"/>
      <c r="AH31" s="2" t="s">
        <v>61</v>
      </c>
    </row>
    <row r="32" spans="1:35" x14ac:dyDescent="0.2">
      <c r="B32" s="3" t="s">
        <v>52</v>
      </c>
      <c r="C32" s="61">
        <f>SUM(C30:C31)</f>
        <v>6518.11</v>
      </c>
      <c r="D32" s="30">
        <f>+C32/$C$20</f>
        <v>0.62080962953015273</v>
      </c>
      <c r="E32" s="61">
        <f>SUM(E30:E31)</f>
        <v>3099.87</v>
      </c>
      <c r="F32" s="30">
        <f>+E32/$E$20</f>
        <v>0.36285539372046555</v>
      </c>
      <c r="G32" s="30">
        <f>IF(C32=0,"",(E32-C32)/ABS(C32)+1)</f>
        <v>0.47557804332851084</v>
      </c>
      <c r="H32" s="61">
        <f>SUM(H30:H31)</f>
        <v>11672.3</v>
      </c>
      <c r="I32" s="30">
        <f>+H32/$H$20</f>
        <v>1.1674599896179545</v>
      </c>
      <c r="J32" s="30">
        <f>IF(H32=0,"",(E32-H32)/ABS(H32))</f>
        <v>-0.73442509188420457</v>
      </c>
      <c r="K32" s="61">
        <f>SUM(K30:K31)</f>
        <v>78652.53</v>
      </c>
      <c r="L32" s="30">
        <f>+K32/$K$20</f>
        <v>0.69711840110911383</v>
      </c>
      <c r="M32" s="61">
        <f>SUM(M30:M31)</f>
        <v>67362.22</v>
      </c>
      <c r="N32" s="30">
        <f>+M32/$M$20</f>
        <v>0.69345622696683751</v>
      </c>
      <c r="O32" s="30">
        <f>IF(K32=0,"",(M32-K32)/ABS(K32)+1)</f>
        <v>0.85645331434348015</v>
      </c>
      <c r="P32" s="61">
        <f>SUM(P30:P31)</f>
        <v>74576</v>
      </c>
      <c r="Q32" s="30">
        <f>+P32/$P$20</f>
        <v>0.6740408412206127</v>
      </c>
      <c r="R32" s="30">
        <f>IF(P32=0,"",(M32-P32)/ABS(P32))</f>
        <v>-9.6730583565758407E-2</v>
      </c>
      <c r="S32" s="30"/>
      <c r="T32" s="57"/>
      <c r="Y32" s="49"/>
      <c r="Z32" s="49"/>
      <c r="AA32" s="49"/>
    </row>
    <row r="33" spans="1:28" x14ac:dyDescent="0.2">
      <c r="J33" s="30"/>
      <c r="R33" s="30"/>
      <c r="S33" s="30"/>
      <c r="AA33" s="48"/>
      <c r="AB33" s="48"/>
    </row>
    <row r="34" spans="1:28" x14ac:dyDescent="0.2">
      <c r="B34" s="3" t="s">
        <v>53</v>
      </c>
      <c r="C34" s="61">
        <f>C28+C32</f>
        <v>8871.93</v>
      </c>
      <c r="D34" s="30">
        <f>+C34/$C$20</f>
        <v>0.84499641407055848</v>
      </c>
      <c r="E34" s="61">
        <f>E28+E32</f>
        <v>5947.79</v>
      </c>
      <c r="F34" s="30">
        <f>+E34/$E$20</f>
        <v>0.69621877117964559</v>
      </c>
      <c r="G34" s="30">
        <f>IF(C34=0,"",(E34-C34)/ABS(C34)+1)</f>
        <v>0.67040542474974441</v>
      </c>
      <c r="H34" s="61">
        <f>H28+H32</f>
        <v>14194.919999999998</v>
      </c>
      <c r="I34" s="30">
        <f>+H34/$H$20</f>
        <v>1.4197716950239194</v>
      </c>
      <c r="J34" s="30">
        <f>IF(H34=0,"",(E34-H34)/ABS(H34))</f>
        <v>-0.5809916505341346</v>
      </c>
      <c r="K34" s="61">
        <f>K28+K32</f>
        <v>104942.76</v>
      </c>
      <c r="L34" s="30">
        <f>+K34/$K$20</f>
        <v>0.93013573828047813</v>
      </c>
      <c r="M34" s="61">
        <f>M28+M32</f>
        <v>90874.2</v>
      </c>
      <c r="N34" s="30">
        <f>+M34/$M$20</f>
        <v>0.93549885767763863</v>
      </c>
      <c r="O34" s="30">
        <f>IF(K34=0,"",(M34-K34)/ABS(K34)+1)</f>
        <v>0.86594063277924083</v>
      </c>
      <c r="P34" s="61">
        <f>P28+P32</f>
        <v>101130.18</v>
      </c>
      <c r="Q34" s="30">
        <f>+P34/$P$20</f>
        <v>0.91404569298423055</v>
      </c>
      <c r="R34" s="30">
        <f>IF(P34=0,"",(M34-P34)/ABS(P34))</f>
        <v>-0.10141364328630678</v>
      </c>
      <c r="S34" s="30"/>
      <c r="T34" s="57"/>
    </row>
    <row r="35" spans="1:28" x14ac:dyDescent="0.2">
      <c r="J35" s="30"/>
      <c r="R35" s="30"/>
      <c r="S35" s="30"/>
      <c r="T35" s="57"/>
    </row>
    <row r="36" spans="1:28" x14ac:dyDescent="0.2">
      <c r="B36" s="19" t="s">
        <v>54</v>
      </c>
      <c r="C36" s="65">
        <f>C24-C34</f>
        <v>1573.7300000000014</v>
      </c>
      <c r="D36" s="38">
        <f>+C36/$C$20</f>
        <v>0.14988804090150182</v>
      </c>
      <c r="E36" s="65">
        <f>E24-E34</f>
        <v>2595.1999999999998</v>
      </c>
      <c r="F36" s="38">
        <f>+E36/$E$20</f>
        <v>0.30378122882035447</v>
      </c>
      <c r="G36" s="38">
        <f>IF(C36=0,"",(E36-C36)/ABS(C36)+1)</f>
        <v>1.6490757626784758</v>
      </c>
      <c r="H36" s="65">
        <f>H24-H34</f>
        <v>-4912.4499999999971</v>
      </c>
      <c r="I36" s="38">
        <f>+H36/$H$20</f>
        <v>-0.49134179433348335</v>
      </c>
      <c r="J36" s="38">
        <f>IF(H36=0,"",(E36-H36)/ABS(H36))</f>
        <v>1.5282903642785171</v>
      </c>
      <c r="K36" s="65">
        <f>K24-K34</f>
        <v>6905.3500000000058</v>
      </c>
      <c r="L36" s="38">
        <f>+K36/$K$20</f>
        <v>6.1203963192268868E-2</v>
      </c>
      <c r="M36" s="65">
        <f>M24-M34</f>
        <v>6217.929999999993</v>
      </c>
      <c r="N36" s="38">
        <f>+M36/$M$20</f>
        <v>6.4010097608776892E-2</v>
      </c>
      <c r="O36" s="38">
        <f>IF(K36=0,"",(M36-K36)/ABS(K36)+1)</f>
        <v>0.90045109950979862</v>
      </c>
      <c r="P36" s="65">
        <f>P24-P34</f>
        <v>7727.9400000000023</v>
      </c>
      <c r="Q36" s="38">
        <f>+P36/$P$20</f>
        <v>6.9847500248101574E-2</v>
      </c>
      <c r="R36" s="38">
        <f>IF(P36=0,"",(M36-P36)/ABS(P36))</f>
        <v>-0.19539618578819309</v>
      </c>
      <c r="S36" s="38"/>
      <c r="T36" s="57"/>
      <c r="V36" s="49"/>
      <c r="W36" s="49"/>
      <c r="Y36" s="49"/>
    </row>
    <row r="37" spans="1:28" x14ac:dyDescent="0.2">
      <c r="J37" s="30"/>
      <c r="R37" s="30"/>
      <c r="S37" s="30"/>
      <c r="U37" s="2" t="s">
        <v>108</v>
      </c>
      <c r="V37" s="48" t="s">
        <v>6</v>
      </c>
      <c r="W37" s="48" t="s">
        <v>109</v>
      </c>
      <c r="X37" s="48"/>
    </row>
    <row r="38" spans="1:28" x14ac:dyDescent="0.2">
      <c r="B38" s="3" t="s">
        <v>55</v>
      </c>
      <c r="C38" s="61">
        <v>0.74</v>
      </c>
      <c r="D38" s="30">
        <f>+C38/$C$20</f>
        <v>7.0480419301348555E-5</v>
      </c>
      <c r="E38" s="61">
        <v>0</v>
      </c>
      <c r="F38" s="30">
        <f>+E38/$E$20</f>
        <v>0</v>
      </c>
      <c r="G38" s="30">
        <f>IF(C38=0,"",(E38-C38)/ABS(C38)+1)</f>
        <v>0</v>
      </c>
      <c r="H38" s="61">
        <v>0</v>
      </c>
      <c r="I38" s="30">
        <f>+H38/$H$20</f>
        <v>0</v>
      </c>
      <c r="J38" s="30" t="str">
        <f>IF(H38=0,"",(E38-H38)/ABS(H38))</f>
        <v/>
      </c>
      <c r="K38" s="61">
        <v>9.1</v>
      </c>
      <c r="L38" s="30">
        <f>+K38/$K$20</f>
        <v>8.0655732880975802E-5</v>
      </c>
      <c r="M38" s="61">
        <v>171.41</v>
      </c>
      <c r="N38" s="30">
        <f>+M38/$M$20</f>
        <v>1.7645696929879332E-3</v>
      </c>
      <c r="O38" s="30">
        <f>IF(K38=0,"",(M38-K38)/ABS(K38)+1)</f>
        <v>18.836263736263739</v>
      </c>
      <c r="P38" s="61">
        <v>832.4</v>
      </c>
      <c r="Q38" s="30">
        <f>+P38/$P$20</f>
        <v>7.5234873985201402E-3</v>
      </c>
      <c r="R38" s="30">
        <f>IF(P38=0,"",(M38-P38)/ABS(P38))</f>
        <v>-0.79407736665064876</v>
      </c>
      <c r="S38" s="30"/>
      <c r="T38" s="57"/>
      <c r="U38" s="2" t="s">
        <v>110</v>
      </c>
      <c r="V38" s="49">
        <f>+V30</f>
        <v>6144.0530208444434</v>
      </c>
      <c r="W38" s="49">
        <f>+W30</f>
        <v>11257.8</v>
      </c>
      <c r="X38" s="90">
        <f>+W38/V38</f>
        <v>1.8323084064877941</v>
      </c>
    </row>
    <row r="39" spans="1:28" x14ac:dyDescent="0.2">
      <c r="B39" s="3" t="s">
        <v>56</v>
      </c>
      <c r="C39" s="61">
        <v>63.02</v>
      </c>
      <c r="D39" s="30">
        <f>+C39/$C$20</f>
        <v>6.0022648977986299E-3</v>
      </c>
      <c r="E39" s="61">
        <v>1.92</v>
      </c>
      <c r="F39" s="30">
        <f>+E39/$E$20</f>
        <v>2.2474566867103905E-4</v>
      </c>
      <c r="G39" s="30">
        <f>IF(C39=0,"",(E39-C39)/ABS(C39)+1)</f>
        <v>3.0466518565534728E-2</v>
      </c>
      <c r="H39" s="61">
        <v>8.41</v>
      </c>
      <c r="I39" s="30">
        <f>+H39/$H$20</f>
        <v>8.4116570964480001E-4</v>
      </c>
      <c r="J39" s="30">
        <f>IF(H39=0,"",(E39-H39)/ABS(H39))</f>
        <v>-0.77170035671819259</v>
      </c>
      <c r="K39" s="61">
        <v>756.24</v>
      </c>
      <c r="L39" s="30">
        <f>+K39/$K$20</f>
        <v>6.7027573004295755E-3</v>
      </c>
      <c r="M39" s="61">
        <v>123.09</v>
      </c>
      <c r="N39" s="30">
        <f>+M39/$M$20</f>
        <v>1.2671424275706477E-3</v>
      </c>
      <c r="O39" s="30">
        <f>IF(K39=0,"",(M39-K39)/ABS(K39)+1)</f>
        <v>0.16276578863852753</v>
      </c>
      <c r="P39" s="61">
        <v>210.84</v>
      </c>
      <c r="Q39" s="30">
        <f>+P39/$P$20</f>
        <v>1.9056368129552936E-3</v>
      </c>
      <c r="R39" s="30">
        <f>IF(P39=0,"",(M39-P39)/ABS(P39))</f>
        <v>-0.41619237336368808</v>
      </c>
      <c r="S39" s="30"/>
      <c r="T39" s="57"/>
      <c r="U39" s="2" t="s">
        <v>111</v>
      </c>
      <c r="V39" s="49">
        <f>+'VENEZUELA USD'!W24</f>
        <v>0</v>
      </c>
      <c r="W39" s="49">
        <f>+'VENEZUELA USD'!Y24</f>
        <v>0</v>
      </c>
    </row>
    <row r="40" spans="1:28" x14ac:dyDescent="0.2">
      <c r="J40" s="30"/>
      <c r="R40" s="30"/>
      <c r="S40" s="30"/>
      <c r="U40" s="2" t="s">
        <v>112</v>
      </c>
      <c r="V40" s="49">
        <f>+'PANAMA USD'!U30</f>
        <v>4900.67</v>
      </c>
      <c r="W40" s="49">
        <f>+'PANAMA USD'!V30</f>
        <v>4900.67</v>
      </c>
    </row>
    <row r="41" spans="1:28" x14ac:dyDescent="0.2">
      <c r="B41" s="3" t="s">
        <v>57</v>
      </c>
      <c r="C41" s="61">
        <f>C36+C38-C39</f>
        <v>1511.4500000000014</v>
      </c>
      <c r="D41" s="30">
        <f>+C41/$C$20</f>
        <v>0.14395625642300455</v>
      </c>
      <c r="E41" s="61">
        <f>E36+E38-E39</f>
        <v>2593.2799999999997</v>
      </c>
      <c r="F41" s="30">
        <f>+E41/$E$20</f>
        <v>0.30355648315168343</v>
      </c>
      <c r="G41" s="30">
        <f>IF(C41=0,"",(E41-C41)/ABS(C41)+1)</f>
        <v>1.7157563928677741</v>
      </c>
      <c r="H41" s="61">
        <f>H36+H38-H39</f>
        <v>-4920.8599999999969</v>
      </c>
      <c r="I41" s="30">
        <f>+H41/$H$20</f>
        <v>-0.49218296004312817</v>
      </c>
      <c r="J41" s="30">
        <f>IF(H41=0,"",(E41-H41)/ABS(H41))</f>
        <v>1.5269973134777257</v>
      </c>
      <c r="K41" s="61">
        <f>K36+K38-K39</f>
        <v>6158.2100000000064</v>
      </c>
      <c r="L41" s="30">
        <f>+K41/$K$20</f>
        <v>5.4581861624720271E-2</v>
      </c>
      <c r="M41" s="61">
        <f>M36+M38-M39</f>
        <v>6266.2499999999927</v>
      </c>
      <c r="N41" s="30">
        <f>+M41/$M$20</f>
        <v>6.4507524874194172E-2</v>
      </c>
      <c r="O41" s="30">
        <f>IF(K41=0,"",(M41-K41)/ABS(K41)+1)</f>
        <v>1.0175440590691103</v>
      </c>
      <c r="P41" s="61">
        <f>P36+P38-P39</f>
        <v>8349.5000000000018</v>
      </c>
      <c r="Q41" s="30">
        <f>+P41/$P$20</f>
        <v>7.5465350833666414E-2</v>
      </c>
      <c r="R41" s="30">
        <f>IF(P41=0,"",(M41-P41)/ABS(P41))</f>
        <v>-0.24950595844062623</v>
      </c>
      <c r="S41" s="30"/>
      <c r="T41" s="57"/>
      <c r="U41" s="2" t="s">
        <v>113</v>
      </c>
      <c r="V41" s="49">
        <f>SUM(V38:V40)</f>
        <v>11044.723020844443</v>
      </c>
      <c r="W41" s="49">
        <f>SUM(W38:W40)</f>
        <v>16158.47</v>
      </c>
      <c r="X41" s="2" t="s">
        <v>114</v>
      </c>
    </row>
    <row r="42" spans="1:28" x14ac:dyDescent="0.2">
      <c r="A42" s="89"/>
      <c r="B42" s="3" t="s">
        <v>43</v>
      </c>
      <c r="C42" s="61">
        <v>483.55</v>
      </c>
      <c r="D42" s="30">
        <f>+C42/$C$20</f>
        <v>4.6055144261036615E-2</v>
      </c>
      <c r="E42" s="61">
        <v>688.72</v>
      </c>
      <c r="F42" s="30">
        <f>+E42/$E$20</f>
        <v>8.0618144232873973E-2</v>
      </c>
      <c r="G42" s="30">
        <f>IF(C42=0,"",(E42-C42)/ABS(C42)+1)</f>
        <v>1.4242994519698067</v>
      </c>
      <c r="H42" s="61">
        <v>-1090.44</v>
      </c>
      <c r="I42" s="30">
        <f>+H42/$H$20</f>
        <v>-0.10906548590072244</v>
      </c>
      <c r="J42" s="30">
        <f>IF(H42=0,"",(E42-H42)/ABS(H42))</f>
        <v>1.6315982539158504</v>
      </c>
      <c r="K42" s="61">
        <v>1847.48</v>
      </c>
      <c r="L42" s="30">
        <f>+K42/$K$20</f>
        <v>1.6374709162961007E-2</v>
      </c>
      <c r="M42" s="61">
        <v>1584.75</v>
      </c>
      <c r="N42" s="30">
        <f>+M42/$M$20</f>
        <v>1.631411131767474E-2</v>
      </c>
      <c r="O42" s="30">
        <f>IF(K42=0,"",(M42-K42)/ABS(K42)+1)</f>
        <v>0.8577900707991426</v>
      </c>
      <c r="P42" s="61">
        <v>2608.79</v>
      </c>
      <c r="Q42" s="30">
        <f>+P42/$P$20</f>
        <v>2.3579046961058815E-2</v>
      </c>
      <c r="R42" s="30">
        <f>IF(P42=0,"",(M42-P42)/ABS(P42))</f>
        <v>-0.39253447000333486</v>
      </c>
      <c r="S42" s="30"/>
      <c r="T42" s="57"/>
      <c r="U42" s="2" t="s">
        <v>115</v>
      </c>
      <c r="V42" s="49">
        <f>+V41-V39</f>
        <v>11044.723020844443</v>
      </c>
      <c r="W42" s="49">
        <f>+W41-W39</f>
        <v>16158.47</v>
      </c>
      <c r="X42" s="91">
        <f>+W42/V42</f>
        <v>1.4630036416037326</v>
      </c>
    </row>
    <row r="43" spans="1:28" x14ac:dyDescent="0.2">
      <c r="B43" s="19" t="s">
        <v>58</v>
      </c>
      <c r="C43" s="65">
        <f>C41-C42</f>
        <v>1027.9000000000015</v>
      </c>
      <c r="D43" s="38">
        <f>+C43/$C$20</f>
        <v>9.7901112161967938E-2</v>
      </c>
      <c r="E43" s="65">
        <f>E41-E42</f>
        <v>1904.5599999999997</v>
      </c>
      <c r="F43" s="38">
        <f>+E43/$E$20</f>
        <v>0.22293833891880943</v>
      </c>
      <c r="G43" s="38">
        <f>IF(C43=0,"",(E43-C43)/ABS(C43)+1)</f>
        <v>1.8528650646950062</v>
      </c>
      <c r="H43" s="65">
        <f>H41-H42</f>
        <v>-3830.4199999999969</v>
      </c>
      <c r="I43" s="38">
        <f>+H43/$H$20</f>
        <v>-0.38311747414240571</v>
      </c>
      <c r="J43" s="38">
        <f>IF(H43=0,"",(E43-H43)/ABS(H43))</f>
        <v>1.4972196260462303</v>
      </c>
      <c r="K43" s="65">
        <f>K41-K42</f>
        <v>4310.7300000000068</v>
      </c>
      <c r="L43" s="38">
        <f>+K43/$K$20</f>
        <v>3.8207152461759271E-2</v>
      </c>
      <c r="M43" s="65">
        <f>M41-M42</f>
        <v>4681.4999999999927</v>
      </c>
      <c r="N43" s="38">
        <f>+M43/$M$20</f>
        <v>4.8193413556519432E-2</v>
      </c>
      <c r="O43" s="38">
        <f>IF(K43=0,"",(M43-K43)/ABS(K43)+1)</f>
        <v>1.0860109540611418</v>
      </c>
      <c r="P43" s="65">
        <f>P41-P42</f>
        <v>5740.7100000000019</v>
      </c>
      <c r="Q43" s="38">
        <f>+P43/$P$20</f>
        <v>5.1886303872607606E-2</v>
      </c>
      <c r="R43" s="38">
        <f>IF(P43=0,"",(M43-P43)/ABS(P43))</f>
        <v>-0.18450853640055129</v>
      </c>
      <c r="S43" s="38"/>
      <c r="T43" s="57"/>
    </row>
    <row r="44" spans="1:28" x14ac:dyDescent="0.2">
      <c r="J44" s="30"/>
      <c r="R44" s="30"/>
      <c r="S44" s="30"/>
    </row>
    <row r="45" spans="1:28" x14ac:dyDescent="0.2">
      <c r="A45" s="89"/>
      <c r="B45" s="3" t="s">
        <v>59</v>
      </c>
      <c r="C45" s="61">
        <v>2032.5200000000013</v>
      </c>
      <c r="D45" s="30">
        <f>+C45/$C$20</f>
        <v>0.19358494843023927</v>
      </c>
      <c r="E45" s="61">
        <v>2927.06</v>
      </c>
      <c r="F45" s="30">
        <f>+E45/$E$20</f>
        <v>0.34262711298971438</v>
      </c>
      <c r="G45" s="30">
        <f>IF(C45=0,"",(E45-C45)/ABS(C45)+1)</f>
        <v>1.4401137504181991</v>
      </c>
      <c r="H45" s="61">
        <v>-4561.9099999999971</v>
      </c>
      <c r="I45" s="30">
        <f>+H45/$H$20</f>
        <v>-0.45628088733480465</v>
      </c>
      <c r="J45" s="30">
        <f>IF(H45=0,"",(E45-H45)/ABS(H45))</f>
        <v>1.6416303697354842</v>
      </c>
      <c r="K45" s="61">
        <v>12410.720000000005</v>
      </c>
      <c r="L45" s="30">
        <f>+K45/$K$20</f>
        <v>0.10999952936050378</v>
      </c>
      <c r="M45" s="61">
        <v>10349.629999999994</v>
      </c>
      <c r="N45" s="30">
        <f>+M45/$M$20</f>
        <v>0.1065436289110244</v>
      </c>
      <c r="O45" s="30">
        <f>IF(K45=0,"",(M45-K45)/ABS(K45)+1)</f>
        <v>0.83392663761651131</v>
      </c>
      <c r="P45" s="61">
        <v>12567.980000000003</v>
      </c>
      <c r="Q45" s="30">
        <f>+P45/$P$20</f>
        <v>0.11359327144984764</v>
      </c>
      <c r="R45" s="30">
        <f>IF(P45=0,"",(M45-P45)/ABS(P45))</f>
        <v>-0.17650807846607083</v>
      </c>
      <c r="S45" s="30"/>
      <c r="T45" s="57"/>
    </row>
    <row r="46" spans="1:28" x14ac:dyDescent="0.2">
      <c r="B46" s="3" t="s">
        <v>34</v>
      </c>
      <c r="C46" s="61">
        <v>6346.83</v>
      </c>
      <c r="D46" s="30">
        <f>+C46/$C$20</f>
        <v>0.60449626977618653</v>
      </c>
      <c r="E46" s="61">
        <v>2844.73</v>
      </c>
      <c r="F46" s="30">
        <f>+E46/$E$20</f>
        <v>0.33298997189508595</v>
      </c>
      <c r="G46" s="30">
        <f>IF(C46=0,"",(E46-C46)/ABS(C46)+1)</f>
        <v>0.44821272981945315</v>
      </c>
      <c r="H46" s="61">
        <v>11731.56</v>
      </c>
      <c r="I46" s="30">
        <f>+H46/$H$20</f>
        <v>1.1733871572699821</v>
      </c>
      <c r="J46" s="30">
        <f>IF(H46=0,"",(E46-H46)/ABS(H46))</f>
        <v>-0.75751477211896801</v>
      </c>
      <c r="K46" s="61">
        <v>74962.62</v>
      </c>
      <c r="L46" s="30">
        <f>+K46/$K$20</f>
        <v>0.66441374228330696</v>
      </c>
      <c r="M46" s="61">
        <v>63832.01</v>
      </c>
      <c r="N46" s="30">
        <f>+M46/$M$20</f>
        <v>0.65711469744182183</v>
      </c>
      <c r="O46" s="30">
        <f>IF(K46=0,"",(M46-K46)/ABS(K46)+1)</f>
        <v>0.85151786316967049</v>
      </c>
      <c r="P46" s="61">
        <v>71428.69</v>
      </c>
      <c r="Q46" s="30">
        <f>+P46/$P$20</f>
        <v>0.64559448475228443</v>
      </c>
      <c r="R46" s="30">
        <f>IF(P46=0,"",(M46-P46)/ABS(P46))</f>
        <v>-0.10635334345344986</v>
      </c>
      <c r="S46" s="30"/>
    </row>
    <row r="47" spans="1:28" x14ac:dyDescent="0.2">
      <c r="B47" s="3"/>
      <c r="H47" s="2" t="s">
        <v>61</v>
      </c>
      <c r="P47" s="2" t="s">
        <v>61</v>
      </c>
    </row>
    <row r="49" spans="2:19" x14ac:dyDescent="0.2">
      <c r="M49" s="49"/>
    </row>
    <row r="55" spans="2:19" x14ac:dyDescent="0.2">
      <c r="H55" s="49"/>
    </row>
    <row r="56" spans="2:19" x14ac:dyDescent="0.2">
      <c r="B56" s="2" t="s">
        <v>116</v>
      </c>
      <c r="C56" s="49" t="s">
        <v>117</v>
      </c>
      <c r="E56" s="49" t="s">
        <v>118</v>
      </c>
      <c r="N56" s="49" t="s">
        <v>119</v>
      </c>
      <c r="R56" s="49" t="s">
        <v>120</v>
      </c>
      <c r="S56" s="49"/>
    </row>
    <row r="57" spans="2:19" x14ac:dyDescent="0.2">
      <c r="B57" s="2" t="s">
        <v>110</v>
      </c>
      <c r="C57" s="49">
        <f>+C36</f>
        <v>1573.7300000000014</v>
      </c>
      <c r="E57" s="49">
        <f>+E36</f>
        <v>2595.1999999999998</v>
      </c>
      <c r="N57" s="49">
        <f>+K36</f>
        <v>6905.3500000000058</v>
      </c>
      <c r="R57" s="49">
        <f>+M36</f>
        <v>6217.929999999993</v>
      </c>
      <c r="S57" s="49"/>
    </row>
    <row r="58" spans="2:19" x14ac:dyDescent="0.2">
      <c r="B58" s="2" t="s">
        <v>121</v>
      </c>
      <c r="C58" s="49">
        <f>+'VENEZUELA USD'!C36</f>
        <v>0</v>
      </c>
      <c r="E58" s="49">
        <f>+'VENEZUELA USD'!E36</f>
        <v>0</v>
      </c>
      <c r="N58" s="49">
        <f>+'VENEZUELA USD'!K36</f>
        <v>0</v>
      </c>
      <c r="R58" s="49" t="str">
        <f>+'VENEZUELA USD'!O36</f>
        <v/>
      </c>
      <c r="S58" s="49"/>
    </row>
    <row r="59" spans="2:19" x14ac:dyDescent="0.2">
      <c r="B59" s="2" t="s">
        <v>122</v>
      </c>
      <c r="C59" s="49">
        <f>+'PANAMA USD'!C36</f>
        <v>0</v>
      </c>
      <c r="E59" s="49">
        <f>+'PANAMA USD'!E36</f>
        <v>0</v>
      </c>
      <c r="N59" s="49">
        <f>+'PANAMA USD'!K36</f>
        <v>0</v>
      </c>
      <c r="R59" s="49">
        <f>+'PANAMA USD'!M36</f>
        <v>-4045</v>
      </c>
      <c r="S59" s="49"/>
    </row>
    <row r="60" spans="2:19" x14ac:dyDescent="0.2">
      <c r="B60" s="2" t="s">
        <v>123</v>
      </c>
      <c r="C60" s="49">
        <f>SUM(C57:C59)</f>
        <v>1573.7300000000014</v>
      </c>
      <c r="E60" s="49">
        <f>SUM(E57:E59)</f>
        <v>2595.1999999999998</v>
      </c>
      <c r="N60" s="49">
        <f>SUM(N57:N59)</f>
        <v>6905.3500000000058</v>
      </c>
      <c r="R60" s="49">
        <f>SUM(R57:R59)</f>
        <v>2172.929999999993</v>
      </c>
      <c r="S60" s="49"/>
    </row>
    <row r="61" spans="2:19" x14ac:dyDescent="0.2">
      <c r="B61" s="2" t="s">
        <v>124</v>
      </c>
      <c r="C61" s="49">
        <f>+C60-C58</f>
        <v>1573.7300000000014</v>
      </c>
      <c r="E61" s="49">
        <f>+E60-E58</f>
        <v>2595.1999999999998</v>
      </c>
    </row>
    <row r="62" spans="2:19" x14ac:dyDescent="0.2">
      <c r="B62" s="74" t="s">
        <v>125</v>
      </c>
    </row>
    <row r="63" spans="2:19" x14ac:dyDescent="0.2">
      <c r="B63" s="2" t="s">
        <v>110</v>
      </c>
      <c r="C63" s="49">
        <f>+C43</f>
        <v>1027.9000000000015</v>
      </c>
      <c r="E63" s="49">
        <f>+E43</f>
        <v>1904.5599999999997</v>
      </c>
      <c r="K63" s="2">
        <f>+E63/C63</f>
        <v>1.8528650646950064</v>
      </c>
    </row>
    <row r="64" spans="2:19" x14ac:dyDescent="0.2">
      <c r="B64" s="2" t="s">
        <v>126</v>
      </c>
      <c r="C64" s="49">
        <f>+'VENEZUELA USD'!C43</f>
        <v>0</v>
      </c>
      <c r="E64" s="49">
        <f>+'VENEZUELA USD'!E43</f>
        <v>0</v>
      </c>
    </row>
    <row r="65" spans="2:6" x14ac:dyDescent="0.2">
      <c r="B65" s="2" t="s">
        <v>122</v>
      </c>
      <c r="C65" s="49">
        <f>+'PANAMA USD'!C43</f>
        <v>0</v>
      </c>
      <c r="E65" s="49">
        <f>+'PANAMA USD'!E43</f>
        <v>0</v>
      </c>
    </row>
    <row r="66" spans="2:6" x14ac:dyDescent="0.2">
      <c r="B66" s="2" t="s">
        <v>127</v>
      </c>
      <c r="C66" s="49">
        <f>SUM(C63:C65)</f>
        <v>1027.9000000000015</v>
      </c>
      <c r="E66" s="49">
        <f>SUM(E63:E65)</f>
        <v>1904.5599999999997</v>
      </c>
    </row>
    <row r="68" spans="2:6" x14ac:dyDescent="0.2">
      <c r="B68" s="74" t="s">
        <v>128</v>
      </c>
      <c r="C68" s="92">
        <f>+C63+C65</f>
        <v>1027.9000000000015</v>
      </c>
      <c r="D68" s="74"/>
      <c r="E68" s="92">
        <f>+E63+E65</f>
        <v>1904.5599999999997</v>
      </c>
      <c r="F68" s="90">
        <f>+E68/C68</f>
        <v>1.8528650646950064</v>
      </c>
    </row>
  </sheetData>
  <conditionalFormatting sqref="R10:S46">
    <cfRule type="cellIs" dxfId="60" priority="3" operator="lessThan">
      <formula>0</formula>
    </cfRule>
  </conditionalFormatting>
  <conditionalFormatting sqref="J10:J46">
    <cfRule type="cellIs" dxfId="59" priority="2" operator="lessThan">
      <formula>0</formula>
    </cfRule>
  </conditionalFormatting>
  <conditionalFormatting sqref="AD19:AD28 AD30 AD10:AD11 AD13:AD17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E2893-D698-482C-94C1-54B99F161A77}">
  <sheetPr>
    <tabColor theme="0" tint="-0.14999847407452621"/>
  </sheetPr>
  <dimension ref="A1:AH48"/>
  <sheetViews>
    <sheetView showGridLines="0" topLeftCell="O3" zoomScale="98" zoomScaleNormal="98" workbookViewId="0">
      <selection activeCell="AE38" sqref="AE38"/>
    </sheetView>
  </sheetViews>
  <sheetFormatPr baseColWidth="10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6.42578125" style="2" bestFit="1" customWidth="1"/>
    <col min="19" max="19" width="14.140625" style="57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48" customFormat="1" ht="19.5" customHeight="1" x14ac:dyDescent="0.2">
      <c r="B1" s="43"/>
      <c r="S1" s="57"/>
    </row>
    <row r="2" spans="1:34" ht="13.5" customHeight="1" x14ac:dyDescent="0.2">
      <c r="A2" s="48"/>
      <c r="X2" s="48"/>
      <c r="Y2" s="48"/>
    </row>
    <row r="3" spans="1:34" ht="25.5" customHeight="1" x14ac:dyDescent="0.25">
      <c r="B3" s="15" t="s">
        <v>129</v>
      </c>
      <c r="T3" s="17" t="s">
        <v>129</v>
      </c>
    </row>
    <row r="4" spans="1:34" x14ac:dyDescent="0.2">
      <c r="B4" s="3" t="s">
        <v>105</v>
      </c>
      <c r="C4" s="86"/>
      <c r="S4" s="93"/>
      <c r="T4" s="3" t="s">
        <v>20</v>
      </c>
    </row>
    <row r="5" spans="1:34" ht="15.75" customHeight="1" thickBot="1" x14ac:dyDescent="0.25">
      <c r="B5" s="3" t="s">
        <v>130</v>
      </c>
      <c r="T5" s="3" t="s">
        <v>130</v>
      </c>
      <c r="X5" s="20" t="s">
        <v>22</v>
      </c>
      <c r="Y5" s="20"/>
      <c r="Z5" s="20"/>
      <c r="AA5" s="20"/>
      <c r="AB5" s="20"/>
      <c r="AC5" s="20"/>
      <c r="AD5" s="2" t="s">
        <v>106</v>
      </c>
    </row>
    <row r="6" spans="1:34" ht="13.5" thickBot="1" x14ac:dyDescent="0.25">
      <c r="B6" s="74" t="str">
        <f>+'COL. CONS.$'!B6</f>
        <v>DICIEMBRE De 2022</v>
      </c>
      <c r="K6" s="94" t="s">
        <v>22</v>
      </c>
      <c r="L6" s="94"/>
      <c r="M6" s="94"/>
      <c r="N6" s="94"/>
      <c r="O6" s="94"/>
      <c r="P6" s="94"/>
      <c r="Q6" s="94"/>
      <c r="R6" s="94"/>
      <c r="T6" s="19" t="str">
        <f>+B6</f>
        <v>DICIEMBRE De 2022</v>
      </c>
      <c r="Z6" s="2" t="s">
        <v>25</v>
      </c>
      <c r="AA6" s="2" t="s">
        <v>23</v>
      </c>
      <c r="AC6" s="2" t="s">
        <v>24</v>
      </c>
      <c r="AD6" s="2" t="s">
        <v>63</v>
      </c>
      <c r="AE6" s="2" t="s">
        <v>131</v>
      </c>
      <c r="AF6" s="2" t="s">
        <v>107</v>
      </c>
    </row>
    <row r="7" spans="1:34" x14ac:dyDescent="0.2">
      <c r="C7" s="55" t="str">
        <f>+'COL. CONS.$'!C7:C7</f>
        <v>Ppto 2022</v>
      </c>
      <c r="D7" s="55"/>
      <c r="E7" s="55" t="s">
        <v>64</v>
      </c>
      <c r="F7" s="55"/>
      <c r="G7" s="55" t="s">
        <v>23</v>
      </c>
      <c r="H7" s="55" t="s">
        <v>65</v>
      </c>
      <c r="I7" s="55"/>
      <c r="J7" s="55" t="s">
        <v>24</v>
      </c>
      <c r="K7" s="55" t="str">
        <f>+C7</f>
        <v>Ppto 2022</v>
      </c>
      <c r="L7" s="55"/>
      <c r="M7" s="55" t="str">
        <f>+E7</f>
        <v>Real 2022</v>
      </c>
      <c r="N7" s="55"/>
      <c r="O7" s="55" t="s">
        <v>23</v>
      </c>
      <c r="P7" s="55" t="str">
        <f>+H7</f>
        <v>Real 2021</v>
      </c>
      <c r="Q7" s="55"/>
      <c r="R7" s="55" t="s">
        <v>24</v>
      </c>
      <c r="U7" s="48" t="str">
        <f>+C7</f>
        <v>Ppto 2022</v>
      </c>
      <c r="V7" s="48" t="str">
        <f>+M7</f>
        <v>Real 2022</v>
      </c>
      <c r="W7" s="48" t="str">
        <f>+H7</f>
        <v>Real 2021</v>
      </c>
      <c r="X7" s="48" t="str">
        <f>+U7</f>
        <v>Ppto 2022</v>
      </c>
      <c r="Y7" s="48" t="str">
        <f>+V7</f>
        <v>Real 2022</v>
      </c>
      <c r="Z7" s="48" t="s">
        <v>25</v>
      </c>
      <c r="AA7" s="48" t="s">
        <v>23</v>
      </c>
      <c r="AB7" s="48" t="str">
        <f>+W7</f>
        <v>Real 2021</v>
      </c>
      <c r="AC7" s="48" t="s">
        <v>24</v>
      </c>
      <c r="AD7" s="62"/>
      <c r="AE7" s="62"/>
      <c r="AG7" s="62"/>
    </row>
    <row r="8" spans="1:34" ht="13.5" thickBot="1" x14ac:dyDescent="0.25">
      <c r="B8" s="26"/>
      <c r="C8" s="27" t="s">
        <v>27</v>
      </c>
      <c r="D8" s="27" t="s">
        <v>28</v>
      </c>
      <c r="E8" s="27" t="s">
        <v>27</v>
      </c>
      <c r="F8" s="27" t="s">
        <v>28</v>
      </c>
      <c r="G8" s="27" t="s">
        <v>29</v>
      </c>
      <c r="H8" s="27" t="s">
        <v>27</v>
      </c>
      <c r="I8" s="27" t="s">
        <v>28</v>
      </c>
      <c r="J8" s="27" t="s">
        <v>29</v>
      </c>
      <c r="K8" s="27" t="s">
        <v>27</v>
      </c>
      <c r="L8" s="27" t="s">
        <v>28</v>
      </c>
      <c r="M8" s="27" t="s">
        <v>27</v>
      </c>
      <c r="N8" s="27" t="s">
        <v>28</v>
      </c>
      <c r="O8" s="27" t="s">
        <v>29</v>
      </c>
      <c r="P8" s="27" t="s">
        <v>27</v>
      </c>
      <c r="Q8" s="27" t="s">
        <v>28</v>
      </c>
      <c r="R8" s="27" t="s">
        <v>29</v>
      </c>
      <c r="T8" s="26"/>
      <c r="U8" s="27"/>
      <c r="V8" s="27"/>
      <c r="W8" s="27"/>
      <c r="X8" s="26"/>
      <c r="Y8" s="26"/>
      <c r="Z8" s="27"/>
      <c r="AA8" s="27" t="s">
        <v>29</v>
      </c>
      <c r="AB8" s="26"/>
      <c r="AC8" s="27" t="s">
        <v>29</v>
      </c>
      <c r="AD8" s="62"/>
      <c r="AE8" s="62"/>
      <c r="AG8" s="62"/>
      <c r="AH8" s="62"/>
    </row>
    <row r="9" spans="1:34" x14ac:dyDescent="0.2">
      <c r="AD9" s="62"/>
      <c r="AE9" s="62"/>
      <c r="AG9" s="62"/>
      <c r="AH9" s="62"/>
    </row>
    <row r="10" spans="1:34" x14ac:dyDescent="0.2">
      <c r="B10" s="3" t="str">
        <f>+'COLOMB$ '!B10</f>
        <v>Musical Experience  (Ambiental)</v>
      </c>
      <c r="C10" s="61"/>
      <c r="D10" s="63" t="str">
        <f t="shared" ref="D10:D20" si="0">IF($C$20=0," ",C10/$C$20)</f>
        <v xml:space="preserve"> </v>
      </c>
      <c r="E10" s="61"/>
      <c r="F10" s="63" t="e">
        <f t="shared" ref="F10:F15" si="1">+E10/$E$20</f>
        <v>#DIV/0!</v>
      </c>
      <c r="G10" s="63" t="str">
        <f t="shared" ref="G10:G15" si="2">IF(C10=0,"",(E10-C10)/ABS(C10)+1)</f>
        <v/>
      </c>
      <c r="H10" s="61">
        <v>7291</v>
      </c>
      <c r="I10" s="63">
        <f t="shared" ref="I10:I15" si="3">+H10/$H$20</f>
        <v>0.5751002343468381</v>
      </c>
      <c r="J10" s="63">
        <f t="shared" ref="J10:J15" si="4">IF(H10=0,"",(E10-H10)/ABS(H10))</f>
        <v>-1</v>
      </c>
      <c r="K10" s="61"/>
      <c r="L10" s="63" t="str">
        <f t="shared" ref="L10:L20" si="5">IF($K$20=0," ",K10/$K$20)</f>
        <v xml:space="preserve"> </v>
      </c>
      <c r="M10" s="61">
        <v>147756</v>
      </c>
      <c r="N10" s="63">
        <f t="shared" ref="N10:N15" si="6">+M10/$M$20</f>
        <v>0.44302819769715057</v>
      </c>
      <c r="O10" s="63" t="str">
        <f>IF(K10=0,"",(M10-K10)/ABS(K10)+1)</f>
        <v/>
      </c>
      <c r="P10" s="61">
        <v>47766</v>
      </c>
      <c r="Q10" s="63">
        <f t="shared" ref="Q10:Q15" si="7">+P10/$P$20</f>
        <v>0.54437592744223007</v>
      </c>
      <c r="R10" s="63">
        <f t="shared" ref="R10:R15" si="8">IF(P10=0,"",(M10-P10)/ABS(P10))</f>
        <v>2.0933299836703934</v>
      </c>
      <c r="T10" s="3" t="s">
        <v>30</v>
      </c>
      <c r="U10" s="61">
        <v>236652</v>
      </c>
      <c r="V10" s="61">
        <v>58133</v>
      </c>
      <c r="W10" s="61">
        <v>10170</v>
      </c>
      <c r="X10" s="61">
        <v>236652</v>
      </c>
      <c r="Y10" s="61">
        <v>14767</v>
      </c>
      <c r="Z10" s="57">
        <f>+Y10-X10</f>
        <v>-221885</v>
      </c>
      <c r="AA10" s="63">
        <f>IF(X10=0,"",(Y10-X10)/ABS(X10)+1)</f>
        <v>6.2399641667934325E-2</v>
      </c>
      <c r="AB10" s="61">
        <v>459</v>
      </c>
      <c r="AC10" s="63">
        <f>IF(W10=0,"",(Y10-AB10)/ABS(AB10))</f>
        <v>31.17211328976035</v>
      </c>
      <c r="AD10" s="62"/>
      <c r="AE10" s="62"/>
      <c r="AF10" s="62">
        <v>14767</v>
      </c>
      <c r="AG10" s="62"/>
      <c r="AH10" s="62"/>
    </row>
    <row r="11" spans="1:34" ht="13.5" customHeight="1" x14ac:dyDescent="0.2">
      <c r="B11" s="3" t="str">
        <f>+'COLOMB$ '!B11</f>
        <v>Instalaciones</v>
      </c>
      <c r="C11" s="61"/>
      <c r="D11" s="63" t="str">
        <f t="shared" si="0"/>
        <v xml:space="preserve"> </v>
      </c>
      <c r="E11" s="61"/>
      <c r="F11" s="63" t="e">
        <f t="shared" si="1"/>
        <v>#DIV/0!</v>
      </c>
      <c r="G11" s="63" t="str">
        <f t="shared" si="2"/>
        <v/>
      </c>
      <c r="H11" s="61">
        <v>1349.48</v>
      </c>
      <c r="I11" s="63">
        <f t="shared" si="3"/>
        <v>0.10644441972930614</v>
      </c>
      <c r="J11" s="63">
        <f t="shared" si="4"/>
        <v>-1</v>
      </c>
      <c r="K11" s="61"/>
      <c r="L11" s="63" t="str">
        <f t="shared" si="5"/>
        <v xml:space="preserve"> </v>
      </c>
      <c r="M11" s="61">
        <v>32459.800000000003</v>
      </c>
      <c r="N11" s="63">
        <f t="shared" si="6"/>
        <v>9.7326718993543199E-2</v>
      </c>
      <c r="O11" s="63" t="str">
        <f>IF(K11=0,"",(M11-K11)/ABS(K11)+1)</f>
        <v/>
      </c>
      <c r="P11" s="61">
        <v>12619.8815741</v>
      </c>
      <c r="Q11" s="63">
        <f t="shared" si="7"/>
        <v>0.14382530955306699</v>
      </c>
      <c r="R11" s="63">
        <f t="shared" si="8"/>
        <v>1.5721160542914927</v>
      </c>
      <c r="T11" s="3" t="s">
        <v>31</v>
      </c>
      <c r="U11" s="61"/>
      <c r="V11" s="61"/>
      <c r="W11" s="61">
        <v>15285</v>
      </c>
      <c r="X11" s="61">
        <f>+AD8+U11</f>
        <v>0</v>
      </c>
      <c r="Y11" s="61">
        <f>+V11+AF11</f>
        <v>284344.33</v>
      </c>
      <c r="Z11" s="57">
        <f>+Y11-X11</f>
        <v>284344.33</v>
      </c>
      <c r="AA11" s="63" t="str">
        <f>IF(X11=0,"",(Y11-X11)/ABS(X11)+1)</f>
        <v/>
      </c>
      <c r="AB11" s="61">
        <v>85547</v>
      </c>
      <c r="AC11" s="63">
        <f>IF(AB11=0,"",(Y11-AB11)/ABS(AB11))</f>
        <v>2.3238375395981157</v>
      </c>
      <c r="AD11" s="62"/>
      <c r="AE11" s="62"/>
      <c r="AF11" s="62">
        <v>284344.33</v>
      </c>
      <c r="AG11" s="62"/>
      <c r="AH11" s="62"/>
    </row>
    <row r="12" spans="1:34" x14ac:dyDescent="0.2">
      <c r="B12" s="3" t="str">
        <f>+'COLOMB$ '!B12</f>
        <v>Voice Experience (Publihold)</v>
      </c>
      <c r="C12" s="61"/>
      <c r="D12" s="63" t="str">
        <f t="shared" si="0"/>
        <v xml:space="preserve"> </v>
      </c>
      <c r="E12" s="61"/>
      <c r="F12" s="63" t="e">
        <f t="shared" si="1"/>
        <v>#DIV/0!</v>
      </c>
      <c r="G12" s="63" t="str">
        <f t="shared" si="2"/>
        <v/>
      </c>
      <c r="H12" s="61">
        <v>1768.92</v>
      </c>
      <c r="I12" s="63">
        <f t="shared" si="3"/>
        <v>0.13952905041020558</v>
      </c>
      <c r="J12" s="63">
        <f t="shared" si="4"/>
        <v>-1</v>
      </c>
      <c r="K12" s="61"/>
      <c r="L12" s="63" t="str">
        <f t="shared" si="5"/>
        <v xml:space="preserve"> </v>
      </c>
      <c r="M12" s="61">
        <v>45289.649999999994</v>
      </c>
      <c r="N12" s="63">
        <f t="shared" si="6"/>
        <v>0.13579544664064236</v>
      </c>
      <c r="O12" s="63" t="str">
        <f>IF(K12=0,"",(M12-K12)/ABS(K12)+1)</f>
        <v/>
      </c>
      <c r="P12" s="61">
        <v>11581.51905094</v>
      </c>
      <c r="Q12" s="63">
        <f t="shared" si="7"/>
        <v>0.131991378272104</v>
      </c>
      <c r="R12" s="63">
        <f t="shared" si="8"/>
        <v>2.9105103398611702</v>
      </c>
      <c r="AF12" s="62"/>
      <c r="AG12" s="62"/>
      <c r="AH12" s="62"/>
    </row>
    <row r="13" spans="1:34" x14ac:dyDescent="0.2">
      <c r="B13" s="3" t="str">
        <f>+'COLOMB$ '!B13</f>
        <v>Service &amp; Equipment Experience</v>
      </c>
      <c r="C13" s="61"/>
      <c r="D13" s="63" t="str">
        <f t="shared" si="0"/>
        <v xml:space="preserve"> </v>
      </c>
      <c r="E13" s="61"/>
      <c r="F13" s="63" t="e">
        <f t="shared" si="1"/>
        <v>#DIV/0!</v>
      </c>
      <c r="G13" s="63" t="str">
        <f t="shared" si="2"/>
        <v/>
      </c>
      <c r="H13" s="61"/>
      <c r="I13" s="63">
        <f t="shared" si="3"/>
        <v>0</v>
      </c>
      <c r="J13" s="63" t="str">
        <f t="shared" si="4"/>
        <v/>
      </c>
      <c r="K13" s="61"/>
      <c r="L13" s="63" t="str">
        <f t="shared" si="5"/>
        <v xml:space="preserve"> </v>
      </c>
      <c r="M13" s="61">
        <v>65017.07</v>
      </c>
      <c r="N13" s="63">
        <f t="shared" si="6"/>
        <v>0.1949456897970267</v>
      </c>
      <c r="O13" s="63" t="str">
        <f>IF(K13=0,"",(M13-K13)/ABS(K13)+1)</f>
        <v/>
      </c>
      <c r="P13" s="61">
        <v>1620.0621140000001</v>
      </c>
      <c r="Q13" s="63">
        <f t="shared" si="7"/>
        <v>1.8463401076555919E-2</v>
      </c>
      <c r="R13" s="63">
        <f t="shared" si="8"/>
        <v>39.132455069559143</v>
      </c>
      <c r="T13" s="3" t="s">
        <v>32</v>
      </c>
      <c r="U13" s="61"/>
      <c r="V13" s="61"/>
      <c r="W13" s="61"/>
      <c r="X13" s="61">
        <f>+AD9+U13</f>
        <v>0</v>
      </c>
      <c r="Y13" s="61">
        <f>+V13+AF12</f>
        <v>0</v>
      </c>
      <c r="Z13" s="57">
        <f>+X13-Y13</f>
        <v>0</v>
      </c>
      <c r="AA13" s="63" t="str">
        <f>IF(X13=0,"",(Y13-X13)/ABS(X13)+1)</f>
        <v/>
      </c>
      <c r="AB13" s="61">
        <v>0</v>
      </c>
      <c r="AC13" s="63" t="str">
        <f>IF(AB13=0,"",(Y13-AB13)/ABS(AB13))</f>
        <v/>
      </c>
      <c r="AD13" s="62"/>
      <c r="AE13" s="62"/>
      <c r="AF13" s="2">
        <v>0</v>
      </c>
      <c r="AG13" s="62"/>
      <c r="AH13" s="62"/>
    </row>
    <row r="14" spans="1:34" x14ac:dyDescent="0.2">
      <c r="B14" s="3" t="str">
        <f>+'COLOMB$ '!B14</f>
        <v>POP Satelital</v>
      </c>
      <c r="C14" s="61"/>
      <c r="D14" s="63" t="str">
        <f t="shared" si="0"/>
        <v xml:space="preserve"> </v>
      </c>
      <c r="E14" s="61"/>
      <c r="F14" s="63" t="e">
        <f t="shared" si="1"/>
        <v>#DIV/0!</v>
      </c>
      <c r="G14" s="63" t="str">
        <f t="shared" si="2"/>
        <v/>
      </c>
      <c r="H14" s="61"/>
      <c r="I14" s="63">
        <f t="shared" si="3"/>
        <v>0</v>
      </c>
      <c r="J14" s="63" t="str">
        <f t="shared" si="4"/>
        <v/>
      </c>
      <c r="K14" s="61"/>
      <c r="L14" s="63" t="str">
        <f t="shared" si="5"/>
        <v xml:space="preserve"> </v>
      </c>
      <c r="M14" s="61"/>
      <c r="N14" s="63">
        <f t="shared" si="6"/>
        <v>0</v>
      </c>
      <c r="O14" s="63" t="str">
        <f>IF(K14=0,"",(M14-K14)/ABS(K14)+1)</f>
        <v/>
      </c>
      <c r="P14" s="61"/>
      <c r="Q14" s="63">
        <f t="shared" si="7"/>
        <v>0</v>
      </c>
      <c r="R14" s="63" t="str">
        <f t="shared" si="8"/>
        <v/>
      </c>
      <c r="T14" s="3" t="s">
        <v>33</v>
      </c>
      <c r="U14" s="61"/>
      <c r="V14" s="61"/>
      <c r="W14" s="61">
        <v>0</v>
      </c>
      <c r="X14" s="61">
        <f>+AD10+U14</f>
        <v>0</v>
      </c>
      <c r="Y14" s="61">
        <f>+V14+AF14</f>
        <v>0</v>
      </c>
      <c r="Z14" s="57">
        <f>+X14-Y14</f>
        <v>0</v>
      </c>
      <c r="AA14" s="63" t="str">
        <f>IF(X14=0,"",(Y14-X14)/ABS(X14)+1)</f>
        <v/>
      </c>
      <c r="AB14" s="61">
        <v>0</v>
      </c>
      <c r="AC14" s="63" t="str">
        <f>IF(AB14=0,"",(Y14-AB14)/ABS(AB14))</f>
        <v/>
      </c>
      <c r="AD14" s="62"/>
      <c r="AE14" s="62"/>
      <c r="AF14" s="62">
        <v>0</v>
      </c>
      <c r="AG14" s="62"/>
      <c r="AH14" s="62"/>
    </row>
    <row r="15" spans="1:34" x14ac:dyDescent="0.2">
      <c r="B15" s="3" t="str">
        <f>+'COLOMB$ '!B15</f>
        <v>Voice Experience (Audicóm)</v>
      </c>
      <c r="C15" s="61"/>
      <c r="D15" s="63" t="str">
        <f t="shared" si="0"/>
        <v xml:space="preserve"> </v>
      </c>
      <c r="E15" s="61"/>
      <c r="F15" s="63" t="e">
        <f t="shared" si="1"/>
        <v>#DIV/0!</v>
      </c>
      <c r="G15" s="63" t="str">
        <f t="shared" si="2"/>
        <v/>
      </c>
      <c r="H15" s="61">
        <v>2268.39</v>
      </c>
      <c r="I15" s="63">
        <f t="shared" si="3"/>
        <v>0.17892629551365025</v>
      </c>
      <c r="J15" s="63">
        <f t="shared" si="4"/>
        <v>-1</v>
      </c>
      <c r="K15" s="61"/>
      <c r="L15" s="63" t="str">
        <f t="shared" si="5"/>
        <v xml:space="preserve"> </v>
      </c>
      <c r="M15" s="61">
        <v>42991.24</v>
      </c>
      <c r="N15" s="63">
        <f t="shared" si="6"/>
        <v>0.12890394687163734</v>
      </c>
      <c r="O15" s="63"/>
      <c r="P15" s="61">
        <v>14157.049080999999</v>
      </c>
      <c r="Q15" s="63">
        <f t="shared" si="7"/>
        <v>0.16134398365604291</v>
      </c>
      <c r="R15" s="63">
        <f t="shared" si="8"/>
        <v>2.036737370480548</v>
      </c>
      <c r="T15" s="3" t="s">
        <v>34</v>
      </c>
      <c r="U15" s="61"/>
      <c r="V15" s="61"/>
      <c r="W15" s="61">
        <v>4561</v>
      </c>
      <c r="X15" s="61">
        <f>+AD11+U15</f>
        <v>0</v>
      </c>
      <c r="Y15" s="61">
        <f>+V15+AF15</f>
        <v>59746.22</v>
      </c>
      <c r="Z15" s="57">
        <f>+X15-Y15</f>
        <v>-59746.22</v>
      </c>
      <c r="AA15" s="63" t="str">
        <f>IF(X15=0,"",(Y15-X15)/ABS(X15)+1)</f>
        <v/>
      </c>
      <c r="AB15" s="61">
        <v>19216</v>
      </c>
      <c r="AC15" s="63">
        <f>IF(AB15=0,"",(Y15-AB15)/ABS(AB15))</f>
        <v>2.109191298917569</v>
      </c>
      <c r="AD15" s="62"/>
      <c r="AE15" s="62"/>
      <c r="AF15" s="62">
        <v>59746.22</v>
      </c>
      <c r="AG15" s="62"/>
      <c r="AH15" s="62"/>
    </row>
    <row r="16" spans="1:34" x14ac:dyDescent="0.2">
      <c r="B16" s="3" t="str">
        <f>+'COLOMB$ '!B16</f>
        <v>Fact. Servicio Satelital</v>
      </c>
      <c r="C16" s="61"/>
      <c r="D16" s="63" t="str">
        <f t="shared" si="0"/>
        <v xml:space="preserve"> </v>
      </c>
      <c r="E16" s="61"/>
      <c r="F16" s="63"/>
      <c r="G16" s="63"/>
      <c r="H16" s="61"/>
      <c r="I16" s="63"/>
      <c r="J16" s="63"/>
      <c r="K16" s="61"/>
      <c r="L16" s="63" t="str">
        <f t="shared" si="5"/>
        <v xml:space="preserve"> </v>
      </c>
      <c r="M16" s="61"/>
      <c r="N16" s="63"/>
      <c r="O16" s="63"/>
      <c r="P16" s="61"/>
      <c r="Q16" s="63"/>
      <c r="R16" s="63"/>
      <c r="T16" s="3" t="s">
        <v>35</v>
      </c>
      <c r="U16" s="61"/>
      <c r="V16" s="61"/>
      <c r="W16" s="61">
        <v>5347</v>
      </c>
      <c r="X16" s="61">
        <f>+AD13+U16</f>
        <v>0</v>
      </c>
      <c r="Y16" s="61">
        <f>+V16+AF16</f>
        <v>147969.47</v>
      </c>
      <c r="Z16" s="57">
        <f>+X16-Y16</f>
        <v>-147969.47</v>
      </c>
      <c r="AA16" s="63" t="str">
        <f>IF(X16=0,"",(Y16-X16)/ABS(X16)+1)</f>
        <v/>
      </c>
      <c r="AB16" s="61">
        <v>44425</v>
      </c>
      <c r="AC16" s="63">
        <f>IF(AB16=0,"",(Y16-AB16)/ABS(AB16))</f>
        <v>2.3307702870005627</v>
      </c>
      <c r="AD16" s="62"/>
      <c r="AE16" s="62"/>
      <c r="AF16" s="62">
        <v>147969.47</v>
      </c>
      <c r="AG16" s="62"/>
      <c r="AH16" s="62"/>
    </row>
    <row r="17" spans="2:34" x14ac:dyDescent="0.2">
      <c r="B17" s="3" t="str">
        <f>+'COLOMB$ '!B17</f>
        <v>Visual Experience</v>
      </c>
      <c r="C17" s="61"/>
      <c r="D17" s="63" t="str">
        <f t="shared" si="0"/>
        <v xml:space="preserve"> </v>
      </c>
      <c r="E17" s="61"/>
      <c r="F17" s="63"/>
      <c r="G17" s="63"/>
      <c r="H17" s="61"/>
      <c r="I17" s="63"/>
      <c r="J17" s="63"/>
      <c r="K17" s="61"/>
      <c r="L17" s="63" t="str">
        <f t="shared" si="5"/>
        <v xml:space="preserve"> </v>
      </c>
      <c r="M17" s="61"/>
      <c r="N17" s="63"/>
      <c r="O17" s="63"/>
      <c r="P17" s="61"/>
      <c r="Q17" s="63"/>
      <c r="R17" s="63"/>
      <c r="T17" s="3" t="s">
        <v>36</v>
      </c>
      <c r="U17" s="61">
        <f t="shared" ref="U17:Y17" si="9">U13+U14+U15+U16</f>
        <v>0</v>
      </c>
      <c r="V17" s="61">
        <f>V13+V14+V15+V16</f>
        <v>0</v>
      </c>
      <c r="W17" s="61">
        <f>W13+W14+W15+W16</f>
        <v>9908</v>
      </c>
      <c r="X17" s="61">
        <f>X13+X14+X15+X16</f>
        <v>0</v>
      </c>
      <c r="Y17" s="61">
        <f t="shared" si="9"/>
        <v>207715.69</v>
      </c>
      <c r="Z17" s="57">
        <f>+Y17-X17</f>
        <v>207715.69</v>
      </c>
      <c r="AA17" s="63" t="str">
        <f>IF(X17=0,"",(Y17-X17)/ABS(X17)+1)</f>
        <v/>
      </c>
      <c r="AB17" s="61">
        <f>AB13+AB14+AB15+AB16</f>
        <v>63641</v>
      </c>
      <c r="AC17" s="63">
        <f>IF(AB17=0,"",(Y17-AB17)/ABS(AB17))</f>
        <v>2.2638659040555615</v>
      </c>
      <c r="AD17" s="62"/>
      <c r="AE17" s="62"/>
      <c r="AF17" s="62">
        <v>207715.69</v>
      </c>
      <c r="AG17" s="62"/>
      <c r="AH17" s="62"/>
    </row>
    <row r="18" spans="2:34" x14ac:dyDescent="0.2">
      <c r="B18" s="3" t="s">
        <v>132</v>
      </c>
      <c r="C18" s="61"/>
      <c r="D18" s="63" t="str">
        <f t="shared" si="0"/>
        <v xml:space="preserve"> </v>
      </c>
      <c r="E18" s="61"/>
      <c r="F18" s="63"/>
      <c r="G18" s="63"/>
      <c r="H18" s="61"/>
      <c r="I18" s="63"/>
      <c r="J18" s="63"/>
      <c r="K18" s="61"/>
      <c r="L18" s="63" t="str">
        <f t="shared" si="5"/>
        <v xml:space="preserve"> </v>
      </c>
      <c r="M18" s="61"/>
      <c r="N18" s="63"/>
      <c r="O18" s="63"/>
      <c r="P18" s="61"/>
      <c r="Q18" s="63"/>
      <c r="R18" s="63"/>
      <c r="AF18" s="62"/>
      <c r="AG18" s="62"/>
      <c r="AH18" s="62"/>
    </row>
    <row r="19" spans="2:34" x14ac:dyDescent="0.2">
      <c r="B19" s="3" t="str">
        <f>+'COLOMB$ '!B19</f>
        <v>Locutor virtual</v>
      </c>
      <c r="C19" s="61"/>
      <c r="D19" s="63" t="str">
        <f t="shared" si="0"/>
        <v xml:space="preserve"> </v>
      </c>
      <c r="E19" s="61"/>
      <c r="F19" s="63"/>
      <c r="G19" s="63"/>
      <c r="H19" s="61"/>
      <c r="I19" s="63"/>
      <c r="J19" s="63"/>
      <c r="K19" s="61"/>
      <c r="L19" s="63" t="str">
        <f t="shared" si="5"/>
        <v xml:space="preserve"> </v>
      </c>
      <c r="M19" s="61"/>
      <c r="N19" s="63"/>
      <c r="O19" s="63"/>
      <c r="P19" s="61"/>
      <c r="Q19" s="63"/>
      <c r="R19" s="63"/>
      <c r="T19" s="3" t="s">
        <v>37</v>
      </c>
      <c r="U19" s="61">
        <f>+U11-U17</f>
        <v>0</v>
      </c>
      <c r="V19" s="61">
        <f>+V11-V17</f>
        <v>0</v>
      </c>
      <c r="W19" s="61">
        <f>+W11-W17</f>
        <v>5377</v>
      </c>
      <c r="X19" s="61">
        <f>X11-X17</f>
        <v>0</v>
      </c>
      <c r="Y19" s="61">
        <f>Y11-Y17</f>
        <v>76628.640000000014</v>
      </c>
      <c r="Z19" s="57">
        <f>+Y19-X19</f>
        <v>76628.640000000014</v>
      </c>
      <c r="AA19" s="63" t="str">
        <f>IF(X19=0,"",(Y19-X19)/ABS(X19)+1)</f>
        <v/>
      </c>
      <c r="AB19" s="61">
        <f>+AB11-AB17</f>
        <v>21906</v>
      </c>
      <c r="AC19" s="63">
        <f>IF(AB19=0,"",(Y19-AB19)/ABS(AB19))</f>
        <v>2.49806628321008</v>
      </c>
      <c r="AD19" s="62"/>
      <c r="AE19" s="62"/>
      <c r="AF19" s="62">
        <v>76628.640000000014</v>
      </c>
      <c r="AG19" s="62"/>
      <c r="AH19" s="62"/>
    </row>
    <row r="20" spans="2:34" x14ac:dyDescent="0.2">
      <c r="B20" s="3" t="s">
        <v>38</v>
      </c>
      <c r="C20" s="61">
        <f>SUM(C10:C16)</f>
        <v>0</v>
      </c>
      <c r="D20" s="63" t="str">
        <f t="shared" si="0"/>
        <v xml:space="preserve"> </v>
      </c>
      <c r="E20" s="61">
        <f>SUM(E10:E16)</f>
        <v>0</v>
      </c>
      <c r="F20" s="63" t="e">
        <f>+E20/$E$20</f>
        <v>#DIV/0!</v>
      </c>
      <c r="G20" s="63" t="str">
        <f>IF(C20=0,"",(E20-C20)/ABS(C20)+1)</f>
        <v/>
      </c>
      <c r="H20" s="61">
        <f>SUM(H10:H16)</f>
        <v>12677.789999999999</v>
      </c>
      <c r="I20" s="63">
        <f>+H20/$H$20</f>
        <v>1</v>
      </c>
      <c r="J20" s="63">
        <f>IF(H20=0,"",(E20-H20)/ABS(H20))</f>
        <v>-1</v>
      </c>
      <c r="K20" s="61">
        <f>SUM(K10:K16)</f>
        <v>0</v>
      </c>
      <c r="L20" s="63" t="str">
        <f t="shared" si="5"/>
        <v xml:space="preserve"> </v>
      </c>
      <c r="M20" s="61">
        <f>SUM(M10:M19)</f>
        <v>333513.75999999995</v>
      </c>
      <c r="N20" s="63">
        <f>+M20/$M$20</f>
        <v>1</v>
      </c>
      <c r="O20" s="63" t="str">
        <f>IF(K20=0,"",(M20-K20)/ABS(K20)+1)</f>
        <v/>
      </c>
      <c r="P20" s="61">
        <f>SUM(P10:P16)</f>
        <v>87744.511820040003</v>
      </c>
      <c r="Q20" s="63">
        <f>+P20/$P$20</f>
        <v>1</v>
      </c>
      <c r="R20" s="63">
        <f>IF(P20=0,"",(M20-P20)/ABS(P20))</f>
        <v>2.8009643347725439</v>
      </c>
      <c r="T20" s="3"/>
      <c r="U20" s="61"/>
      <c r="V20" s="61"/>
      <c r="W20" s="61"/>
      <c r="X20" s="61"/>
      <c r="Y20" s="61"/>
      <c r="Z20" s="57"/>
      <c r="AA20" s="63"/>
      <c r="AB20" s="61"/>
      <c r="AC20" s="63" t="str">
        <f>IF(AB20=0,"",(Y20-AB20)/ABS(AB20))</f>
        <v/>
      </c>
      <c r="AD20" s="62"/>
      <c r="AE20" s="62"/>
      <c r="AF20" s="62"/>
      <c r="AG20" s="62"/>
      <c r="AH20" s="62"/>
    </row>
    <row r="21" spans="2:34" x14ac:dyDescent="0.2">
      <c r="T21" s="3" t="s">
        <v>39</v>
      </c>
      <c r="U21" s="61">
        <f>+U10+U19</f>
        <v>236652</v>
      </c>
      <c r="V21" s="61">
        <f>+V10+V19</f>
        <v>58133</v>
      </c>
      <c r="W21" s="61">
        <f>+W10+W19</f>
        <v>15547</v>
      </c>
      <c r="X21" s="61">
        <f>+X10+X19</f>
        <v>236652</v>
      </c>
      <c r="Y21" s="61">
        <f>+Y10+Y19</f>
        <v>91395.640000000014</v>
      </c>
      <c r="Z21" s="57">
        <f>+Y21-X21</f>
        <v>-145256.35999999999</v>
      </c>
      <c r="AA21" s="63">
        <f>IF(X21=0,"",(Y21-X21)/ABS(X21)+1)</f>
        <v>0.3862026942514748</v>
      </c>
      <c r="AB21" s="61">
        <f>+AB10+AB19</f>
        <v>22365</v>
      </c>
      <c r="AC21" s="63">
        <f>IF(AB21=0,"",(Y21-AB21)/ABS(AB21))</f>
        <v>3.0865477308294218</v>
      </c>
      <c r="AD21" s="62"/>
      <c r="AE21" s="62"/>
      <c r="AF21" s="2">
        <v>91395.640000000014</v>
      </c>
      <c r="AG21" s="62"/>
      <c r="AH21" s="62"/>
    </row>
    <row r="22" spans="2:34" x14ac:dyDescent="0.2">
      <c r="B22" s="3" t="s">
        <v>40</v>
      </c>
      <c r="C22" s="61"/>
      <c r="D22" s="63" t="str">
        <f>IF($C$20=0," ",C22/$C$20)</f>
        <v xml:space="preserve"> </v>
      </c>
      <c r="E22" s="61">
        <v>0</v>
      </c>
      <c r="F22" s="63" t="e">
        <f>+E22/$E$20</f>
        <v>#DIV/0!</v>
      </c>
      <c r="G22" s="63" t="str">
        <f>IF(C22=0,"",(E22-C22)/ABS(C22)+1)</f>
        <v/>
      </c>
      <c r="H22" s="61"/>
      <c r="I22" s="63">
        <f>+H22/$H$20</f>
        <v>0</v>
      </c>
      <c r="J22" s="63" t="str">
        <f>IF(H22=0,"",(E22-H22)/ABS(H22))</f>
        <v/>
      </c>
      <c r="K22" s="61">
        <f>+S18+C22</f>
        <v>0</v>
      </c>
      <c r="L22" s="63" t="str">
        <f>IF($K$20=0," ",K22/$K$20)</f>
        <v xml:space="preserve"> </v>
      </c>
      <c r="M22" s="61">
        <v>54617.06</v>
      </c>
      <c r="N22" s="63">
        <f>+M22/$M$20</f>
        <v>0.16376253861309953</v>
      </c>
      <c r="O22" s="63" t="str">
        <f>IF(K22=0,"",(M22-K22)/ABS(K22)+1)</f>
        <v/>
      </c>
      <c r="P22" s="61"/>
      <c r="Q22" s="63">
        <f>+P22/$P$20</f>
        <v>0</v>
      </c>
      <c r="R22" s="63" t="str">
        <f>IF(P22=0,"",(M22-P22)/ABS(P22))</f>
        <v/>
      </c>
      <c r="AF22" s="62"/>
      <c r="AG22" s="62"/>
      <c r="AH22" s="62"/>
    </row>
    <row r="23" spans="2:34" x14ac:dyDescent="0.2">
      <c r="T23" s="3" t="s">
        <v>41</v>
      </c>
      <c r="U23" s="61"/>
      <c r="V23" s="61"/>
      <c r="W23" s="61"/>
      <c r="X23" s="61"/>
      <c r="Y23" s="61"/>
      <c r="Z23" s="57">
        <f>+Y23-X23</f>
        <v>0</v>
      </c>
      <c r="AA23" s="63" t="str">
        <f>IF(X23=0,"",(Y23-X23)/ABS(X23)+1)</f>
        <v/>
      </c>
      <c r="AB23" s="61">
        <v>0</v>
      </c>
      <c r="AC23" s="63" t="str">
        <f>IF(AB23=0,"",(Y23-AB23)/ABS(AB23))</f>
        <v/>
      </c>
      <c r="AD23" s="62"/>
      <c r="AE23" s="62"/>
      <c r="AG23" s="49"/>
    </row>
    <row r="24" spans="2:34" x14ac:dyDescent="0.2">
      <c r="B24" s="3" t="s">
        <v>42</v>
      </c>
      <c r="C24" s="61">
        <f>+C20-C22</f>
        <v>0</v>
      </c>
      <c r="D24" s="63" t="str">
        <f>IF($C$20=0," ",C24/$C$20)</f>
        <v xml:space="preserve"> </v>
      </c>
      <c r="E24" s="61">
        <f>+E20-E22</f>
        <v>0</v>
      </c>
      <c r="F24" s="63" t="e">
        <f>+E24/$E$20</f>
        <v>#DIV/0!</v>
      </c>
      <c r="G24" s="63" t="str">
        <f>IF(C24=0,"",(E24-C24)/ABS(C24)+1)</f>
        <v/>
      </c>
      <c r="H24" s="61">
        <f>+H20-H22</f>
        <v>12677.789999999999</v>
      </c>
      <c r="I24" s="63">
        <f>+H24/$H$20</f>
        <v>1</v>
      </c>
      <c r="J24" s="63">
        <f>IF(H24=0,"",(E24-H24)/ABS(H24))</f>
        <v>-1</v>
      </c>
      <c r="K24" s="61">
        <f>+K20-K22</f>
        <v>0</v>
      </c>
      <c r="L24" s="63" t="str">
        <f>IF($K$20=0," ",K24/$K$20)</f>
        <v xml:space="preserve"> </v>
      </c>
      <c r="M24" s="61">
        <f>+M20-M22</f>
        <v>278896.69999999995</v>
      </c>
      <c r="N24" s="63">
        <f>+M24/$M$20</f>
        <v>0.83623746138690047</v>
      </c>
      <c r="O24" s="63" t="str">
        <f>IF(K24=0,"",(M24-K24)/ABS(K24)+1)</f>
        <v/>
      </c>
      <c r="P24" s="61">
        <f>+P20-P22</f>
        <v>87744.511820040003</v>
      </c>
      <c r="Q24" s="63">
        <f>+P24/$P$20</f>
        <v>1</v>
      </c>
      <c r="R24" s="63">
        <f>IF(P24=0,"",(M24-P24)/ABS(P24))</f>
        <v>2.178508766132341</v>
      </c>
    </row>
    <row r="25" spans="2:34" x14ac:dyDescent="0.2">
      <c r="T25" s="3" t="s">
        <v>43</v>
      </c>
      <c r="U25" s="61"/>
      <c r="V25" s="61"/>
      <c r="W25" s="61">
        <v>779</v>
      </c>
      <c r="X25" s="61">
        <f>+AD22+U25</f>
        <v>0</v>
      </c>
      <c r="Y25" s="61">
        <f>+V25+AF25</f>
        <v>33262.82</v>
      </c>
      <c r="Z25" s="57">
        <f>+Y25-X25</f>
        <v>33262.82</v>
      </c>
      <c r="AA25" s="63" t="str">
        <f>IF(X25=0,"",(Y25-X25)/ABS(X25)+1)</f>
        <v/>
      </c>
      <c r="AB25" s="61">
        <v>7598</v>
      </c>
      <c r="AC25" s="63">
        <f>IF(AB25=0,"",(Y25-AB25)/ABS(AB25))</f>
        <v>3.3778389049749933</v>
      </c>
      <c r="AD25" s="62"/>
      <c r="AE25" s="62"/>
      <c r="AF25" s="62">
        <v>33262.82</v>
      </c>
    </row>
    <row r="26" spans="2:34" x14ac:dyDescent="0.2">
      <c r="B26" s="3" t="s">
        <v>44</v>
      </c>
      <c r="C26" s="61"/>
      <c r="D26" s="63" t="str">
        <f>IF($C$20=0," ",C26/$C$20)</f>
        <v xml:space="preserve"> </v>
      </c>
      <c r="E26" s="61"/>
      <c r="F26" s="63" t="e">
        <f>+E26/$E$20</f>
        <v>#DIV/0!</v>
      </c>
      <c r="G26" s="63" t="str">
        <f>IF(C26=0,"",(E26-C26)/ABS(C26)+1)</f>
        <v/>
      </c>
      <c r="H26" s="61">
        <v>206.55</v>
      </c>
      <c r="I26" s="63">
        <f>+H26/$H$20</f>
        <v>1.6292271760298918E-2</v>
      </c>
      <c r="J26" s="63">
        <f>IF(H26=0,"",(E26-H26)/ABS(H26))</f>
        <v>-1</v>
      </c>
      <c r="K26" s="61"/>
      <c r="L26" s="63" t="str">
        <f>IF($K$20=0," ",K26/$K$20)</f>
        <v xml:space="preserve"> </v>
      </c>
      <c r="M26" s="61">
        <v>5859.95</v>
      </c>
      <c r="N26" s="63">
        <f>+M26/$M$20</f>
        <v>1.7570339526621032E-2</v>
      </c>
      <c r="O26" s="63" t="str">
        <f>IF(K26=0,"",(M26-K26)/ABS(K26)+1)</f>
        <v/>
      </c>
      <c r="P26" s="61">
        <v>1333.9267294400001</v>
      </c>
      <c r="Q26" s="63">
        <f>+P26/$P$20</f>
        <v>1.5202395019027778E-2</v>
      </c>
      <c r="R26" s="63">
        <f>IF(P26=0,"",(M26-P26)/ABS(P26))</f>
        <v>3.393007404882038</v>
      </c>
      <c r="AF26" s="62"/>
    </row>
    <row r="27" spans="2:34" x14ac:dyDescent="0.2">
      <c r="B27" s="3" t="s">
        <v>45</v>
      </c>
      <c r="C27" s="61"/>
      <c r="D27" s="63" t="str">
        <f>IF($C$20=0," ",C27/$C$20)</f>
        <v xml:space="preserve"> </v>
      </c>
      <c r="E27" s="61"/>
      <c r="F27" s="63" t="e">
        <f>+E27/$E$20</f>
        <v>#DIV/0!</v>
      </c>
      <c r="G27" s="63" t="str">
        <f>IF(C27=0,"",(E27-C27)/ABS(C27)+1)</f>
        <v/>
      </c>
      <c r="H27" s="61">
        <v>2186.8500000000004</v>
      </c>
      <c r="I27" s="63">
        <f>+H27/$H$20</f>
        <v>0.1724945751586042</v>
      </c>
      <c r="J27" s="63">
        <f>IF(H27=0,"",(E27-H27)/ABS(H27))</f>
        <v>-1</v>
      </c>
      <c r="K27" s="61"/>
      <c r="L27" s="63" t="str">
        <f>IF($K$20=0," ",K27/$K$20)</f>
        <v xml:space="preserve"> </v>
      </c>
      <c r="M27" s="61">
        <v>27766.62</v>
      </c>
      <c r="N27" s="63">
        <f>+M27/$M$20</f>
        <v>8.3254795844105514E-2</v>
      </c>
      <c r="O27" s="63" t="str">
        <f>IF(K27=0,"",(M27-K27)/ABS(K27)+1)</f>
        <v/>
      </c>
      <c r="P27" s="61">
        <v>19353.585822360001</v>
      </c>
      <c r="Q27" s="63">
        <f>+P27/$P$20</f>
        <v>0.22056747961688275</v>
      </c>
      <c r="R27" s="63">
        <f>IF(P27=0,"",(M27-P27)/ABS(P27))</f>
        <v>0.43470157183585434</v>
      </c>
      <c r="T27" s="3" t="s">
        <v>46</v>
      </c>
      <c r="U27" s="61"/>
      <c r="V27" s="61"/>
      <c r="W27" s="61"/>
      <c r="X27" s="61">
        <f>+AD21+U27</f>
        <v>0</v>
      </c>
      <c r="Y27" s="61">
        <f>+V27+AF26</f>
        <v>0</v>
      </c>
      <c r="Z27" s="57">
        <f>+Y27-X27</f>
        <v>0</v>
      </c>
      <c r="AA27" s="63" t="str">
        <f>IF(X27=0,"",(Y27-X27)/ABS(X27)+1)</f>
        <v/>
      </c>
      <c r="AB27" s="61">
        <v>0</v>
      </c>
      <c r="AC27" s="63" t="str">
        <f>IF(AB27=0,"",(Y27-AB27)/ABS(AB27))</f>
        <v/>
      </c>
      <c r="AD27" s="49"/>
      <c r="AE27" s="49"/>
      <c r="AF27" s="2">
        <v>0</v>
      </c>
    </row>
    <row r="28" spans="2:34" x14ac:dyDescent="0.2">
      <c r="B28" s="3" t="s">
        <v>47</v>
      </c>
      <c r="C28" s="61">
        <f>SUM(C26:C27)</f>
        <v>0</v>
      </c>
      <c r="D28" s="63" t="str">
        <f>IF($C$20=0," ",C28/$C$20)</f>
        <v xml:space="preserve"> </v>
      </c>
      <c r="E28" s="61">
        <f>SUM(E26:E27)</f>
        <v>0</v>
      </c>
      <c r="F28" s="63" t="e">
        <f>+E28/$E$20</f>
        <v>#DIV/0!</v>
      </c>
      <c r="G28" s="63" t="str">
        <f>IF(C28=0,"",(E28-C28)/ABS(C28)+1)</f>
        <v/>
      </c>
      <c r="H28" s="61">
        <f>+H27+H26</f>
        <v>2393.4000000000005</v>
      </c>
      <c r="I28" s="63">
        <f>+H28/$H$20</f>
        <v>0.18878684691890313</v>
      </c>
      <c r="J28" s="63">
        <f>IF(H28=0,"",(E28-H28)/ABS(H28))</f>
        <v>-1</v>
      </c>
      <c r="K28" s="61">
        <f>+K26+K27</f>
        <v>0</v>
      </c>
      <c r="L28" s="63" t="str">
        <f>IF($K$20=0," ",K28/$K$20)</f>
        <v xml:space="preserve"> </v>
      </c>
      <c r="M28" s="61">
        <f>SUM(M26:M27)</f>
        <v>33626.57</v>
      </c>
      <c r="N28" s="63">
        <f>+M28/$M$20</f>
        <v>0.10082513537072654</v>
      </c>
      <c r="O28" s="63" t="str">
        <f>IF(K28=0,"",(M28-K28)/ABS(K28)+1)</f>
        <v/>
      </c>
      <c r="P28" s="61">
        <f>+P27+P26</f>
        <v>20687.512551800002</v>
      </c>
      <c r="Q28" s="63">
        <f>+P28/$P$20</f>
        <v>0.23576987463591054</v>
      </c>
      <c r="R28" s="63">
        <f>IF(P28=0,"",(M28-P28)/ABS(P28))</f>
        <v>0.6254525485266319</v>
      </c>
      <c r="T28" s="3" t="s">
        <v>48</v>
      </c>
      <c r="U28" s="61"/>
      <c r="V28" s="61"/>
      <c r="W28" s="61"/>
      <c r="X28" s="61"/>
      <c r="Y28" s="61">
        <f>+X28</f>
        <v>0</v>
      </c>
      <c r="Z28" s="57">
        <f>+Y28-X28</f>
        <v>0</v>
      </c>
      <c r="AA28" s="63" t="str">
        <f>IF(X28=0,"",(Y28-X28)/ABS(X28)+1)</f>
        <v/>
      </c>
      <c r="AB28" s="61">
        <v>0</v>
      </c>
      <c r="AC28" s="63" t="str">
        <f>IF(AB28=0,"",(Y28-AB28)/ABS(AB28))</f>
        <v/>
      </c>
      <c r="AD28" s="49"/>
      <c r="AF28" s="62">
        <v>0</v>
      </c>
    </row>
    <row r="29" spans="2:34" x14ac:dyDescent="0.2">
      <c r="AD29" s="49"/>
    </row>
    <row r="30" spans="2:34" x14ac:dyDescent="0.2">
      <c r="B30" s="3" t="s">
        <v>49</v>
      </c>
      <c r="C30" s="61"/>
      <c r="D30" s="63" t="str">
        <f>IF($C$20=0," ",C30/$C$20)</f>
        <v xml:space="preserve"> </v>
      </c>
      <c r="E30" s="61"/>
      <c r="F30" s="63" t="e">
        <f>+E30/$E$20</f>
        <v>#DIV/0!</v>
      </c>
      <c r="G30" s="63" t="str">
        <f>IF(C30=0,"",(E30-C30)/ABS(C30)+1)</f>
        <v/>
      </c>
      <c r="H30" s="61">
        <v>8616.52</v>
      </c>
      <c r="I30" s="63">
        <f>+H30/$H$20</f>
        <v>0.67965473477632943</v>
      </c>
      <c r="J30" s="63">
        <f>IF(H30=0,"",(E30-H30)/ABS(H30))</f>
        <v>-1</v>
      </c>
      <c r="K30" s="61"/>
      <c r="L30" s="63" t="str">
        <f>IF($K$20=0," ",K30/$K$20)</f>
        <v xml:space="preserve"> </v>
      </c>
      <c r="M30" s="61">
        <v>122382.26599999999</v>
      </c>
      <c r="N30" s="63">
        <f>+M30/$M$20</f>
        <v>0.36694817629113713</v>
      </c>
      <c r="O30" s="63" t="str">
        <f>IF(K30=0,"",(M30-K30)/ABS(K30)+1)</f>
        <v/>
      </c>
      <c r="P30" s="61">
        <v>36585.744704719997</v>
      </c>
      <c r="Q30" s="63">
        <f>+P30/$P$20</f>
        <v>0.41695764151900111</v>
      </c>
      <c r="R30" s="63">
        <f>IF(P30=0,"",(M30-P30)/ABS(P30))</f>
        <v>2.3450806314791568</v>
      </c>
      <c r="T30" s="3" t="s">
        <v>50</v>
      </c>
      <c r="U30" s="61">
        <f>+U21-U25-U23+U27</f>
        <v>236652</v>
      </c>
      <c r="V30" s="61">
        <f>+V21-V25-V23+V27</f>
        <v>58133</v>
      </c>
      <c r="W30" s="61">
        <f>+W21-W25-W23+W27</f>
        <v>14768</v>
      </c>
      <c r="X30" s="61">
        <f>+X21-X25-X23-X27</f>
        <v>236652</v>
      </c>
      <c r="Y30" s="61">
        <f>+Y21-Y25-Y23+Y27</f>
        <v>58132.820000000014</v>
      </c>
      <c r="Z30" s="57">
        <f>+Y30-X30</f>
        <v>-178519.18</v>
      </c>
      <c r="AA30" s="63">
        <f>IF(U30=0,"",(V30-U30)/ABS(U30)+1)</f>
        <v>0.24564761759883713</v>
      </c>
      <c r="AB30" s="61">
        <f>+AB21-AB25-AB23+AB27</f>
        <v>14767</v>
      </c>
      <c r="AC30" s="63">
        <f>IF(AB30=0,"",(Y30-AB30)/ABS(AB30))</f>
        <v>2.9366709555089061</v>
      </c>
      <c r="AD30" s="49"/>
      <c r="AF30" s="62">
        <v>58132.820000000014</v>
      </c>
    </row>
    <row r="31" spans="2:34" x14ac:dyDescent="0.2">
      <c r="B31" s="3" t="s">
        <v>51</v>
      </c>
      <c r="C31" s="61"/>
      <c r="D31" s="63" t="str">
        <f>IF($C$20=0," ",C31/$C$20)</f>
        <v xml:space="preserve"> </v>
      </c>
      <c r="E31" s="61"/>
      <c r="F31" s="63" t="e">
        <f>+E31/$E$20</f>
        <v>#DIV/0!</v>
      </c>
      <c r="G31" s="63" t="str">
        <f>IF(C31=0,"",(E31-C31)/ABS(C31)+1)</f>
        <v/>
      </c>
      <c r="H31" s="61">
        <v>1663.2</v>
      </c>
      <c r="I31" s="63">
        <f>+H31/$H$20</f>
        <v>0.13119005757312593</v>
      </c>
      <c r="J31" s="63">
        <f>IF(H31=0,"",(E31-H31)/ABS(H31))</f>
        <v>-1</v>
      </c>
      <c r="K31" s="61"/>
      <c r="L31" s="63" t="str">
        <f>IF($K$20=0," ",K31/$K$20)</f>
        <v xml:space="preserve"> </v>
      </c>
      <c r="M31" s="61">
        <v>27613.679999999997</v>
      </c>
      <c r="N31" s="63">
        <f>+M31/$M$20</f>
        <v>8.2796224059840898E-2</v>
      </c>
      <c r="O31" s="63" t="str">
        <f>IF(K31=0,"",(M31-K31)/ABS(K31)+1)</f>
        <v/>
      </c>
      <c r="P31" s="61">
        <v>14072.516540590001</v>
      </c>
      <c r="Q31" s="63">
        <f>+P31/$P$20</f>
        <v>0.16038058960829471</v>
      </c>
      <c r="R31" s="63">
        <f>IF(P31=0,"",(M31-P31)/ABS(P31))</f>
        <v>0.96224178670194493</v>
      </c>
      <c r="T31" s="55"/>
      <c r="U31" s="55"/>
      <c r="V31" s="55"/>
      <c r="W31" s="55" t="s">
        <v>61</v>
      </c>
      <c r="X31" s="61"/>
      <c r="Y31" s="61" t="s">
        <v>61</v>
      </c>
      <c r="Z31" s="55"/>
      <c r="AA31" s="55"/>
      <c r="AB31" s="61" t="s">
        <v>61</v>
      </c>
      <c r="AC31" s="55"/>
      <c r="AD31" s="49"/>
    </row>
    <row r="32" spans="2:34" x14ac:dyDescent="0.2">
      <c r="B32" s="3" t="s">
        <v>52</v>
      </c>
      <c r="C32" s="61">
        <f>SUM(C30:C31)</f>
        <v>0</v>
      </c>
      <c r="D32" s="63" t="str">
        <f>IF($C$20=0," ",C32/$C$20)</f>
        <v xml:space="preserve"> </v>
      </c>
      <c r="E32" s="61">
        <f>SUM(E30:E31)</f>
        <v>0</v>
      </c>
      <c r="F32" s="63" t="e">
        <f>+E32/$E$20</f>
        <v>#DIV/0!</v>
      </c>
      <c r="G32" s="63" t="str">
        <f>IF(C32=0,"",(E32-C32)/ABS(C32)+1)</f>
        <v/>
      </c>
      <c r="H32" s="61">
        <f>+H31+H30</f>
        <v>10279.720000000001</v>
      </c>
      <c r="I32" s="63">
        <f>+H32/$H$20</f>
        <v>0.81084479234945539</v>
      </c>
      <c r="J32" s="63">
        <f>IF(H32=0,"",(E32-H32)/ABS(H32))</f>
        <v>-1</v>
      </c>
      <c r="K32" s="61">
        <f>+K30+K31</f>
        <v>0</v>
      </c>
      <c r="L32" s="63" t="str">
        <f>IF($K$20=0," ",K32/$K$20)</f>
        <v xml:space="preserve"> </v>
      </c>
      <c r="M32" s="61">
        <f>+M30+M31</f>
        <v>149995.946</v>
      </c>
      <c r="N32" s="63">
        <f>+M32/$M$20</f>
        <v>0.44974440035097807</v>
      </c>
      <c r="O32" s="63" t="str">
        <f>IF(K32=0,"",(M32-K32)/ABS(K32)+1)</f>
        <v/>
      </c>
      <c r="P32" s="61">
        <f>+P31+P30</f>
        <v>50658.261245310001</v>
      </c>
      <c r="Q32" s="63">
        <f>+P32/$P$20</f>
        <v>0.57733823112729588</v>
      </c>
      <c r="R32" s="63">
        <f>IF(P32=0,"",(M32-P32)/ABS(P32))</f>
        <v>1.9609375117249368</v>
      </c>
      <c r="AD32" s="49"/>
    </row>
    <row r="33" spans="2:30" x14ac:dyDescent="0.2">
      <c r="Y33" s="49"/>
      <c r="AD33" s="49"/>
    </row>
    <row r="34" spans="2:30" x14ac:dyDescent="0.2">
      <c r="B34" s="3" t="s">
        <v>53</v>
      </c>
      <c r="C34" s="61">
        <f>C28+C32</f>
        <v>0</v>
      </c>
      <c r="D34" s="63" t="str">
        <f>IF($C$20=0," ",C34/$C$20)</f>
        <v xml:space="preserve"> </v>
      </c>
      <c r="E34" s="61">
        <f>E28+E32</f>
        <v>0</v>
      </c>
      <c r="F34" s="63" t="e">
        <f>+E34/$E$20</f>
        <v>#DIV/0!</v>
      </c>
      <c r="G34" s="63" t="str">
        <f>IF(C34=0,"",(E34-C34)/ABS(C34)+1)</f>
        <v/>
      </c>
      <c r="H34" s="61">
        <f>H28+H32</f>
        <v>12673.120000000003</v>
      </c>
      <c r="I34" s="63">
        <f>+H34/$H$20</f>
        <v>0.99963163926835852</v>
      </c>
      <c r="J34" s="63">
        <f>IF(H34=0,"",(E34-H34)/ABS(H34))</f>
        <v>-1</v>
      </c>
      <c r="K34" s="61">
        <f>K28+K32</f>
        <v>0</v>
      </c>
      <c r="L34" s="63" t="str">
        <f>IF($K$20=0," ",K34/$K$20)</f>
        <v xml:space="preserve"> </v>
      </c>
      <c r="M34" s="61">
        <f>M28+M32</f>
        <v>183622.516</v>
      </c>
      <c r="N34" s="63">
        <f>+M34/$M$20</f>
        <v>0.55056953572170464</v>
      </c>
      <c r="O34" s="63" t="str">
        <f>IF(K34=0,"",(M34-K34)/ABS(K34)+1)</f>
        <v/>
      </c>
      <c r="P34" s="61">
        <f>P28+P32</f>
        <v>71345.77379711</v>
      </c>
      <c r="Q34" s="63">
        <f>+P34/$P$20</f>
        <v>0.81310810576320636</v>
      </c>
      <c r="R34" s="63">
        <f>IF(P34=0,"",(M34-P34)/ABS(P34))</f>
        <v>1.5736985700397295</v>
      </c>
      <c r="AD34" s="49"/>
    </row>
    <row r="35" spans="2:30" x14ac:dyDescent="0.2">
      <c r="T35" s="57"/>
      <c r="AD35" s="49"/>
    </row>
    <row r="36" spans="2:30" x14ac:dyDescent="0.2">
      <c r="B36" s="3" t="s">
        <v>54</v>
      </c>
      <c r="C36" s="61">
        <f>C24-C34</f>
        <v>0</v>
      </c>
      <c r="D36" s="63" t="str">
        <f>IF($C$20=0," ",C36/$C$20)</f>
        <v xml:space="preserve"> </v>
      </c>
      <c r="E36" s="61">
        <f>E24-E34</f>
        <v>0</v>
      </c>
      <c r="F36" s="63" t="e">
        <f>+E36/$E$20</f>
        <v>#DIV/0!</v>
      </c>
      <c r="G36" s="63" t="str">
        <f>IF(C36=0,"",(E36-C36)/ABS(C36)+1)</f>
        <v/>
      </c>
      <c r="H36" s="61">
        <f>H24-H34</f>
        <v>4.6699999999964348</v>
      </c>
      <c r="I36" s="63">
        <f>+H36/$H$20</f>
        <v>3.6836073164143237E-4</v>
      </c>
      <c r="J36" s="63">
        <f>IF(H36=0,"",(E36-H36)/ABS(H36))</f>
        <v>-1</v>
      </c>
      <c r="K36" s="61">
        <f>K24-K34</f>
        <v>0</v>
      </c>
      <c r="L36" s="63" t="str">
        <f>IF($K$20=0," ",K36/$K$20)</f>
        <v xml:space="preserve"> </v>
      </c>
      <c r="M36" s="61">
        <f>M24-M34</f>
        <v>95274.18399999995</v>
      </c>
      <c r="N36" s="63">
        <f>+M36/$M$20</f>
        <v>0.28566792566519583</v>
      </c>
      <c r="O36" s="63" t="str">
        <f>IF(K36=0,"",(M36-K36)/ABS(K36)+1)</f>
        <v/>
      </c>
      <c r="P36" s="61">
        <f>P24-P34</f>
        <v>16398.738022930003</v>
      </c>
      <c r="Q36" s="63">
        <f>+P36/$P$20</f>
        <v>0.18689189423679362</v>
      </c>
      <c r="R36" s="63">
        <f>IF(P36=0,"",(M36-P36)/ABS(P36))</f>
        <v>4.8098485302210516</v>
      </c>
      <c r="AD36" s="49"/>
    </row>
    <row r="37" spans="2:30" x14ac:dyDescent="0.2">
      <c r="AD37" s="49"/>
    </row>
    <row r="38" spans="2:30" x14ac:dyDescent="0.2">
      <c r="B38" s="3" t="s">
        <v>55</v>
      </c>
      <c r="C38" s="61"/>
      <c r="D38" s="63" t="str">
        <f>IF($C$20=0," ",C38/$C$20)</f>
        <v xml:space="preserve"> </v>
      </c>
      <c r="E38" s="61"/>
      <c r="F38" s="63" t="e">
        <f>+E38/$E$20</f>
        <v>#DIV/0!</v>
      </c>
      <c r="G38" s="63" t="str">
        <f>IF(C38=0,"",(E38-C38)/ABS(C38)+1)</f>
        <v/>
      </c>
      <c r="H38" s="61"/>
      <c r="I38" s="63">
        <f>+H38/$H$20</f>
        <v>0</v>
      </c>
      <c r="J38" s="63" t="str">
        <f>IF(H38=0,"",(E38-H38)/ABS(H38))</f>
        <v/>
      </c>
      <c r="K38" s="61">
        <f>+S28+C38</f>
        <v>0</v>
      </c>
      <c r="L38" s="63" t="str">
        <f>IF($K$20=0," ",K38/$K$20)</f>
        <v xml:space="preserve"> </v>
      </c>
      <c r="M38" s="61">
        <v>15069</v>
      </c>
      <c r="N38" s="63">
        <f>+M38/$M$20</f>
        <v>4.5182543592804096E-2</v>
      </c>
      <c r="O38" s="63" t="str">
        <f>IF(K38=0,"",(M38-K38)/ABS(K38)+1)</f>
        <v/>
      </c>
      <c r="P38" s="61"/>
      <c r="Q38" s="63">
        <f>+P38/$P$20</f>
        <v>0</v>
      </c>
      <c r="R38" s="63" t="str">
        <f>IF(P38=0,"",(M38-P38)/ABS(P38))</f>
        <v/>
      </c>
      <c r="AD38" s="49"/>
    </row>
    <row r="39" spans="2:30" x14ac:dyDescent="0.2">
      <c r="B39" s="3" t="s">
        <v>56</v>
      </c>
      <c r="C39" s="61"/>
      <c r="D39" s="63" t="str">
        <f>IF($C$20=0," ",C39/$C$20)</f>
        <v xml:space="preserve"> </v>
      </c>
      <c r="E39" s="61"/>
      <c r="F39" s="63" t="e">
        <f>+E39/$E$20</f>
        <v>#DIV/0!</v>
      </c>
      <c r="G39" s="63" t="str">
        <f>IF(C39=0,"",(E39-C39)/ABS(C39)+1)</f>
        <v/>
      </c>
      <c r="H39" s="61">
        <v>260.77999999999997</v>
      </c>
      <c r="I39" s="63">
        <f>+H39/$H$20</f>
        <v>2.0569831177200442E-2</v>
      </c>
      <c r="J39" s="63">
        <f>IF(H39=0,"",(E39-H39)/ABS(H39))</f>
        <v>-1</v>
      </c>
      <c r="K39" s="61"/>
      <c r="L39" s="63" t="str">
        <f>IF($K$20=0," ",K39/$K$20)</f>
        <v xml:space="preserve"> </v>
      </c>
      <c r="M39" s="61">
        <f>5102-667</f>
        <v>4435</v>
      </c>
      <c r="N39" s="63">
        <f>+M39/$M$20</f>
        <v>1.3297802165643783E-2</v>
      </c>
      <c r="O39" s="63" t="str">
        <f>IF(K39=0,"",(M39-K39)/ABS(K39)+1)</f>
        <v/>
      </c>
      <c r="P39" s="61">
        <v>1265</v>
      </c>
      <c r="Q39" s="63">
        <f>+P39/$P$20</f>
        <v>1.4416856094594923E-2</v>
      </c>
      <c r="R39" s="63">
        <f>IF(P39=0,"",(M39-P39)/ABS(P39))</f>
        <v>2.5059288537549409</v>
      </c>
    </row>
    <row r="41" spans="2:30" x14ac:dyDescent="0.2">
      <c r="B41" s="3" t="s">
        <v>57</v>
      </c>
      <c r="C41" s="61">
        <f>C36+C38-C39</f>
        <v>0</v>
      </c>
      <c r="D41" s="63" t="str">
        <f>IF($C$20=0," ",C41/$C$20)</f>
        <v xml:space="preserve"> </v>
      </c>
      <c r="E41" s="61">
        <f>E36+E38-E39</f>
        <v>0</v>
      </c>
      <c r="F41" s="63" t="e">
        <f>+E41/$E$20</f>
        <v>#DIV/0!</v>
      </c>
      <c r="G41" s="63" t="str">
        <f>IF(C41=0,"",(E41-C41)/ABS(C41)+1)</f>
        <v/>
      </c>
      <c r="H41" s="61">
        <f>H36+H38-H39</f>
        <v>-256.11000000000354</v>
      </c>
      <c r="I41" s="63">
        <f>+H41/$H$20</f>
        <v>-2.0201470445559009E-2</v>
      </c>
      <c r="J41" s="63">
        <f>IF(H41=0,"",(E41-H41)/ABS(H41))</f>
        <v>1</v>
      </c>
      <c r="K41" s="61">
        <f>K36+K38-K39</f>
        <v>0</v>
      </c>
      <c r="L41" s="63" t="str">
        <f>IF($K$20=0," ",K41/$K$20)</f>
        <v xml:space="preserve"> </v>
      </c>
      <c r="M41" s="61">
        <f>M36+M38-M39</f>
        <v>105908.18399999995</v>
      </c>
      <c r="N41" s="63">
        <f>+M41/$M$20</f>
        <v>0.31755266709235613</v>
      </c>
      <c r="O41" s="63" t="str">
        <f>IF(K41=0,"",(M41-K41)/ABS(K41)+1)</f>
        <v/>
      </c>
      <c r="P41" s="61">
        <f>P36+P38-P39</f>
        <v>15133.738022930003</v>
      </c>
      <c r="Q41" s="63">
        <f>+P41/$P$20</f>
        <v>0.17247503814219869</v>
      </c>
      <c r="R41" s="63">
        <f>IF(P41=0,"",(M41-P41)/ABS(P41))</f>
        <v>5.9981510080016136</v>
      </c>
    </row>
    <row r="42" spans="2:30" x14ac:dyDescent="0.2">
      <c r="B42" s="3" t="s">
        <v>43</v>
      </c>
      <c r="C42" s="61"/>
      <c r="D42" s="63" t="str">
        <f>IF($C$20=0," ",C42/$C$20)</f>
        <v xml:space="preserve"> </v>
      </c>
      <c r="E42" s="61"/>
      <c r="F42" s="63" t="e">
        <f>+E42/$E$20</f>
        <v>#DIV/0!</v>
      </c>
      <c r="G42" s="63" t="str">
        <f>IF(C42=0,"",(E42-C42)/ABS(C42)+1)</f>
        <v/>
      </c>
      <c r="H42" s="61">
        <v>-84</v>
      </c>
      <c r="I42" s="63">
        <f>+H42/$H$20</f>
        <v>-6.6257604834912085E-3</v>
      </c>
      <c r="J42" s="63">
        <f>IF(H42=0,"",(E42-H42)/ABS(H42))</f>
        <v>1</v>
      </c>
      <c r="K42" s="61">
        <f>+S31+C42</f>
        <v>0</v>
      </c>
      <c r="L42" s="63" t="str">
        <f>IF($K$20=0," ",K42/$K$20)</f>
        <v xml:space="preserve"> </v>
      </c>
      <c r="M42" s="61">
        <v>36009</v>
      </c>
      <c r="N42" s="63">
        <f>+M42/$M$20</f>
        <v>0.10796855877850439</v>
      </c>
      <c r="O42" s="63" t="str">
        <f>IF(K42=0,"",(M42-K42)/ABS(K42)+1)</f>
        <v/>
      </c>
      <c r="P42" s="61">
        <v>5146</v>
      </c>
      <c r="Q42" s="63">
        <f>+P42/$P$20</f>
        <v>5.8647542658328437E-2</v>
      </c>
      <c r="R42" s="63">
        <f>IF(P42=0,"",(M42-P42)/ABS(P42))</f>
        <v>5.9974737660318693</v>
      </c>
    </row>
    <row r="43" spans="2:30" x14ac:dyDescent="0.2">
      <c r="B43" s="19" t="s">
        <v>58</v>
      </c>
      <c r="C43" s="65">
        <f>C41-C42</f>
        <v>0</v>
      </c>
      <c r="D43" s="68" t="str">
        <f>IF($C$20=0," ",C43/$C$20)</f>
        <v xml:space="preserve"> </v>
      </c>
      <c r="E43" s="65">
        <f>+E41-E42</f>
        <v>0</v>
      </c>
      <c r="F43" s="68" t="e">
        <f>+E43/$E$20</f>
        <v>#DIV/0!</v>
      </c>
      <c r="G43" s="68" t="str">
        <f>IF(C43=0,"",(E43-C43)/ABS(C43)+1)</f>
        <v/>
      </c>
      <c r="H43" s="65">
        <f>+H41-H42</f>
        <v>-172.11000000000354</v>
      </c>
      <c r="I43" s="68">
        <f>+H43/$H$20</f>
        <v>-1.35757099620678E-2</v>
      </c>
      <c r="J43" s="68">
        <f>IF(H43=0,"",(E43-H43)/ABS(H43))</f>
        <v>1</v>
      </c>
      <c r="K43" s="65">
        <f>+K41-K42</f>
        <v>0</v>
      </c>
      <c r="L43" s="68" t="str">
        <f>IF($K$20=0," ",K43/$K$20)</f>
        <v xml:space="preserve"> </v>
      </c>
      <c r="M43" s="65">
        <f>+M41-M42</f>
        <v>69899.18399999995</v>
      </c>
      <c r="N43" s="68">
        <f>+M43/$M$20</f>
        <v>0.20958410831385177</v>
      </c>
      <c r="O43" s="68" t="str">
        <f>IF(K43=0,"",(M43-K43)/ABS(K43)+1)</f>
        <v/>
      </c>
      <c r="P43" s="65">
        <f>+P41-P42</f>
        <v>9987.7380229300034</v>
      </c>
      <c r="Q43" s="68">
        <f>+P43/$P$20</f>
        <v>0.11382749548387025</v>
      </c>
      <c r="R43" s="68">
        <f>IF(P43=0,"",(M43-P43)/ABS(P43))</f>
        <v>5.9984999445844815</v>
      </c>
    </row>
    <row r="45" spans="2:30" x14ac:dyDescent="0.2">
      <c r="B45" s="3" t="s">
        <v>59</v>
      </c>
      <c r="C45" s="61">
        <f>+C43</f>
        <v>0</v>
      </c>
      <c r="D45" s="63" t="str">
        <f>IF($C$20=0," ",C45/$C$20)</f>
        <v xml:space="preserve"> </v>
      </c>
      <c r="E45" s="61">
        <f>+E43</f>
        <v>0</v>
      </c>
      <c r="F45" s="63" t="e">
        <f>+E45/$E$20</f>
        <v>#DIV/0!</v>
      </c>
      <c r="G45" s="63" t="str">
        <f>IF(C45=0,"",(E45-C45)/ABS(C45)+1)</f>
        <v/>
      </c>
      <c r="H45" s="61">
        <v>-172</v>
      </c>
      <c r="I45" s="63">
        <f>+H45/$H$20</f>
        <v>-1.3567033370958189E-2</v>
      </c>
      <c r="J45" s="63">
        <f>IF(H45=0,"",(E45-H45)/ABS(H45))</f>
        <v>1</v>
      </c>
      <c r="K45" s="61">
        <f>+K43</f>
        <v>0</v>
      </c>
      <c r="L45" s="63" t="str">
        <f>IF($K$20=0," ",K45/$K$20)</f>
        <v xml:space="preserve"> </v>
      </c>
      <c r="M45" s="61">
        <f>+M43</f>
        <v>69899.18399999995</v>
      </c>
      <c r="N45" s="63">
        <f>+M45/$M$20</f>
        <v>0.20958410831385177</v>
      </c>
      <c r="O45" s="63" t="str">
        <f>IF(K45=0,"",(M45-K45)/ABS(K45)+1)</f>
        <v/>
      </c>
      <c r="P45" s="61">
        <v>9988</v>
      </c>
      <c r="Q45" s="63">
        <f>+P45/$P$20</f>
        <v>0.11383048116427992</v>
      </c>
      <c r="R45" s="63">
        <f>IF(P45=0,"",(M45-P45)/ABS(P45))</f>
        <v>5.9983163796555816</v>
      </c>
    </row>
    <row r="46" spans="2:30" x14ac:dyDescent="0.2">
      <c r="B46" s="3" t="s">
        <v>34</v>
      </c>
      <c r="C46" s="61"/>
      <c r="D46" s="63"/>
      <c r="E46" s="61"/>
      <c r="F46" s="63" t="e">
        <f>+E46/$E$20</f>
        <v>#DIV/0!</v>
      </c>
      <c r="G46" s="63"/>
      <c r="H46" s="61">
        <v>5911</v>
      </c>
      <c r="I46" s="63">
        <f>+H46/$H$20</f>
        <v>0.46624845497519679</v>
      </c>
      <c r="J46" s="63"/>
      <c r="K46" s="61"/>
      <c r="L46" s="63"/>
      <c r="M46" s="61">
        <v>77631.48</v>
      </c>
      <c r="N46" s="63">
        <f>+M46/$M$20</f>
        <v>0.23276844709495648</v>
      </c>
      <c r="O46" s="63" t="str">
        <f>IF(K46=0,"",(M46-K46)/ABS(K46)+1)</f>
        <v/>
      </c>
      <c r="P46" s="61">
        <v>23945</v>
      </c>
      <c r="Q46" s="63"/>
      <c r="R46" s="63">
        <f>IF(P46=0,"",(M46-P46)/ABS(P46))</f>
        <v>2.2420747546460635</v>
      </c>
    </row>
    <row r="47" spans="2:30" x14ac:dyDescent="0.2">
      <c r="B47" s="55"/>
      <c r="C47" s="61"/>
      <c r="D47" s="55"/>
      <c r="E47" s="55"/>
      <c r="F47" s="55"/>
      <c r="G47" s="55"/>
      <c r="H47" s="55" t="s">
        <v>61</v>
      </c>
      <c r="I47" s="55"/>
      <c r="J47" s="55"/>
      <c r="K47" s="55"/>
      <c r="L47" s="55"/>
      <c r="M47" s="61"/>
      <c r="N47" s="55"/>
      <c r="O47" s="55"/>
      <c r="P47" s="61" t="s">
        <v>61</v>
      </c>
      <c r="Q47" s="55"/>
      <c r="R47" s="55"/>
    </row>
    <row r="48" spans="2:30" x14ac:dyDescent="0.2">
      <c r="H48" s="62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C46FA-11BF-400A-BC15-08D42B0AB96B}">
  <sheetPr>
    <tabColor theme="2" tint="-0.249977111117893"/>
  </sheetPr>
  <dimension ref="A1:AY47"/>
  <sheetViews>
    <sheetView showGridLines="0" zoomScaleNormal="100" workbookViewId="0">
      <selection activeCell="B3" sqref="B3"/>
    </sheetView>
  </sheetViews>
  <sheetFormatPr baseColWidth="10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16384" width="11.42578125" style="2"/>
  </cols>
  <sheetData>
    <row r="1" spans="1:35" s="44" customFormat="1" ht="18.75" customHeight="1" x14ac:dyDescent="0.2">
      <c r="B1" s="43"/>
    </row>
    <row r="2" spans="1:35" ht="18.75" customHeight="1" x14ac:dyDescent="0.2">
      <c r="A2" s="44"/>
      <c r="Y2" s="48"/>
      <c r="Z2" s="48"/>
      <c r="AA2" s="48"/>
      <c r="AB2" s="48"/>
    </row>
    <row r="3" spans="1:35" ht="18" x14ac:dyDescent="0.25">
      <c r="B3" s="15" t="s">
        <v>129</v>
      </c>
      <c r="S3" s="48"/>
      <c r="T3" s="17" t="s">
        <v>129</v>
      </c>
      <c r="AF3" s="2" t="str">
        <f>+B6</f>
        <v>DICIEMBRE De 2022</v>
      </c>
      <c r="AG3" s="2" t="s">
        <v>133</v>
      </c>
      <c r="AH3" s="95">
        <f>_xlfn.XLOOKUP(Paramet!B8,'VENEZUELA USD'!AT35:AT46,'VENEZUELA USD'!AU35:AU46,0,0)</f>
        <v>18.600000000000001</v>
      </c>
      <c r="AI3" s="2" t="s">
        <v>134</v>
      </c>
    </row>
    <row r="4" spans="1:35" x14ac:dyDescent="0.2">
      <c r="B4" s="2" t="s">
        <v>89</v>
      </c>
      <c r="S4" s="48"/>
      <c r="T4" s="3" t="s">
        <v>20</v>
      </c>
      <c r="AG4" s="2" t="s">
        <v>135</v>
      </c>
      <c r="AH4" s="95">
        <f>+AM44</f>
        <v>4.5599999999999996</v>
      </c>
    </row>
    <row r="5" spans="1:35" ht="13.5" thickBot="1" x14ac:dyDescent="0.25">
      <c r="B5" s="3" t="s">
        <v>136</v>
      </c>
      <c r="S5" s="48"/>
      <c r="T5" s="3" t="s">
        <v>137</v>
      </c>
      <c r="X5" s="20" t="s">
        <v>22</v>
      </c>
      <c r="Y5" s="20"/>
      <c r="Z5" s="20"/>
      <c r="AA5" s="20"/>
      <c r="AB5" s="20"/>
      <c r="AC5" s="20"/>
    </row>
    <row r="6" spans="1:35" ht="13.5" thickBot="1" x14ac:dyDescent="0.25">
      <c r="B6" s="19" t="str">
        <f>+'VZLA BFS'!B6</f>
        <v>DICIEMBRE De 2022</v>
      </c>
      <c r="C6" s="86"/>
      <c r="K6" s="94" t="s">
        <v>22</v>
      </c>
      <c r="L6" s="94"/>
      <c r="M6" s="94"/>
      <c r="N6" s="94"/>
      <c r="O6" s="94"/>
      <c r="P6" s="94"/>
      <c r="Q6" s="94"/>
      <c r="R6" s="94"/>
      <c r="T6" s="19" t="str">
        <f>+B6</f>
        <v>DICIEMBRE De 2022</v>
      </c>
      <c r="Z6" s="2" t="s">
        <v>25</v>
      </c>
      <c r="AA6" s="2" t="s">
        <v>23</v>
      </c>
      <c r="AC6" s="2" t="s">
        <v>24</v>
      </c>
    </row>
    <row r="7" spans="1:35" ht="15.75" customHeight="1" x14ac:dyDescent="0.2">
      <c r="C7" s="2" t="str">
        <f>+'VZLA BFS'!C7</f>
        <v>Ppto 2022</v>
      </c>
      <c r="E7" s="2" t="str">
        <f>+'VZLA BFS'!E7</f>
        <v>Real 2022</v>
      </c>
      <c r="G7" s="2" t="str">
        <f>+'VZLA BFS'!G7</f>
        <v>Cump</v>
      </c>
      <c r="H7" s="2" t="str">
        <f>+'VZLA BFS'!H7</f>
        <v>Real 2021</v>
      </c>
      <c r="J7" s="44" t="s">
        <v>24</v>
      </c>
      <c r="K7" s="2" t="str">
        <f>+C7</f>
        <v>Ppto 2022</v>
      </c>
      <c r="M7" s="2" t="str">
        <f>+E7</f>
        <v>Real 2022</v>
      </c>
      <c r="O7" s="2" t="str">
        <f>+G7</f>
        <v>Cump</v>
      </c>
      <c r="P7" s="2" t="str">
        <f>+H7</f>
        <v>Real 2021</v>
      </c>
      <c r="Q7" s="44"/>
      <c r="R7" s="44" t="s">
        <v>24</v>
      </c>
      <c r="S7" s="44"/>
      <c r="U7" s="48" t="str">
        <f>+C7</f>
        <v>Ppto 2022</v>
      </c>
      <c r="V7" s="48" t="str">
        <f>+M7</f>
        <v>Real 2022</v>
      </c>
      <c r="W7" s="48" t="str">
        <f>+H7</f>
        <v>Real 2021</v>
      </c>
      <c r="X7" s="48" t="str">
        <f>+U7</f>
        <v>Ppto 2022</v>
      </c>
      <c r="Y7" s="48" t="str">
        <f>+V7</f>
        <v>Real 2022</v>
      </c>
      <c r="Z7" s="48" t="s">
        <v>25</v>
      </c>
      <c r="AA7" s="48" t="s">
        <v>23</v>
      </c>
      <c r="AB7" s="48" t="str">
        <f>+W7</f>
        <v>Real 2021</v>
      </c>
      <c r="AC7" s="48" t="s">
        <v>24</v>
      </c>
      <c r="AD7" s="48"/>
      <c r="AE7" s="48"/>
      <c r="AH7" s="2">
        <v>2819322440</v>
      </c>
      <c r="AI7" s="96">
        <f>1/AH4</f>
        <v>0.2192982456140351</v>
      </c>
    </row>
    <row r="8" spans="1:35" ht="13.5" thickBot="1" x14ac:dyDescent="0.25">
      <c r="B8" s="26"/>
      <c r="C8" s="27" t="s">
        <v>27</v>
      </c>
      <c r="D8" s="27" t="s">
        <v>28</v>
      </c>
      <c r="E8" s="27" t="s">
        <v>27</v>
      </c>
      <c r="F8" s="27" t="s">
        <v>28</v>
      </c>
      <c r="G8" s="27" t="s">
        <v>29</v>
      </c>
      <c r="H8" s="27" t="s">
        <v>27</v>
      </c>
      <c r="I8" s="27" t="s">
        <v>28</v>
      </c>
      <c r="J8" s="27" t="s">
        <v>29</v>
      </c>
      <c r="K8" s="27" t="s">
        <v>27</v>
      </c>
      <c r="L8" s="27" t="s">
        <v>28</v>
      </c>
      <c r="M8" s="27" t="s">
        <v>27</v>
      </c>
      <c r="N8" s="27" t="s">
        <v>28</v>
      </c>
      <c r="O8" s="27" t="s">
        <v>29</v>
      </c>
      <c r="P8" s="27" t="s">
        <v>27</v>
      </c>
      <c r="Q8" s="27" t="s">
        <v>28</v>
      </c>
      <c r="R8" s="27" t="s">
        <v>29</v>
      </c>
      <c r="S8" s="48"/>
      <c r="T8" s="26"/>
      <c r="U8" s="27"/>
      <c r="V8" s="27"/>
      <c r="W8" s="27"/>
      <c r="X8" s="26"/>
      <c r="Y8" s="26"/>
      <c r="Z8" s="27"/>
      <c r="AA8" s="27" t="s">
        <v>29</v>
      </c>
      <c r="AB8" s="26"/>
      <c r="AC8" s="27" t="s">
        <v>29</v>
      </c>
      <c r="AD8" s="48"/>
      <c r="AE8" s="48"/>
      <c r="AI8" s="97">
        <f>+AI7*AH7</f>
        <v>618272464.9122808</v>
      </c>
    </row>
    <row r="9" spans="1:35" x14ac:dyDescent="0.2">
      <c r="S9" s="63"/>
      <c r="AD9" s="63"/>
      <c r="AE9" s="63"/>
      <c r="AH9" s="2">
        <f>+AH7/AH4</f>
        <v>618272464.9122808</v>
      </c>
    </row>
    <row r="10" spans="1:35" x14ac:dyDescent="0.2">
      <c r="B10" s="3" t="s">
        <v>68</v>
      </c>
      <c r="C10" s="61">
        <f>'VZLA BFS'!C10/'VENEZUELA USD'!$AH$3</f>
        <v>0</v>
      </c>
      <c r="D10" s="30" t="str">
        <f t="shared" ref="D10:D20" si="0">IF(DD19&lt;=0," ",C10/$C$20)</f>
        <v xml:space="preserve"> </v>
      </c>
      <c r="E10" s="61">
        <f>'VZLA BFS'!E10/'VENEZUELA USD'!$AH$3</f>
        <v>0</v>
      </c>
      <c r="F10" s="30" t="e">
        <f t="shared" ref="F10:F20" si="1">+E10/$E$20</f>
        <v>#DIV/0!</v>
      </c>
      <c r="G10" s="30" t="str">
        <f>IF(C10=0,"",(E10-C10)/ABS(C10)+1)</f>
        <v/>
      </c>
      <c r="H10" s="57">
        <f>+'VZLA BFS'!H10/'VENEZUELA USD'!$AH$4</f>
        <v>1598.9035087719299</v>
      </c>
      <c r="I10" s="30">
        <f t="shared" ref="I10:I20" si="2">IF($H$20&lt;=0," ",H10/$H$20)</f>
        <v>0.5751002343468381</v>
      </c>
      <c r="J10" s="30" t="str">
        <f>IF(E10=0,"",(E10-H10)/ABS(H10))</f>
        <v/>
      </c>
      <c r="K10" s="61">
        <f>'VZLA BFS'!K10/'VENEZUELA USD'!$AH$3</f>
        <v>0</v>
      </c>
      <c r="L10" s="30" t="str">
        <f t="shared" ref="L10:L22" si="3">IF($K$20&lt;=0," ",K10/$K$20)</f>
        <v xml:space="preserve"> </v>
      </c>
      <c r="M10" s="61">
        <f>'VZLA BFS'!M10/'VENEZUELA USD'!$AH$3</f>
        <v>7943.8709677419347</v>
      </c>
      <c r="N10" s="30">
        <f t="shared" ref="N10:N15" si="4">+M10/$M$20</f>
        <v>0.44302819769715052</v>
      </c>
      <c r="O10" s="30" t="str">
        <f>IF(K10=0,"",(M10-K10)/ABS(K10)+1)</f>
        <v/>
      </c>
      <c r="P10" s="57">
        <f>+'VZLA BFS'!P10/'VENEZUELA USD'!$AH$4</f>
        <v>10475</v>
      </c>
      <c r="Q10" s="30">
        <f t="shared" ref="Q10:Q22" si="5">IF($P$20&lt;=0," ",P10/$P$20)</f>
        <v>0.54437592744223007</v>
      </c>
      <c r="R10" s="30">
        <f>IF(M10=0,"",(M10-P10)/ABS(P10))</f>
        <v>-0.24163522980983917</v>
      </c>
      <c r="S10" s="63"/>
      <c r="T10" s="3" t="s">
        <v>30</v>
      </c>
      <c r="U10" s="61">
        <f>+'VZLA BFS'!U10/'VENEZUELA USD'!$AH$3</f>
        <v>12723.225806451612</v>
      </c>
      <c r="V10" s="61">
        <f>+'VZLA BFS'!V10/'VENEZUELA USD'!$AH$3</f>
        <v>3125.4301075268813</v>
      </c>
      <c r="W10" s="61">
        <f>+'VZLA BFS'!W10/'VENEZUELA USD'!$AH$3</f>
        <v>546.77419354838707</v>
      </c>
      <c r="X10" s="61">
        <f>+'VZLA BFS'!X10/'VENEZUELA USD'!$AH$3</f>
        <v>12723.225806451612</v>
      </c>
      <c r="Y10" s="61">
        <f>+'VZLA BFS'!Y10/'VENEZUELA USD'!$AH$3</f>
        <v>793.92473118279565</v>
      </c>
      <c r="Z10" s="57">
        <f>+Y10-X10</f>
        <v>-11929.301075268817</v>
      </c>
      <c r="AA10" s="63">
        <f>IF(X10=0,"",(Y10-X10)/ABS(X10)+1)</f>
        <v>6.2399641667934325E-2</v>
      </c>
      <c r="AB10" s="61">
        <f>+'VZLA BFS'!AB10/'VENEZUELA USD'!$AH$3</f>
        <v>24.677419354838708</v>
      </c>
      <c r="AC10" s="63">
        <f>IF(W10=0,"",(Y10-AB10)/ABS(AB10))</f>
        <v>31.17211328976035</v>
      </c>
      <c r="AD10" s="63"/>
      <c r="AE10" s="63"/>
    </row>
    <row r="11" spans="1:35" x14ac:dyDescent="0.2">
      <c r="B11" s="3" t="s">
        <v>70</v>
      </c>
      <c r="C11" s="61">
        <f>'VZLA BFS'!C11/'VENEZUELA USD'!$AH$3</f>
        <v>0</v>
      </c>
      <c r="D11" s="30" t="str">
        <f t="shared" si="0"/>
        <v xml:space="preserve"> </v>
      </c>
      <c r="E11" s="61">
        <f>'VZLA BFS'!E11/'VENEZUELA USD'!$AH$3</f>
        <v>0</v>
      </c>
      <c r="F11" s="30" t="e">
        <f t="shared" si="1"/>
        <v>#DIV/0!</v>
      </c>
      <c r="G11" s="30" t="str">
        <f t="shared" ref="G11:G22" si="6">IF(C11=0,"",(E11-C11)/ABS(C11)+1)</f>
        <v/>
      </c>
      <c r="H11" s="57">
        <f>+'VZLA BFS'!H11/'VENEZUELA USD'!$AH$4</f>
        <v>295.93859649122811</v>
      </c>
      <c r="I11" s="30">
        <f t="shared" si="2"/>
        <v>0.10644441972930614</v>
      </c>
      <c r="J11" s="30" t="str">
        <f t="shared" ref="J11:J20" si="7">IF(E11=0,"",(E11-H11)/ABS(H11))</f>
        <v/>
      </c>
      <c r="K11" s="61">
        <f>'VZLA BFS'!K11/'VENEZUELA USD'!$AH$3</f>
        <v>0</v>
      </c>
      <c r="L11" s="30" t="str">
        <f t="shared" si="3"/>
        <v xml:space="preserve"> </v>
      </c>
      <c r="M11" s="61">
        <f>'VZLA BFS'!M11/'VENEZUELA USD'!$AH$3</f>
        <v>1745.1505376344087</v>
      </c>
      <c r="N11" s="30">
        <f t="shared" si="4"/>
        <v>9.7326718993543199E-2</v>
      </c>
      <c r="O11" s="30" t="str">
        <f t="shared" ref="O11:O22" si="8">IF(K11=0,"",(M11-K11)/ABS(K11)+1)</f>
        <v/>
      </c>
      <c r="P11" s="57">
        <f>+'VZLA BFS'!P11/'VENEZUELA USD'!$AH$4</f>
        <v>2767.5178890570178</v>
      </c>
      <c r="Q11" s="30">
        <f t="shared" si="5"/>
        <v>0.14382530955306699</v>
      </c>
      <c r="R11" s="30">
        <f t="shared" ref="R11:R22" si="9">IF(M11=0,"",(M11-P11)/ABS(P11))</f>
        <v>-0.36941670927047288</v>
      </c>
      <c r="S11" s="63"/>
      <c r="T11" s="3" t="s">
        <v>31</v>
      </c>
      <c r="U11" s="61">
        <f>+'VZLA BFS'!U11/'VENEZUELA USD'!$AH$3</f>
        <v>0</v>
      </c>
      <c r="V11" s="61">
        <f>+'VZLA BFS'!V11/'VENEZUELA USD'!$AH$3</f>
        <v>0</v>
      </c>
      <c r="W11" s="61">
        <f>+'VZLA BFS'!W11/'VENEZUELA USD'!$AH$3</f>
        <v>821.77419354838707</v>
      </c>
      <c r="X11" s="61">
        <f>+'VZLA BFS'!X11/'VENEZUELA USD'!$AH$3</f>
        <v>0</v>
      </c>
      <c r="Y11" s="61">
        <f>+'VZLA BFS'!Y11/'VENEZUELA USD'!$AH$3</f>
        <v>15287.329569892472</v>
      </c>
      <c r="Z11" s="57">
        <f>+Y11-X11</f>
        <v>15287.329569892472</v>
      </c>
      <c r="AA11" s="63" t="str">
        <f>IF(X11=0,"",(Y11-X11)/ABS(X11)+1)</f>
        <v/>
      </c>
      <c r="AB11" s="61">
        <f>+'VZLA BFS'!AB11/'VENEZUELA USD'!$AH$3</f>
        <v>4599.3010752688169</v>
      </c>
      <c r="AC11" s="63">
        <f>IF(AB11=0,"",(Y11-AB11)/ABS(AB11))</f>
        <v>2.3238375395981157</v>
      </c>
      <c r="AD11" s="63"/>
      <c r="AE11" s="63"/>
    </row>
    <row r="12" spans="1:35" x14ac:dyDescent="0.2">
      <c r="B12" s="3" t="s">
        <v>72</v>
      </c>
      <c r="C12" s="61">
        <f>'VZLA BFS'!C12/'VENEZUELA USD'!$AH$3</f>
        <v>0</v>
      </c>
      <c r="D12" s="30" t="str">
        <f t="shared" si="0"/>
        <v xml:space="preserve"> </v>
      </c>
      <c r="E12" s="61">
        <f>'VZLA BFS'!E12/'VENEZUELA USD'!$AH$3</f>
        <v>0</v>
      </c>
      <c r="F12" s="30" t="e">
        <f t="shared" si="1"/>
        <v>#DIV/0!</v>
      </c>
      <c r="G12" s="30" t="str">
        <f t="shared" si="6"/>
        <v/>
      </c>
      <c r="H12" s="57">
        <f>+'VZLA BFS'!H12/'VENEZUELA USD'!$AH$4</f>
        <v>387.92105263157902</v>
      </c>
      <c r="I12" s="30">
        <f t="shared" si="2"/>
        <v>0.13952905041020558</v>
      </c>
      <c r="J12" s="30" t="str">
        <f t="shared" si="7"/>
        <v/>
      </c>
      <c r="K12" s="61">
        <f>'VZLA BFS'!K12/'VENEZUELA USD'!$AH$3</f>
        <v>0</v>
      </c>
      <c r="L12" s="30" t="str">
        <f t="shared" si="3"/>
        <v xml:space="preserve"> </v>
      </c>
      <c r="M12" s="61">
        <f>'VZLA BFS'!M12/'VENEZUELA USD'!$AH$3</f>
        <v>2434.9274193548381</v>
      </c>
      <c r="N12" s="30">
        <f t="shared" si="4"/>
        <v>0.13579544664064233</v>
      </c>
      <c r="O12" s="30" t="str">
        <f t="shared" si="8"/>
        <v/>
      </c>
      <c r="P12" s="57">
        <f>+'VZLA BFS'!P12/'VENEZUELA USD'!$AH$4</f>
        <v>2539.806809416667</v>
      </c>
      <c r="Q12" s="30">
        <f t="shared" si="5"/>
        <v>0.131991378272104</v>
      </c>
      <c r="R12" s="30">
        <f t="shared" si="9"/>
        <v>-4.1294239259842429E-2</v>
      </c>
      <c r="S12" s="63"/>
      <c r="U12" s="61">
        <f>+'VZLA BFS'!U12/'VENEZUELA USD'!$AH$3</f>
        <v>0</v>
      </c>
      <c r="AD12" s="63"/>
      <c r="AE12" s="63"/>
    </row>
    <row r="13" spans="1:35" x14ac:dyDescent="0.2">
      <c r="B13" s="3" t="s">
        <v>74</v>
      </c>
      <c r="C13" s="61">
        <f>'VZLA BFS'!C13/'VENEZUELA USD'!$AH$3</f>
        <v>0</v>
      </c>
      <c r="D13" s="30" t="str">
        <f t="shared" si="0"/>
        <v xml:space="preserve"> </v>
      </c>
      <c r="E13" s="61">
        <f>'VZLA BFS'!E13/'VENEZUELA USD'!$AH$3</f>
        <v>0</v>
      </c>
      <c r="F13" s="30" t="e">
        <f t="shared" si="1"/>
        <v>#DIV/0!</v>
      </c>
      <c r="G13" s="30" t="str">
        <f t="shared" si="6"/>
        <v/>
      </c>
      <c r="H13" s="57">
        <f>+'VZLA BFS'!H13/'VENEZUELA USD'!$AH$4</f>
        <v>0</v>
      </c>
      <c r="I13" s="30">
        <f t="shared" si="2"/>
        <v>0</v>
      </c>
      <c r="J13" s="30" t="str">
        <f t="shared" si="7"/>
        <v/>
      </c>
      <c r="K13" s="61">
        <f>'VZLA BFS'!K13/'VENEZUELA USD'!$AH$3</f>
        <v>0</v>
      </c>
      <c r="L13" s="30" t="str">
        <f t="shared" si="3"/>
        <v xml:space="preserve"> </v>
      </c>
      <c r="M13" s="61">
        <f>'VZLA BFS'!M13/'VENEZUELA USD'!$AH$3</f>
        <v>3495.5413978494621</v>
      </c>
      <c r="N13" s="30">
        <f t="shared" si="4"/>
        <v>0.19494568979702667</v>
      </c>
      <c r="O13" s="30" t="str">
        <f t="shared" si="8"/>
        <v/>
      </c>
      <c r="P13" s="57">
        <f>+'VZLA BFS'!P13/'VENEZUELA USD'!$AH$4</f>
        <v>355.27677938596497</v>
      </c>
      <c r="Q13" s="30">
        <f t="shared" si="5"/>
        <v>1.8463401076555919E-2</v>
      </c>
      <c r="R13" s="30">
        <f t="shared" si="9"/>
        <v>8.8389244686661108</v>
      </c>
      <c r="S13" s="63"/>
      <c r="T13" s="3" t="s">
        <v>32</v>
      </c>
      <c r="U13" s="61">
        <f>+'VZLA BFS'!U13/'VENEZUELA USD'!$AH$3</f>
        <v>0</v>
      </c>
      <c r="V13" s="61">
        <f>+'VZLA BFS'!V13/'VENEZUELA USD'!$AH$3</f>
        <v>0</v>
      </c>
      <c r="W13" s="61">
        <f>+'VZLA BFS'!W13/'VENEZUELA USD'!$AH$3</f>
        <v>0</v>
      </c>
      <c r="X13" s="61">
        <f>+'VZLA BFS'!X13/'VENEZUELA USD'!$AH$3</f>
        <v>0</v>
      </c>
      <c r="Y13" s="61">
        <f>+'VZLA BFS'!Y13/'VENEZUELA USD'!$AH$3</f>
        <v>0</v>
      </c>
      <c r="Z13" s="57">
        <f>+X13-Y13</f>
        <v>0</v>
      </c>
      <c r="AA13" s="63" t="str">
        <f>IF(X13=0,"",(Y13-X13)/ABS(X13)+1)</f>
        <v/>
      </c>
      <c r="AB13" s="61">
        <f>+'VZLA BFS'!AB13/'VENEZUELA USD'!$AH$3</f>
        <v>0</v>
      </c>
      <c r="AC13" s="63" t="str">
        <f>IF(AB13=0,"",(Y13-AB13)/ABS(AB13))</f>
        <v/>
      </c>
      <c r="AD13" s="63"/>
      <c r="AE13" s="63"/>
    </row>
    <row r="14" spans="1:35" x14ac:dyDescent="0.2">
      <c r="B14" s="3" t="s">
        <v>75</v>
      </c>
      <c r="C14" s="61">
        <f>'VZLA BFS'!C14/'VENEZUELA USD'!$AH$3</f>
        <v>0</v>
      </c>
      <c r="D14" s="30" t="str">
        <f t="shared" si="0"/>
        <v xml:space="preserve"> </v>
      </c>
      <c r="E14" s="61">
        <f>'VZLA BFS'!E14/'VENEZUELA USD'!$AH$3</f>
        <v>0</v>
      </c>
      <c r="F14" s="30" t="e">
        <f t="shared" si="1"/>
        <v>#DIV/0!</v>
      </c>
      <c r="G14" s="30" t="str">
        <f t="shared" si="6"/>
        <v/>
      </c>
      <c r="H14" s="57">
        <f>+'VZLA BFS'!H14/'VENEZUELA USD'!$AH$4</f>
        <v>0</v>
      </c>
      <c r="I14" s="30">
        <f t="shared" si="2"/>
        <v>0</v>
      </c>
      <c r="J14" s="30" t="str">
        <f t="shared" si="7"/>
        <v/>
      </c>
      <c r="K14" s="61">
        <f>'VZLA BFS'!K14/'VENEZUELA USD'!$AH$3</f>
        <v>0</v>
      </c>
      <c r="L14" s="30" t="str">
        <f t="shared" si="3"/>
        <v xml:space="preserve"> </v>
      </c>
      <c r="M14" s="61">
        <f>'VZLA BFS'!M14/'VENEZUELA USD'!$AH$3</f>
        <v>0</v>
      </c>
      <c r="N14" s="30">
        <f t="shared" si="4"/>
        <v>0</v>
      </c>
      <c r="O14" s="30" t="str">
        <f t="shared" si="8"/>
        <v/>
      </c>
      <c r="P14" s="57">
        <f>+'VZLA BFS'!P14/'VENEZUELA USD'!$AH$4</f>
        <v>0</v>
      </c>
      <c r="Q14" s="30">
        <f t="shared" si="5"/>
        <v>0</v>
      </c>
      <c r="R14" s="30" t="str">
        <f t="shared" si="9"/>
        <v/>
      </c>
      <c r="S14" s="63"/>
      <c r="T14" s="3" t="s">
        <v>33</v>
      </c>
      <c r="U14" s="61">
        <f>+'VZLA BFS'!U14/'VENEZUELA USD'!$AH$3</f>
        <v>0</v>
      </c>
      <c r="V14" s="61">
        <f>+'VZLA BFS'!V14/'VENEZUELA USD'!$AH$3</f>
        <v>0</v>
      </c>
      <c r="W14" s="61">
        <f>+'VZLA BFS'!W14/'VENEZUELA USD'!$AH$3</f>
        <v>0</v>
      </c>
      <c r="X14" s="61">
        <f>+'VZLA BFS'!X14/'VENEZUELA USD'!$AH$3</f>
        <v>0</v>
      </c>
      <c r="Y14" s="61">
        <f>+'VZLA BFS'!Y14/'VENEZUELA USD'!$AH$3</f>
        <v>0</v>
      </c>
      <c r="Z14" s="57">
        <f>+X14-Y14</f>
        <v>0</v>
      </c>
      <c r="AA14" s="63" t="str">
        <f>IF(X14=0,"",(Y14-X14)/ABS(X14)+1)</f>
        <v/>
      </c>
      <c r="AB14" s="61">
        <f>+'VZLA BFS'!AB14/'VENEZUELA USD'!$AH$3</f>
        <v>0</v>
      </c>
      <c r="AC14" s="63" t="str">
        <f>IF(AB14=0,"",(Y14-AB14)/ABS(AB14))</f>
        <v/>
      </c>
      <c r="AD14" s="63"/>
      <c r="AE14" s="63"/>
    </row>
    <row r="15" spans="1:35" x14ac:dyDescent="0.2">
      <c r="B15" s="3" t="s">
        <v>77</v>
      </c>
      <c r="C15" s="61">
        <f>'VZLA BFS'!C15/'VENEZUELA USD'!$AH$3</f>
        <v>0</v>
      </c>
      <c r="D15" s="30" t="str">
        <f t="shared" si="0"/>
        <v xml:space="preserve"> </v>
      </c>
      <c r="E15" s="61">
        <f>'VZLA BFS'!E15/'VENEZUELA USD'!$AH$3</f>
        <v>0</v>
      </c>
      <c r="F15" s="30" t="e">
        <f t="shared" si="1"/>
        <v>#DIV/0!</v>
      </c>
      <c r="G15" s="30" t="str">
        <f t="shared" si="6"/>
        <v/>
      </c>
      <c r="H15" s="57">
        <f>+'VZLA BFS'!H15/'VENEZUELA USD'!$AH$4</f>
        <v>497.45394736842104</v>
      </c>
      <c r="I15" s="30">
        <f t="shared" si="2"/>
        <v>0.17892629551365025</v>
      </c>
      <c r="J15" s="30" t="str">
        <f t="shared" si="7"/>
        <v/>
      </c>
      <c r="K15" s="61">
        <f>'VZLA BFS'!K15/'VENEZUELA USD'!$AH$3</f>
        <v>0</v>
      </c>
      <c r="L15" s="30" t="str">
        <f t="shared" si="3"/>
        <v xml:space="preserve"> </v>
      </c>
      <c r="M15" s="61">
        <f>'VZLA BFS'!M15/'VENEZUELA USD'!$AH$3</f>
        <v>2311.3569892473115</v>
      </c>
      <c r="N15" s="30">
        <f t="shared" si="4"/>
        <v>0.12890394687163731</v>
      </c>
      <c r="O15" s="30" t="str">
        <f t="shared" si="8"/>
        <v/>
      </c>
      <c r="P15" s="57">
        <f>+'VZLA BFS'!P15/'VENEZUELA USD'!$AH$4</f>
        <v>3104.6160265350877</v>
      </c>
      <c r="Q15" s="30">
        <f t="shared" si="5"/>
        <v>0.16134398365604291</v>
      </c>
      <c r="R15" s="30">
        <f t="shared" si="9"/>
        <v>-0.25550954788218833</v>
      </c>
      <c r="S15" s="63"/>
      <c r="T15" s="3" t="s">
        <v>34</v>
      </c>
      <c r="U15" s="61">
        <f>+'VZLA BFS'!U15/'VENEZUELA USD'!$AH$3</f>
        <v>0</v>
      </c>
      <c r="V15" s="61">
        <f>+'VZLA BFS'!V15/'VENEZUELA USD'!$AH$3</f>
        <v>0</v>
      </c>
      <c r="W15" s="61">
        <f>+'VZLA BFS'!W15/'VENEZUELA USD'!$AH$3</f>
        <v>245.21505376344084</v>
      </c>
      <c r="X15" s="61">
        <f>+'VZLA BFS'!X15/'VENEZUELA USD'!$AH$3</f>
        <v>0</v>
      </c>
      <c r="Y15" s="61">
        <f>+'VZLA BFS'!Y15/'VENEZUELA USD'!$AH$3</f>
        <v>3212.1623655913977</v>
      </c>
      <c r="Z15" s="57">
        <f>+X15-Y15</f>
        <v>-3212.1623655913977</v>
      </c>
      <c r="AA15" s="63" t="str">
        <f>IF(X15=0,"",(Y15-X15)/ABS(X15)+1)</f>
        <v/>
      </c>
      <c r="AB15" s="61">
        <f>+'VZLA BFS'!AB15/'VENEZUELA USD'!$AH$3</f>
        <v>1033.1182795698924</v>
      </c>
      <c r="AC15" s="63">
        <f>IF(AB15=0,"",(Y15-AB15)/ABS(AB15))</f>
        <v>2.109191298917569</v>
      </c>
      <c r="AD15" s="63"/>
      <c r="AE15" s="63"/>
      <c r="AG15" s="49"/>
    </row>
    <row r="16" spans="1:35" x14ac:dyDescent="0.2">
      <c r="B16" s="3" t="s">
        <v>78</v>
      </c>
      <c r="C16" s="61">
        <f>'VZLA BFS'!C16/'VENEZUELA USD'!$AH$3</f>
        <v>0</v>
      </c>
      <c r="D16" s="30" t="str">
        <f t="shared" si="0"/>
        <v xml:space="preserve"> </v>
      </c>
      <c r="E16" s="61">
        <f>'VZLA BFS'!E16/'VENEZUELA USD'!$AH$3</f>
        <v>0</v>
      </c>
      <c r="F16" s="30" t="e">
        <f t="shared" si="1"/>
        <v>#DIV/0!</v>
      </c>
      <c r="G16" s="30" t="str">
        <f t="shared" si="6"/>
        <v/>
      </c>
      <c r="H16" s="57">
        <f>+'VZLA BFS'!H16/'VENEZUELA USD'!$AH$4</f>
        <v>0</v>
      </c>
      <c r="I16" s="30">
        <f t="shared" si="2"/>
        <v>0</v>
      </c>
      <c r="J16" s="30" t="str">
        <f t="shared" si="7"/>
        <v/>
      </c>
      <c r="K16" s="61">
        <f>'VZLA BFS'!K16/'VENEZUELA USD'!$AH$3</f>
        <v>0</v>
      </c>
      <c r="L16" s="30" t="str">
        <f t="shared" si="3"/>
        <v xml:space="preserve"> </v>
      </c>
      <c r="M16" s="61">
        <f>'VZLA BFS'!M16/'VENEZUELA USD'!$AH$3</f>
        <v>0</v>
      </c>
      <c r="N16" s="30"/>
      <c r="O16" s="30" t="str">
        <f t="shared" si="8"/>
        <v/>
      </c>
      <c r="P16" s="57">
        <f>+'VZLA BFS'!P16/'VENEZUELA USD'!$AH$4</f>
        <v>0</v>
      </c>
      <c r="Q16" s="30">
        <f t="shared" si="5"/>
        <v>0</v>
      </c>
      <c r="R16" s="30" t="str">
        <f t="shared" si="9"/>
        <v/>
      </c>
      <c r="S16" s="63"/>
      <c r="T16" s="3" t="s">
        <v>35</v>
      </c>
      <c r="U16" s="61">
        <f>+'VZLA BFS'!U16/'VENEZUELA USD'!$AH$3</f>
        <v>0</v>
      </c>
      <c r="V16" s="61">
        <f>+'VZLA BFS'!V16/'VENEZUELA USD'!$AH$3</f>
        <v>0</v>
      </c>
      <c r="W16" s="61">
        <f>+'VZLA BFS'!W16/'VENEZUELA USD'!$AH$3</f>
        <v>287.47311827956986</v>
      </c>
      <c r="X16" s="61">
        <f>+'VZLA BFS'!X16/'VENEZUELA USD'!$AH$3</f>
        <v>0</v>
      </c>
      <c r="Y16" s="61">
        <f>+'VZLA BFS'!Y16/'VENEZUELA USD'!$AH$3</f>
        <v>7955.347849462365</v>
      </c>
      <c r="Z16" s="57">
        <f>+X16-Y16</f>
        <v>-7955.347849462365</v>
      </c>
      <c r="AA16" s="63" t="str">
        <f>IF(X16=0,"",(Y16-X16)/ABS(X16)+1)</f>
        <v/>
      </c>
      <c r="AB16" s="61">
        <f>+'VZLA BFS'!AB16/'VENEZUELA USD'!$AH$3</f>
        <v>2388.4408602150534</v>
      </c>
      <c r="AC16" s="63">
        <f>IF(AB16=0,"",(Y16-AB16)/ABS(AB16))</f>
        <v>2.3307702870005631</v>
      </c>
      <c r="AD16" s="63"/>
      <c r="AE16" s="63"/>
    </row>
    <row r="17" spans="2:33" x14ac:dyDescent="0.2">
      <c r="B17" s="3" t="s">
        <v>79</v>
      </c>
      <c r="C17" s="61">
        <f>'VZLA BFS'!C17/'VENEZUELA USD'!$AH$3</f>
        <v>0</v>
      </c>
      <c r="D17" s="30" t="str">
        <f t="shared" si="0"/>
        <v xml:space="preserve"> </v>
      </c>
      <c r="E17" s="61">
        <f>'VZLA BFS'!E17/'VENEZUELA USD'!$AH$3</f>
        <v>0</v>
      </c>
      <c r="F17" s="30" t="e">
        <f t="shared" si="1"/>
        <v>#DIV/0!</v>
      </c>
      <c r="G17" s="30" t="str">
        <f t="shared" si="6"/>
        <v/>
      </c>
      <c r="H17" s="57">
        <f>+'VZLA BFS'!H17/'VENEZUELA USD'!$AH$4</f>
        <v>0</v>
      </c>
      <c r="I17" s="30">
        <f t="shared" si="2"/>
        <v>0</v>
      </c>
      <c r="J17" s="30" t="str">
        <f t="shared" si="7"/>
        <v/>
      </c>
      <c r="K17" s="61">
        <f>'VZLA BFS'!K17/'VENEZUELA USD'!$AH$3</f>
        <v>0</v>
      </c>
      <c r="L17" s="30" t="str">
        <f t="shared" si="3"/>
        <v xml:space="preserve"> </v>
      </c>
      <c r="M17" s="61">
        <f>'VZLA BFS'!M17/'VENEZUELA USD'!$AH$3</f>
        <v>0</v>
      </c>
      <c r="N17" s="30"/>
      <c r="O17" s="30" t="str">
        <f t="shared" si="8"/>
        <v/>
      </c>
      <c r="P17" s="57">
        <f>+'VZLA BFS'!P17/'VENEZUELA USD'!$AH$4</f>
        <v>0</v>
      </c>
      <c r="Q17" s="30">
        <f t="shared" si="5"/>
        <v>0</v>
      </c>
      <c r="R17" s="30" t="str">
        <f t="shared" si="9"/>
        <v/>
      </c>
      <c r="S17" s="63"/>
      <c r="T17" s="3" t="s">
        <v>36</v>
      </c>
      <c r="U17" s="61">
        <f>+'VZLA BFS'!U17/'VENEZUELA USD'!$AH$3</f>
        <v>0</v>
      </c>
      <c r="V17" s="61">
        <f>+'VZLA BFS'!V17/'VENEZUELA USD'!$AH$3</f>
        <v>0</v>
      </c>
      <c r="W17" s="61">
        <f>+'VZLA BFS'!W17/'VENEZUELA USD'!$AH$3</f>
        <v>532.6881720430107</v>
      </c>
      <c r="X17" s="61">
        <f>+'VZLA BFS'!X17/'VENEZUELA USD'!$AH$3</f>
        <v>0</v>
      </c>
      <c r="Y17" s="61">
        <f>+'VZLA BFS'!Y17/'VENEZUELA USD'!$AH$3</f>
        <v>11167.510215053762</v>
      </c>
      <c r="Z17" s="57">
        <f>+Y17-X17</f>
        <v>11167.510215053762</v>
      </c>
      <c r="AA17" s="63" t="str">
        <f>IF(X17=0,"",(Y17-X17)/ABS(X17)+1)</f>
        <v/>
      </c>
      <c r="AB17" s="61">
        <f>+'VZLA BFS'!AB17/'VENEZUELA USD'!$AH$3</f>
        <v>3421.5591397849462</v>
      </c>
      <c r="AC17" s="63">
        <f>IF(AB17=0,"",(Y17-AB17)/ABS(AB17))</f>
        <v>2.2638659040555615</v>
      </c>
      <c r="AD17" s="63"/>
      <c r="AE17" s="63"/>
    </row>
    <row r="18" spans="2:33" x14ac:dyDescent="0.2">
      <c r="B18" s="3" t="s">
        <v>132</v>
      </c>
      <c r="C18" s="61">
        <f>'VZLA BFS'!C18/'VENEZUELA USD'!$AH$3</f>
        <v>0</v>
      </c>
      <c r="D18" s="30" t="str">
        <f t="shared" si="0"/>
        <v xml:space="preserve"> </v>
      </c>
      <c r="E18" s="61">
        <f>'VZLA BFS'!E18/'VENEZUELA USD'!$AH$3</f>
        <v>0</v>
      </c>
      <c r="F18" s="30" t="e">
        <f t="shared" si="1"/>
        <v>#DIV/0!</v>
      </c>
      <c r="G18" s="30" t="str">
        <f t="shared" si="6"/>
        <v/>
      </c>
      <c r="H18" s="57">
        <f>+'VZLA BFS'!H18/'VENEZUELA USD'!$AH$4</f>
        <v>0</v>
      </c>
      <c r="I18" s="30">
        <f t="shared" si="2"/>
        <v>0</v>
      </c>
      <c r="J18" s="30" t="str">
        <f t="shared" si="7"/>
        <v/>
      </c>
      <c r="K18" s="61">
        <f>'VZLA BFS'!K18/'VENEZUELA USD'!$AH$3</f>
        <v>0</v>
      </c>
      <c r="L18" s="30" t="str">
        <f t="shared" si="3"/>
        <v xml:space="preserve"> </v>
      </c>
      <c r="M18" s="61">
        <f>'VZLA BFS'!M18/'VENEZUELA USD'!$AH$3</f>
        <v>0</v>
      </c>
      <c r="N18" s="30"/>
      <c r="O18" s="30" t="str">
        <f t="shared" si="8"/>
        <v/>
      </c>
      <c r="P18" s="57">
        <f>+'VZLA BFS'!P18/'VENEZUELA USD'!$AH$4</f>
        <v>0</v>
      </c>
      <c r="Q18" s="30">
        <f t="shared" si="5"/>
        <v>0</v>
      </c>
      <c r="R18" s="30" t="str">
        <f t="shared" si="9"/>
        <v/>
      </c>
      <c r="S18" s="63"/>
      <c r="U18" s="61">
        <f>+'VZLA BFS'!U18/'VENEZUELA USD'!$AH$3</f>
        <v>0</v>
      </c>
      <c r="AD18" s="63"/>
      <c r="AE18" s="63"/>
    </row>
    <row r="19" spans="2:33" x14ac:dyDescent="0.2">
      <c r="B19" s="3" t="s">
        <v>83</v>
      </c>
      <c r="C19" s="61">
        <f>'VZLA BFS'!C19/'VENEZUELA USD'!$AH$3</f>
        <v>0</v>
      </c>
      <c r="D19" s="30" t="str">
        <f t="shared" si="0"/>
        <v xml:space="preserve"> </v>
      </c>
      <c r="E19" s="61">
        <f>'VZLA BFS'!E19/'VENEZUELA USD'!$AH$3</f>
        <v>0</v>
      </c>
      <c r="F19" s="30" t="e">
        <f t="shared" si="1"/>
        <v>#DIV/0!</v>
      </c>
      <c r="G19" s="30" t="str">
        <f t="shared" si="6"/>
        <v/>
      </c>
      <c r="H19" s="57">
        <f>+'VZLA BFS'!H19/'VENEZUELA USD'!$AH$4</f>
        <v>0</v>
      </c>
      <c r="I19" s="30">
        <f t="shared" si="2"/>
        <v>0</v>
      </c>
      <c r="J19" s="30" t="str">
        <f t="shared" si="7"/>
        <v/>
      </c>
      <c r="K19" s="61">
        <f>'VZLA BFS'!K19/'VENEZUELA USD'!$AH$3</f>
        <v>0</v>
      </c>
      <c r="L19" s="30" t="str">
        <f t="shared" si="3"/>
        <v xml:space="preserve"> </v>
      </c>
      <c r="M19" s="61">
        <f>'VZLA BFS'!M19/'VENEZUELA USD'!$AH$3</f>
        <v>0</v>
      </c>
      <c r="N19" s="30"/>
      <c r="O19" s="30" t="str">
        <f t="shared" si="8"/>
        <v/>
      </c>
      <c r="P19" s="57">
        <f>+'VZLA BFS'!P19/'VENEZUELA USD'!$AH$4</f>
        <v>0</v>
      </c>
      <c r="Q19" s="30">
        <f t="shared" si="5"/>
        <v>0</v>
      </c>
      <c r="R19" s="30" t="str">
        <f t="shared" si="9"/>
        <v/>
      </c>
      <c r="S19" s="63"/>
      <c r="T19" s="3" t="s">
        <v>37</v>
      </c>
      <c r="U19" s="61">
        <f>+'VZLA BFS'!U19/'VENEZUELA USD'!$AH$3</f>
        <v>0</v>
      </c>
      <c r="V19" s="61">
        <f>+V11-V17</f>
        <v>0</v>
      </c>
      <c r="W19" s="61">
        <f>+'VZLA BFS'!W19/'VENEZUELA USD'!$AH$3</f>
        <v>289.08602150537632</v>
      </c>
      <c r="X19" s="61">
        <f>+'VZLA BFS'!X19/'VENEZUELA USD'!$AH$3</f>
        <v>0</v>
      </c>
      <c r="Y19" s="61">
        <f>Y11-Y17</f>
        <v>4119.8193548387098</v>
      </c>
      <c r="Z19" s="57">
        <f>+Y19-X19</f>
        <v>4119.8193548387098</v>
      </c>
      <c r="AA19" s="63" t="str">
        <f>IF(X19=0,"",(Y19-X19)/ABS(X19)+1)</f>
        <v/>
      </c>
      <c r="AB19" s="61">
        <f>+'VZLA BFS'!AB19/'VENEZUELA USD'!$AH$3</f>
        <v>1177.741935483871</v>
      </c>
      <c r="AC19" s="63">
        <f>IF(AB19=0,"",(Y19-AB19)/ABS(AB19))</f>
        <v>2.4980662832100795</v>
      </c>
      <c r="AD19" s="63"/>
      <c r="AE19" s="63"/>
      <c r="AG19" s="49"/>
    </row>
    <row r="20" spans="2:33" x14ac:dyDescent="0.2">
      <c r="B20" s="3" t="s">
        <v>38</v>
      </c>
      <c r="C20" s="61">
        <f>'VZLA BFS'!C20/'VENEZUELA USD'!$AH$3</f>
        <v>0</v>
      </c>
      <c r="D20" s="30" t="str">
        <f t="shared" si="0"/>
        <v xml:space="preserve"> </v>
      </c>
      <c r="E20" s="61">
        <f>'VZLA BFS'!E20/'VENEZUELA USD'!$AH$3</f>
        <v>0</v>
      </c>
      <c r="F20" s="30" t="e">
        <f t="shared" si="1"/>
        <v>#DIV/0!</v>
      </c>
      <c r="G20" s="30" t="str">
        <f t="shared" si="6"/>
        <v/>
      </c>
      <c r="H20" s="57">
        <f>+'VZLA BFS'!H20/'VENEZUELA USD'!$AH$4</f>
        <v>2780.2171052631579</v>
      </c>
      <c r="I20" s="30">
        <f t="shared" si="2"/>
        <v>1</v>
      </c>
      <c r="J20" s="30" t="str">
        <f t="shared" si="7"/>
        <v/>
      </c>
      <c r="K20" s="61">
        <f>'VZLA BFS'!K20/'VENEZUELA USD'!$AH$3</f>
        <v>0</v>
      </c>
      <c r="L20" s="30" t="str">
        <f t="shared" si="3"/>
        <v xml:space="preserve"> </v>
      </c>
      <c r="M20" s="61">
        <f>'VZLA BFS'!M20/'VENEZUELA USD'!$AH$3</f>
        <v>17930.847311827954</v>
      </c>
      <c r="N20" s="30">
        <f>+M20/$M$20</f>
        <v>1</v>
      </c>
      <c r="O20" s="30" t="str">
        <f t="shared" si="8"/>
        <v/>
      </c>
      <c r="P20" s="57">
        <f>+'VZLA BFS'!P20/'VENEZUELA USD'!$AH$4</f>
        <v>19242.217504394739</v>
      </c>
      <c r="Q20" s="30">
        <f t="shared" si="5"/>
        <v>1</v>
      </c>
      <c r="R20" s="30">
        <f t="shared" si="9"/>
        <v>-6.8150679217053867E-2</v>
      </c>
      <c r="S20" s="63"/>
      <c r="T20" s="3"/>
      <c r="U20" s="61">
        <f>+'VZLA BFS'!U20/'VENEZUELA USD'!$AH$3</f>
        <v>0</v>
      </c>
      <c r="V20" s="61"/>
      <c r="W20" s="61"/>
      <c r="X20" s="61"/>
      <c r="Y20" s="61"/>
      <c r="Z20" s="57"/>
      <c r="AA20" s="63"/>
      <c r="AB20" s="61"/>
      <c r="AC20" s="63" t="str">
        <f>IF(AB20=0,"",(Y20-AB20)/ABS(AB20))</f>
        <v/>
      </c>
      <c r="AD20" s="63"/>
      <c r="AE20" s="63"/>
    </row>
    <row r="21" spans="2:33" x14ac:dyDescent="0.2">
      <c r="E21" s="61">
        <f>'VZLA BFS'!E21/'VENEZUELA USD'!$AH$3</f>
        <v>0</v>
      </c>
      <c r="G21" s="30" t="str">
        <f t="shared" si="6"/>
        <v/>
      </c>
      <c r="H21" s="57">
        <f>+'VZLA BFS'!H21/'VENEZUELA USD'!$AH$4</f>
        <v>0</v>
      </c>
      <c r="L21" s="30" t="str">
        <f t="shared" si="3"/>
        <v xml:space="preserve"> </v>
      </c>
      <c r="M21" s="61">
        <f>'VZLA BFS'!M21/'VENEZUELA USD'!$AH$3</f>
        <v>0</v>
      </c>
      <c r="O21" s="30" t="str">
        <f t="shared" si="8"/>
        <v/>
      </c>
      <c r="P21" s="57">
        <f>+'VZLA BFS'!P21/'VENEZUELA USD'!$AH$4</f>
        <v>0</v>
      </c>
      <c r="Q21" s="30">
        <f t="shared" si="5"/>
        <v>0</v>
      </c>
      <c r="R21" s="30" t="str">
        <f t="shared" si="9"/>
        <v/>
      </c>
      <c r="S21" s="63"/>
      <c r="T21" s="3" t="s">
        <v>39</v>
      </c>
      <c r="U21" s="61">
        <f>+'VZLA BFS'!U21/'VENEZUELA USD'!$AH$3</f>
        <v>12723.225806451612</v>
      </c>
      <c r="V21" s="61">
        <f>+V10+V19</f>
        <v>3125.4301075268813</v>
      </c>
      <c r="W21" s="61">
        <f>+'VZLA BFS'!W21/'VENEZUELA USD'!$AH$3</f>
        <v>835.86021505376334</v>
      </c>
      <c r="X21" s="61">
        <f>+'VZLA BFS'!X21/'VENEZUELA USD'!$AH$3</f>
        <v>12723.225806451612</v>
      </c>
      <c r="Y21" s="61">
        <f>+Y10+Y19</f>
        <v>4913.7440860215056</v>
      </c>
      <c r="Z21" s="57">
        <f>+Y21-X21</f>
        <v>-7809.4817204301062</v>
      </c>
      <c r="AA21" s="63">
        <f>IF(X21=0,"",(Y21-X21)/ABS(X21)+1)</f>
        <v>0.3862026942514748</v>
      </c>
      <c r="AB21" s="61">
        <f>+'VZLA BFS'!AB21/'VENEZUELA USD'!$AH$3</f>
        <v>1202.4193548387095</v>
      </c>
      <c r="AC21" s="63">
        <f>IF(AB21=0,"",(Y21-AB21)/ABS(AB21))</f>
        <v>3.0865477308294218</v>
      </c>
      <c r="AD21" s="63"/>
      <c r="AE21" s="63"/>
      <c r="AG21" s="49"/>
    </row>
    <row r="22" spans="2:33" x14ac:dyDescent="0.2">
      <c r="B22" s="3" t="s">
        <v>40</v>
      </c>
      <c r="C22" s="61">
        <f>'VZLA BFS'!C21/'VENEZUELA USD'!$AH$3</f>
        <v>0</v>
      </c>
      <c r="D22" s="30" t="str">
        <f>IF(DD30&lt;=0," ",C22/$C$20)</f>
        <v xml:space="preserve"> </v>
      </c>
      <c r="E22" s="61">
        <f>'VZLA BFS'!E22/'VENEZUELA USD'!$AH$3</f>
        <v>0</v>
      </c>
      <c r="F22" s="30" t="e">
        <f>+E22/$E$20</f>
        <v>#DIV/0!</v>
      </c>
      <c r="G22" s="30" t="str">
        <f t="shared" si="6"/>
        <v/>
      </c>
      <c r="H22" s="57">
        <f>+'VZLA BFS'!H22/'VENEZUELA USD'!$AH$4</f>
        <v>0</v>
      </c>
      <c r="I22" s="30">
        <f>IF($H$20&lt;=0," ",H22/$H$20)</f>
        <v>0</v>
      </c>
      <c r="J22" s="30" t="str">
        <f>IF(E22=0,"",(E22-H22)/ABS(H22))</f>
        <v/>
      </c>
      <c r="K22" s="61">
        <f>'VZLA BFS'!K21/'VENEZUELA USD'!$AH$3</f>
        <v>0</v>
      </c>
      <c r="L22" s="30" t="str">
        <f t="shared" si="3"/>
        <v xml:space="preserve"> </v>
      </c>
      <c r="M22" s="61">
        <f>'VZLA BFS'!M22/'VENEZUELA USD'!$AH$3</f>
        <v>2936.4010752688168</v>
      </c>
      <c r="N22" s="30">
        <f>+M22/$M$20</f>
        <v>0.1637625386130995</v>
      </c>
      <c r="O22" s="30" t="str">
        <f t="shared" si="8"/>
        <v/>
      </c>
      <c r="P22" s="57">
        <f>+'VZLA BFS'!P22/'VENEZUELA USD'!$AH$4</f>
        <v>0</v>
      </c>
      <c r="Q22" s="30">
        <f t="shared" si="5"/>
        <v>0</v>
      </c>
      <c r="R22" s="30" t="e">
        <f t="shared" si="9"/>
        <v>#DIV/0!</v>
      </c>
      <c r="S22" s="63"/>
      <c r="U22" s="61">
        <f>+'VZLA BFS'!U22/'VENEZUELA USD'!$AH$3</f>
        <v>0</v>
      </c>
      <c r="AD22" s="63"/>
      <c r="AE22" s="63"/>
    </row>
    <row r="23" spans="2:33" x14ac:dyDescent="0.2">
      <c r="E23" s="61">
        <f>'VZLA BFS'!E23/'VENEZUELA USD'!$AH$3</f>
        <v>0</v>
      </c>
      <c r="H23" s="57">
        <f>+'VZLA BFS'!H23/'VENEZUELA USD'!$AH$4</f>
        <v>0</v>
      </c>
      <c r="M23" s="61">
        <f>'VZLA BFS'!M23/'VENEZUELA USD'!$AH$3</f>
        <v>0</v>
      </c>
      <c r="P23" s="57">
        <f>+'VZLA BFS'!P23/'VENEZUELA USD'!$AH$4</f>
        <v>0</v>
      </c>
      <c r="S23" s="63"/>
      <c r="T23" s="3" t="s">
        <v>41</v>
      </c>
      <c r="U23" s="61">
        <f>+'VZLA BFS'!U23/'VENEZUELA USD'!$AH$3</f>
        <v>0</v>
      </c>
      <c r="V23" s="61"/>
      <c r="W23" s="61"/>
      <c r="X23" s="61"/>
      <c r="Y23" s="61"/>
      <c r="Z23" s="57">
        <f>+Y23-X23</f>
        <v>0</v>
      </c>
      <c r="AA23" s="63" t="str">
        <f>IF(X23=0,"",(Y23-X23)/ABS(X23)+1)</f>
        <v/>
      </c>
      <c r="AB23" s="61">
        <v>0</v>
      </c>
      <c r="AC23" s="63" t="str">
        <f>IF(AB23=0,"",(Y23-AB23)/ABS(AB23))</f>
        <v/>
      </c>
      <c r="AD23" s="63"/>
      <c r="AE23" s="63"/>
    </row>
    <row r="24" spans="2:33" x14ac:dyDescent="0.2">
      <c r="B24" s="3" t="s">
        <v>42</v>
      </c>
      <c r="C24" s="61">
        <f>'VZLA BFS'!C22/'VENEZUELA USD'!$AH$3</f>
        <v>0</v>
      </c>
      <c r="D24" s="30" t="str">
        <f>IF(DD31&lt;=0," ",C24/$C$20)</f>
        <v xml:space="preserve"> </v>
      </c>
      <c r="E24" s="61">
        <f>'VZLA BFS'!E24/'VENEZUELA USD'!$AH$3</f>
        <v>0</v>
      </c>
      <c r="F24" s="30" t="e">
        <f>+E24/$E$20</f>
        <v>#DIV/0!</v>
      </c>
      <c r="G24" s="30" t="str">
        <f>IF(C24=0,"",(E24-C24)/ABS(C24)+1)</f>
        <v/>
      </c>
      <c r="H24" s="57">
        <f>+'VZLA BFS'!H24/'VENEZUELA USD'!$AH$4</f>
        <v>2780.2171052631579</v>
      </c>
      <c r="I24" s="30">
        <f>IF($H$20&lt;=0," ",H24/$H$20)</f>
        <v>1</v>
      </c>
      <c r="J24" s="30" t="str">
        <f>IF(E24=0,"",(E24-H24)/ABS(H24))</f>
        <v/>
      </c>
      <c r="K24" s="61">
        <f>'VZLA BFS'!K22/'VENEZUELA USD'!$AH$3</f>
        <v>0</v>
      </c>
      <c r="L24" s="30" t="str">
        <f>IF($K$20&lt;=0," ",K24/$K$20)</f>
        <v xml:space="preserve"> </v>
      </c>
      <c r="M24" s="61">
        <f>'VZLA BFS'!M24/'VENEZUELA USD'!$AH$3</f>
        <v>14994.446236559135</v>
      </c>
      <c r="N24" s="30">
        <f>+M24/$M$20</f>
        <v>0.83623746138690036</v>
      </c>
      <c r="O24" s="30" t="str">
        <f>IF(K24=0,"",(M24-K24)/ABS(K24)+1)</f>
        <v/>
      </c>
      <c r="P24" s="57">
        <f>+'VZLA BFS'!P24/'VENEZUELA USD'!$AH$4</f>
        <v>19242.217504394739</v>
      </c>
      <c r="Q24" s="30">
        <f>IF($P$20&lt;=0," ",P24/$P$20)</f>
        <v>1</v>
      </c>
      <c r="R24" s="30">
        <f>IF(M24=0,"",(M24-P24)/ABS(P24))</f>
        <v>-0.22075268959336175</v>
      </c>
      <c r="S24" s="63"/>
      <c r="U24" s="61">
        <f>+'VZLA BFS'!U24/'VENEZUELA USD'!$AH$3</f>
        <v>0</v>
      </c>
      <c r="AD24" s="63"/>
      <c r="AE24" s="63"/>
    </row>
    <row r="25" spans="2:33" x14ac:dyDescent="0.2">
      <c r="E25" s="61">
        <f>'VZLA BFS'!E25/'VENEZUELA USD'!$AH$3</f>
        <v>0</v>
      </c>
      <c r="H25" s="57">
        <f>+'VZLA BFS'!H25/'VENEZUELA USD'!$AH$4</f>
        <v>0</v>
      </c>
      <c r="M25" s="61">
        <f>'VZLA BFS'!M25/'VENEZUELA USD'!$AH$3</f>
        <v>0</v>
      </c>
      <c r="P25" s="57">
        <f>+'VZLA BFS'!P25/'VENEZUELA USD'!$AH$4</f>
        <v>0</v>
      </c>
      <c r="S25" s="63"/>
      <c r="T25" s="3" t="s">
        <v>43</v>
      </c>
      <c r="U25" s="61">
        <f>+'VZLA BFS'!U25/'VENEZUELA USD'!$AH$3</f>
        <v>0</v>
      </c>
      <c r="V25" s="61">
        <v>1736.09</v>
      </c>
      <c r="W25" s="61">
        <f>+'VZLA BFS'!W25/'VENEZUELA USD'!$AH$3</f>
        <v>41.881720430107521</v>
      </c>
      <c r="X25" s="61">
        <f>+'VZLA BFS'!X25/'VENEZUELA USD'!$AH$3</f>
        <v>0</v>
      </c>
      <c r="Y25" s="61">
        <f>+'VZLA BFS'!Y25/'VENEZUELA USD'!$AH$3</f>
        <v>1788.3236559139784</v>
      </c>
      <c r="Z25" s="57">
        <f>+Y25-X25</f>
        <v>1788.3236559139784</v>
      </c>
      <c r="AA25" s="63" t="str">
        <f>IF(X25=0,"",(Y25-X25)/ABS(X25)+1)</f>
        <v/>
      </c>
      <c r="AB25" s="61">
        <f>+'VZLA BFS'!AB25/'VENEZUELA USD'!$AH$3</f>
        <v>408.49462365591393</v>
      </c>
      <c r="AC25" s="63">
        <f>IF(AB25=0,"",(Y25-AB25)/ABS(AB25))</f>
        <v>3.3778389049749937</v>
      </c>
    </row>
    <row r="26" spans="2:33" x14ac:dyDescent="0.2">
      <c r="B26" s="3" t="s">
        <v>44</v>
      </c>
      <c r="C26" s="61">
        <f>'VZLA BFS'!C23/'VENEZUELA USD'!$AH$3</f>
        <v>0</v>
      </c>
      <c r="D26" s="30" t="str">
        <f>IF(DD32&lt;=0," ",C26/$C$20)</f>
        <v xml:space="preserve"> </v>
      </c>
      <c r="E26" s="61">
        <f>'VZLA BFS'!E26/'VENEZUELA USD'!$AH$3</f>
        <v>0</v>
      </c>
      <c r="F26" s="30" t="e">
        <f>+E26/$E$20</f>
        <v>#DIV/0!</v>
      </c>
      <c r="G26" s="30" t="str">
        <f>IF(C26=0,"",(E26-C26)/ABS(C26)+1)</f>
        <v/>
      </c>
      <c r="H26" s="57">
        <f>+'VZLA BFS'!H26/'VENEZUELA USD'!$AH$4</f>
        <v>45.296052631578952</v>
      </c>
      <c r="I26" s="30">
        <f>IF($H$20&lt;=0," ",H26/$H$20)</f>
        <v>1.6292271760298918E-2</v>
      </c>
      <c r="J26" s="30" t="str">
        <f>IF(E26=0,"",(E26-H26)/ABS(H26))</f>
        <v/>
      </c>
      <c r="K26" s="61">
        <f>'VZLA BFS'!K23/'VENEZUELA USD'!$AH$3</f>
        <v>0</v>
      </c>
      <c r="L26" s="30" t="str">
        <f>IF($K$20&lt;=0," ",K26/$K$20)</f>
        <v xml:space="preserve"> </v>
      </c>
      <c r="M26" s="61">
        <f>'VZLA BFS'!M26/'VENEZUELA USD'!$AH$3</f>
        <v>315.05107526881716</v>
      </c>
      <c r="N26" s="30">
        <f>+M26/$M$20</f>
        <v>1.7570339526621029E-2</v>
      </c>
      <c r="O26" s="30" t="str">
        <f>IF(K26=0,"",(M26-K26)/ABS(K26)+1)</f>
        <v/>
      </c>
      <c r="P26" s="57">
        <f>+'VZLA BFS'!P26/'VENEZUELA USD'!$AH$4</f>
        <v>292.52779154385968</v>
      </c>
      <c r="Q26" s="30">
        <f>IF($P$20&lt;=0," ",P26/$P$20)</f>
        <v>1.5202395019027776E-2</v>
      </c>
      <c r="R26" s="30">
        <f>IF(M26=0,"",(M26-P26)/ABS(P26))</f>
        <v>7.6995363777531842E-2</v>
      </c>
      <c r="S26" s="63"/>
      <c r="U26" s="61">
        <f>+'VZLA BFS'!U26/'VENEZUELA USD'!$AH$3</f>
        <v>0</v>
      </c>
    </row>
    <row r="27" spans="2:33" x14ac:dyDescent="0.2">
      <c r="B27" s="3" t="s">
        <v>45</v>
      </c>
      <c r="C27" s="61">
        <f>'VZLA BFS'!C24/'VENEZUELA USD'!$AH$3</f>
        <v>0</v>
      </c>
      <c r="D27" s="30" t="str">
        <f>IF(DD33&lt;=0," ",C27/$C$20)</f>
        <v xml:space="preserve"> </v>
      </c>
      <c r="E27" s="61">
        <f>'VZLA BFS'!E27/'VENEZUELA USD'!$AH$3</f>
        <v>0</v>
      </c>
      <c r="F27" s="30" t="e">
        <f>+E27/$E$20</f>
        <v>#DIV/0!</v>
      </c>
      <c r="G27" s="30" t="str">
        <f>IF(C27=0,"",(E27-C27)/ABS(C27)+1)</f>
        <v/>
      </c>
      <c r="H27" s="57">
        <f>+'VZLA BFS'!H27/'VENEZUELA USD'!$AH$4</f>
        <v>479.57236842105277</v>
      </c>
      <c r="I27" s="30">
        <f>IF($H$20&lt;=0," ",H27/$H$20)</f>
        <v>0.1724945751586042</v>
      </c>
      <c r="J27" s="30" t="str">
        <f>IF(E27=0,"",(E27-H27)/ABS(H27))</f>
        <v/>
      </c>
      <c r="K27" s="61">
        <f>'VZLA BFS'!K24/'VENEZUELA USD'!$AH$3</f>
        <v>0</v>
      </c>
      <c r="L27" s="30" t="str">
        <f>IF($K$20&lt;=0," ",K27/$K$20)</f>
        <v xml:space="preserve"> </v>
      </c>
      <c r="M27" s="61">
        <f>'VZLA BFS'!M27/'VENEZUELA USD'!$AH$3</f>
        <v>1492.8290322580644</v>
      </c>
      <c r="N27" s="30">
        <f>+M27/$M$20</f>
        <v>8.3254795844105514E-2</v>
      </c>
      <c r="O27" s="30" t="str">
        <f>IF(K27=0,"",(M27-K27)/ABS(K27)+1)</f>
        <v/>
      </c>
      <c r="P27" s="57">
        <f>+'VZLA BFS'!P27/'VENEZUELA USD'!$AH$4</f>
        <v>4244.2074171842114</v>
      </c>
      <c r="Q27" s="30">
        <f>IF($P$20&lt;=0," ",P27/$P$20)</f>
        <v>0.22056747961688278</v>
      </c>
      <c r="R27" s="30">
        <f>IF(M27=0,"",(M27-P27)/ABS(P27))</f>
        <v>-0.64826671142088743</v>
      </c>
      <c r="S27" s="63"/>
      <c r="T27" s="3" t="s">
        <v>46</v>
      </c>
      <c r="U27" s="61">
        <f>+'VZLA BFS'!U27/'VENEZUELA USD'!$AH$3</f>
        <v>0</v>
      </c>
      <c r="V27" s="61"/>
      <c r="W27" s="61"/>
      <c r="X27" s="61">
        <f>+'VZLA BFS'!X27/'VENEZUELA USD'!$AH$3</f>
        <v>0</v>
      </c>
      <c r="Y27" s="61">
        <f>+'VZLA BFS'!Y27/'VENEZUELA USD'!$AH$3</f>
        <v>0</v>
      </c>
      <c r="Z27" s="57">
        <f>+Y27-X27</f>
        <v>0</v>
      </c>
      <c r="AA27" s="63" t="str">
        <f>IF(X27=0,"",(Y27-X27)/ABS(X27)+1)</f>
        <v/>
      </c>
      <c r="AB27" s="61">
        <f>+'VZLA BFS'!AB27/'VENEZUELA USD'!$AH$3</f>
        <v>0</v>
      </c>
      <c r="AC27" s="63" t="str">
        <f>IF(AB27=0,"",(Y27-AB27)/ABS(AB27))</f>
        <v/>
      </c>
    </row>
    <row r="28" spans="2:33" x14ac:dyDescent="0.2">
      <c r="B28" s="3" t="s">
        <v>47</v>
      </c>
      <c r="C28" s="61">
        <f>'VZLA BFS'!C25/'VENEZUELA USD'!$AH$3</f>
        <v>0</v>
      </c>
      <c r="D28" s="30" t="str">
        <f>IF(DD34&lt;=0," ",C28/$C$20)</f>
        <v xml:space="preserve"> </v>
      </c>
      <c r="E28" s="61">
        <f>'VZLA BFS'!E28/'VENEZUELA USD'!$AH$3</f>
        <v>0</v>
      </c>
      <c r="F28" s="30" t="e">
        <f>+E28/$E$20</f>
        <v>#DIV/0!</v>
      </c>
      <c r="G28" s="30" t="str">
        <f>IF(C28=0,"",(E28-C28)/ABS(C28)+1)</f>
        <v/>
      </c>
      <c r="H28" s="57">
        <f>+'VZLA BFS'!H28/'VENEZUELA USD'!$AH$4</f>
        <v>524.86842105263179</v>
      </c>
      <c r="I28" s="30">
        <f>IF($H$20&lt;=0," ",H28/$H$20)</f>
        <v>0.18878684691890313</v>
      </c>
      <c r="J28" s="30" t="str">
        <f>IF(E28=0,"",(E28-H28)/ABS(H28))</f>
        <v/>
      </c>
      <c r="K28" s="61">
        <f>'VZLA BFS'!K25/'VENEZUELA USD'!$AH$3</f>
        <v>0</v>
      </c>
      <c r="L28" s="30" t="str">
        <f>IF($K$20&lt;=0," ",K28/$K$20)</f>
        <v xml:space="preserve"> </v>
      </c>
      <c r="M28" s="61">
        <f>'VZLA BFS'!M28/'VENEZUELA USD'!$AH$3</f>
        <v>1807.8801075268816</v>
      </c>
      <c r="N28" s="30">
        <f>+M28/$M$20</f>
        <v>0.10082513537072654</v>
      </c>
      <c r="O28" s="30" t="str">
        <f>IF(K28=0,"",(M28-K28)/ABS(K28)+1)</f>
        <v/>
      </c>
      <c r="P28" s="57">
        <f>+'VZLA BFS'!P28/'VENEZUELA USD'!$AH$4</f>
        <v>4536.7352087280715</v>
      </c>
      <c r="Q28" s="30">
        <f>IF($P$20&lt;=0," ",P28/$P$20)</f>
        <v>0.23576987463591056</v>
      </c>
      <c r="R28" s="30">
        <f>IF(M28=0,"",(M28-P28)/ABS(P28))</f>
        <v>-0.60150195584508392</v>
      </c>
      <c r="S28" s="63"/>
      <c r="T28" s="3" t="s">
        <v>48</v>
      </c>
      <c r="U28" s="61">
        <f>+'VZLA BFS'!U28/'VENEZUELA USD'!$AH$3</f>
        <v>0</v>
      </c>
      <c r="V28" s="61"/>
      <c r="W28" s="61"/>
      <c r="X28" s="61"/>
      <c r="Y28" s="61">
        <f>+'VZLA BFS'!Y28/'VENEZUELA USD'!$AH$3</f>
        <v>0</v>
      </c>
      <c r="Z28" s="57">
        <f>+Y28-X28</f>
        <v>0</v>
      </c>
      <c r="AA28" s="63" t="str">
        <f>IF(X28=0,"",(Y28-X28)/ABS(X28)+1)</f>
        <v/>
      </c>
      <c r="AB28" s="61">
        <f>+'VZLA BFS'!AB28/'VENEZUELA USD'!$AH$3</f>
        <v>0</v>
      </c>
      <c r="AC28" s="63" t="str">
        <f>IF(AB28=0,"",(Y28-AB28)/ABS(AB28))</f>
        <v/>
      </c>
    </row>
    <row r="29" spans="2:33" x14ac:dyDescent="0.2">
      <c r="E29" s="61">
        <f>'VZLA BFS'!E29/'VENEZUELA USD'!$AH$3</f>
        <v>0</v>
      </c>
      <c r="H29" s="57">
        <f>+'VZLA BFS'!H29/'VENEZUELA USD'!$AH$4</f>
        <v>0</v>
      </c>
      <c r="M29" s="61">
        <f>'VZLA BFS'!M29/'VENEZUELA USD'!$AH$3</f>
        <v>0</v>
      </c>
      <c r="P29" s="57">
        <f>+'VZLA BFS'!P29/'VENEZUELA USD'!$AH$4</f>
        <v>0</v>
      </c>
      <c r="S29" s="63"/>
      <c r="U29" s="61">
        <f>+'VZLA BFS'!U29/'VENEZUELA USD'!$AH$3</f>
        <v>0</v>
      </c>
    </row>
    <row r="30" spans="2:33" x14ac:dyDescent="0.2">
      <c r="B30" s="3" t="s">
        <v>49</v>
      </c>
      <c r="C30" s="61">
        <f>'VZLA BFS'!C26/'VENEZUELA USD'!$AH$3</f>
        <v>0</v>
      </c>
      <c r="D30" s="30" t="str">
        <f>IF(DD35&lt;=0," ",C30/$C$20)</f>
        <v xml:space="preserve"> </v>
      </c>
      <c r="E30" s="61">
        <f>'VZLA BFS'!E30/'VENEZUELA USD'!$AH$3</f>
        <v>0</v>
      </c>
      <c r="F30" s="30" t="e">
        <f>+E30/$E$20</f>
        <v>#DIV/0!</v>
      </c>
      <c r="G30" s="30" t="str">
        <f>IF(C30=0,"",(E30-C30)/ABS(C30)+1)</f>
        <v/>
      </c>
      <c r="H30" s="57">
        <f>+'VZLA BFS'!H30/'VENEZUELA USD'!$AH$4</f>
        <v>1889.5877192982459</v>
      </c>
      <c r="I30" s="30">
        <f>IF($H$20&lt;=0," ",H30/$H$20)</f>
        <v>0.67965473477632943</v>
      </c>
      <c r="J30" s="30" t="str">
        <f>IF(E30=0,"",(E30-H30)/ABS(H30))</f>
        <v/>
      </c>
      <c r="K30" s="61">
        <f>'VZLA BFS'!K26/'VENEZUELA USD'!$AH$3</f>
        <v>0</v>
      </c>
      <c r="L30" s="30" t="str">
        <f>IF($K$20&lt;=0," ",K30/$K$20)</f>
        <v xml:space="preserve"> </v>
      </c>
      <c r="M30" s="61">
        <f>'VZLA BFS'!M30/'VENEZUELA USD'!$AH$3</f>
        <v>6579.6917204301062</v>
      </c>
      <c r="N30" s="30">
        <f>+M30/$M$20</f>
        <v>0.36694817629113713</v>
      </c>
      <c r="O30" s="30" t="str">
        <f>IF(K30=0,"",(M30-K30)/ABS(K30)+1)</f>
        <v/>
      </c>
      <c r="P30" s="57">
        <f>+'VZLA BFS'!P30/'VENEZUELA USD'!$AH$4</f>
        <v>8023.1896282280704</v>
      </c>
      <c r="Q30" s="30">
        <f>IF($P$20&lt;=0," ",P30/$P$20)</f>
        <v>0.41695764151900117</v>
      </c>
      <c r="R30" s="30">
        <f>IF(M30=0,"",(M30-P30)/ABS(P30))</f>
        <v>-0.17991571615349719</v>
      </c>
      <c r="S30" s="63"/>
      <c r="T30" s="3" t="s">
        <v>50</v>
      </c>
      <c r="U30" s="61">
        <f>+'VZLA BFS'!U30/'VENEZUELA USD'!$AH$3</f>
        <v>12723.225806451612</v>
      </c>
      <c r="V30" s="61">
        <f>+V21-V25-V23+V27</f>
        <v>1389.3401075268814</v>
      </c>
      <c r="W30" s="61">
        <f>+W21-W25-W23+W27</f>
        <v>793.97849462365582</v>
      </c>
      <c r="X30" s="61">
        <f>+X21-X25-X23-X27</f>
        <v>12723.225806451612</v>
      </c>
      <c r="Y30" s="61">
        <f>+Y21-Y25-Y23+Y27</f>
        <v>3125.420430107527</v>
      </c>
      <c r="Z30" s="57">
        <f>+Y30-X30</f>
        <v>-9597.8053763440839</v>
      </c>
      <c r="AA30" s="63">
        <f>IF(U30=0,"",(V30-U30)/ABS(U30)+1)</f>
        <v>0.10919715869715862</v>
      </c>
      <c r="AB30" s="61">
        <f>+AB21-AB25-AB23-AB27</f>
        <v>793.92473118279554</v>
      </c>
      <c r="AC30" s="63">
        <f>IF(AB30=0,"",(Y30-AB30)/ABS(AB30))</f>
        <v>2.9366709555089057</v>
      </c>
    </row>
    <row r="31" spans="2:33" x14ac:dyDescent="0.2">
      <c r="B31" s="3" t="s">
        <v>51</v>
      </c>
      <c r="C31" s="61">
        <f>'VZLA BFS'!C27/'VENEZUELA USD'!$AH$3</f>
        <v>0</v>
      </c>
      <c r="D31" s="30" t="str">
        <f>IF(DD36&lt;=0," ",C31/$C$20)</f>
        <v xml:space="preserve"> </v>
      </c>
      <c r="E31" s="61">
        <f>'VZLA BFS'!E31/'VENEZUELA USD'!$AH$3</f>
        <v>0</v>
      </c>
      <c r="F31" s="30" t="e">
        <f>+E31/$E$20</f>
        <v>#DIV/0!</v>
      </c>
      <c r="G31" s="30" t="str">
        <f>IF(C31=0,"",(E31-C31)/ABS(C31)+1)</f>
        <v/>
      </c>
      <c r="H31" s="57">
        <f>+'VZLA BFS'!H31/'VENEZUELA USD'!$AH$4</f>
        <v>364.73684210526318</v>
      </c>
      <c r="I31" s="30">
        <f>IF($H$20&lt;=0," ",H31/$H$20)</f>
        <v>0.13119005757312593</v>
      </c>
      <c r="J31" s="30" t="str">
        <f>IF(E31=0,"",(E31-H31)/ABS(H31))</f>
        <v/>
      </c>
      <c r="K31" s="61">
        <f>'VZLA BFS'!K27/'VENEZUELA USD'!$AH$3</f>
        <v>0</v>
      </c>
      <c r="L31" s="30" t="str">
        <f>IF($K$20&lt;=0," ",K31/$K$20)</f>
        <v xml:space="preserve"> </v>
      </c>
      <c r="M31" s="61">
        <f>'VZLA BFS'!M31/'VENEZUELA USD'!$AH$3</f>
        <v>1484.6064516129029</v>
      </c>
      <c r="N31" s="30">
        <f>+M31/$M$20</f>
        <v>8.2796224059840884E-2</v>
      </c>
      <c r="O31" s="30" t="str">
        <f>IF(K31=0,"",(M31-K31)/ABS(K31)+1)</f>
        <v/>
      </c>
      <c r="P31" s="57">
        <f>+'VZLA BFS'!P31/'VENEZUELA USD'!$AH$4</f>
        <v>3086.0781887258777</v>
      </c>
      <c r="Q31" s="30">
        <f>IF($P$20&lt;=0," ",P31/$P$20)</f>
        <v>0.16038058960829471</v>
      </c>
      <c r="R31" s="30">
        <f>IF(M31=0,"",(M31-P31)/ABS(P31))</f>
        <v>-0.51893427164726524</v>
      </c>
      <c r="S31" s="63"/>
      <c r="T31" s="63"/>
      <c r="U31" s="52"/>
    </row>
    <row r="32" spans="2:33" x14ac:dyDescent="0.2">
      <c r="B32" s="3" t="s">
        <v>52</v>
      </c>
      <c r="C32" s="61">
        <f>'VZLA BFS'!C28/'VENEZUELA USD'!$AH$3</f>
        <v>0</v>
      </c>
      <c r="D32" s="30" t="str">
        <f>IF(DD37&lt;=0," ",C32/$C$20)</f>
        <v xml:space="preserve"> </v>
      </c>
      <c r="E32" s="61">
        <f>'VZLA BFS'!E32/'VENEZUELA USD'!$AH$3</f>
        <v>0</v>
      </c>
      <c r="F32" s="30" t="e">
        <f>+E32/$E$20</f>
        <v>#DIV/0!</v>
      </c>
      <c r="G32" s="30" t="str">
        <f>IF(C32=0,"",(E32-C32)/ABS(C32)+1)</f>
        <v/>
      </c>
      <c r="H32" s="57">
        <f>+'VZLA BFS'!H32/'VENEZUELA USD'!$AH$4</f>
        <v>2254.3245614035091</v>
      </c>
      <c r="I32" s="30">
        <f>IF($H$20&lt;=0," ",H32/$H$20)</f>
        <v>0.81084479234945528</v>
      </c>
      <c r="J32" s="30" t="str">
        <f>IF(E32=0,"",(E32-H32)/ABS(H32))</f>
        <v/>
      </c>
      <c r="K32" s="61">
        <f>'VZLA BFS'!K28/'VENEZUELA USD'!$AH$3</f>
        <v>0</v>
      </c>
      <c r="L32" s="30" t="str">
        <f>IF($K$20&lt;=0," ",K32/$K$20)</f>
        <v xml:space="preserve"> </v>
      </c>
      <c r="M32" s="61">
        <f>'VZLA BFS'!M32/'VENEZUELA USD'!$AH$3</f>
        <v>8064.2981720430098</v>
      </c>
      <c r="N32" s="30">
        <f>+M32/$M$20</f>
        <v>0.44974440035097801</v>
      </c>
      <c r="O32" s="30" t="str">
        <f>IF(K32=0,"",(M32-K32)/ABS(K32)+1)</f>
        <v/>
      </c>
      <c r="P32" s="57">
        <f>+'VZLA BFS'!P32/'VENEZUELA USD'!$AH$4</f>
        <v>11109.267816953949</v>
      </c>
      <c r="Q32" s="30">
        <f>IF($P$20&lt;=0," ",P32/$P$20)</f>
        <v>0.57733823112729588</v>
      </c>
      <c r="R32" s="30">
        <f>IF(M32=0,"",(M32-P32)/ABS(P32))</f>
        <v>-0.27409273906098336</v>
      </c>
      <c r="S32" s="63"/>
    </row>
    <row r="33" spans="2:51" x14ac:dyDescent="0.2">
      <c r="E33" s="61">
        <f>'VZLA BFS'!E33/'VENEZUELA USD'!$AH$3</f>
        <v>0</v>
      </c>
      <c r="H33" s="57">
        <f>+'VZLA BFS'!H33/'VENEZUELA USD'!$AH$4</f>
        <v>0</v>
      </c>
      <c r="M33" s="61">
        <f>'VZLA BFS'!M33/'VENEZUELA USD'!$AH$3</f>
        <v>0</v>
      </c>
      <c r="P33" s="57">
        <f>+'VZLA BFS'!P33/'VENEZUELA USD'!$AH$4</f>
        <v>0</v>
      </c>
      <c r="S33" s="63"/>
    </row>
    <row r="34" spans="2:51" x14ac:dyDescent="0.2">
      <c r="B34" s="3" t="s">
        <v>53</v>
      </c>
      <c r="C34" s="61">
        <f>'VZLA BFS'!C29/'VENEZUELA USD'!$AH$3</f>
        <v>0</v>
      </c>
      <c r="D34" s="30" t="str">
        <f>IF(DD38&lt;=0," ",C34/$C$20)</f>
        <v xml:space="preserve"> </v>
      </c>
      <c r="E34" s="61">
        <f>'VZLA BFS'!E34/'VENEZUELA USD'!$AH$3</f>
        <v>0</v>
      </c>
      <c r="F34" s="30" t="e">
        <f>+E34/$E$20</f>
        <v>#DIV/0!</v>
      </c>
      <c r="G34" s="30" t="str">
        <f>IF(C34=0,"",(E34-C34)/ABS(C34)+1)</f>
        <v/>
      </c>
      <c r="H34" s="57">
        <f>+'VZLA BFS'!H34/'VENEZUELA USD'!$AH$4</f>
        <v>2779.1929824561412</v>
      </c>
      <c r="I34" s="30">
        <f>IF($H$20&lt;=0," ",H34/$H$20)</f>
        <v>0.99963163926835863</v>
      </c>
      <c r="J34" s="30" t="str">
        <f>IF(E34=0,"",(E34-H34)/ABS(H34))</f>
        <v/>
      </c>
      <c r="K34" s="61">
        <f>'VZLA BFS'!K29/'VENEZUELA USD'!$AH$3</f>
        <v>0</v>
      </c>
      <c r="L34" s="30" t="str">
        <f>IF($K$20&lt;=0," ",K34/$K$20)</f>
        <v xml:space="preserve"> </v>
      </c>
      <c r="M34" s="61">
        <f>'VZLA BFS'!M34/'VENEZUELA USD'!$AH$3</f>
        <v>9872.1782795698928</v>
      </c>
      <c r="N34" s="30">
        <f>+M34/$M$20</f>
        <v>0.55056953572170464</v>
      </c>
      <c r="O34" s="30" t="str">
        <f>IF(K34=0,"",(M34-K34)/ABS(K34)+1)</f>
        <v/>
      </c>
      <c r="P34" s="57">
        <f>+'VZLA BFS'!P34/'VENEZUELA USD'!$AH$4</f>
        <v>15646.003025682019</v>
      </c>
      <c r="Q34" s="30">
        <f>IF($P$20&lt;=0," ",P34/$P$20)</f>
        <v>0.81310810576320636</v>
      </c>
      <c r="R34" s="30">
        <f>IF(M34=0,"",(M34-P34)/ABS(P34))</f>
        <v>-0.3690287376676793</v>
      </c>
      <c r="S34" s="63"/>
      <c r="AL34" s="74" t="s">
        <v>138</v>
      </c>
      <c r="AT34" s="74" t="s">
        <v>139</v>
      </c>
    </row>
    <row r="35" spans="2:51" ht="15" x14ac:dyDescent="0.25">
      <c r="E35" s="61">
        <f>'VZLA BFS'!E35/'VENEZUELA USD'!$AH$3</f>
        <v>0</v>
      </c>
      <c r="H35" s="57">
        <f>+'VZLA BFS'!H35/'VENEZUELA USD'!$AH$4</f>
        <v>0</v>
      </c>
      <c r="M35" s="61">
        <f>'VZLA BFS'!M35/'VENEZUELA USD'!$AH$3</f>
        <v>0</v>
      </c>
      <c r="P35" s="57">
        <f>+'VZLA BFS'!P35/'VENEZUELA USD'!$AH$4</f>
        <v>0</v>
      </c>
      <c r="S35" s="63"/>
      <c r="AL35" s="98" t="s">
        <v>7</v>
      </c>
      <c r="AM35" s="99">
        <v>1788641</v>
      </c>
      <c r="AN35" s="100"/>
      <c r="AO35" s="100"/>
      <c r="AP35" s="100"/>
      <c r="AQ35" s="100"/>
      <c r="AT35" s="98" t="s">
        <v>7</v>
      </c>
      <c r="AU35" s="99">
        <v>4.71</v>
      </c>
      <c r="AV35" s="100"/>
      <c r="AW35" s="100"/>
      <c r="AX35" s="100"/>
      <c r="AY35" s="100"/>
    </row>
    <row r="36" spans="2:51" ht="15" x14ac:dyDescent="0.25">
      <c r="B36" s="3" t="s">
        <v>54</v>
      </c>
      <c r="C36" s="61">
        <f>'VZLA BFS'!C30/'VENEZUELA USD'!$AH$3</f>
        <v>0</v>
      </c>
      <c r="D36" s="30" t="str">
        <f>IF(DD39&lt;=0," ",C36/$C$20)</f>
        <v xml:space="preserve"> </v>
      </c>
      <c r="E36" s="61">
        <f>'VZLA BFS'!E36/'VENEZUELA USD'!$AH$3</f>
        <v>0</v>
      </c>
      <c r="F36" s="30" t="e">
        <f>+E36/$E$20</f>
        <v>#DIV/0!</v>
      </c>
      <c r="G36" s="30" t="str">
        <f>IF(C36=0,"",(E36-C36)/ABS(C36)+1)</f>
        <v/>
      </c>
      <c r="H36" s="57">
        <f>+'VZLA BFS'!H36/'VENEZUELA USD'!$AH$4</f>
        <v>1.0241228070167621</v>
      </c>
      <c r="I36" s="30">
        <f>IF($H$20&lt;=0," ",H36/$H$20)</f>
        <v>3.6836073164143237E-4</v>
      </c>
      <c r="J36" s="30" t="str">
        <f>IF(E36=0,"",(E36-H36)/ABS(H36))</f>
        <v/>
      </c>
      <c r="K36" s="61">
        <f>'VZLA BFS'!K30/'VENEZUELA USD'!$AH$3</f>
        <v>0</v>
      </c>
      <c r="L36" s="30" t="str">
        <f>IF($K$20&lt;=0," ",K36/$K$20)</f>
        <v xml:space="preserve"> </v>
      </c>
      <c r="M36" s="61">
        <f>'VZLA BFS'!M36/'VENEZUELA USD'!$AH$3</f>
        <v>5122.2679569892443</v>
      </c>
      <c r="N36" s="30">
        <f>+M36/$M$20</f>
        <v>0.28566792566519583</v>
      </c>
      <c r="O36" s="30" t="str">
        <f>IF(K36=0,"",(M36-K36)/ABS(K36)+1)</f>
        <v/>
      </c>
      <c r="P36" s="57">
        <f>+'VZLA BFS'!P36/'VENEZUELA USD'!$AH$4</f>
        <v>3596.2144787127204</v>
      </c>
      <c r="Q36" s="30">
        <f>IF($P$20&lt;=0," ",P36/$P$20)</f>
        <v>0.18689189423679362</v>
      </c>
      <c r="R36" s="30">
        <f>IF(M36=0,"",(M36-P36)/ABS(P36))</f>
        <v>0.42434996224774141</v>
      </c>
      <c r="AL36" s="98" t="s">
        <v>8</v>
      </c>
      <c r="AM36" s="99">
        <v>1899023</v>
      </c>
      <c r="AN36" s="100"/>
      <c r="AO36" s="100"/>
      <c r="AP36" s="100"/>
      <c r="AQ36" s="100"/>
      <c r="AT36" s="98" t="s">
        <v>8</v>
      </c>
      <c r="AU36" s="99">
        <v>4.6100000000000003</v>
      </c>
      <c r="AV36" s="100"/>
      <c r="AW36" s="100"/>
      <c r="AX36" s="100"/>
      <c r="AY36" s="100"/>
    </row>
    <row r="37" spans="2:51" ht="13.5" customHeight="1" x14ac:dyDescent="0.25">
      <c r="E37" s="61">
        <f>'VZLA BFS'!E37/'VENEZUELA USD'!$AH$3</f>
        <v>0</v>
      </c>
      <c r="H37" s="57">
        <f>+'VZLA BFS'!H37/'VENEZUELA USD'!$AH$4</f>
        <v>0</v>
      </c>
      <c r="M37" s="61">
        <f>'VZLA BFS'!M37/'VENEZUELA USD'!$AH$3</f>
        <v>0</v>
      </c>
      <c r="P37" s="57">
        <f>+'VZLA BFS'!P37/'VENEZUELA USD'!$AH$4</f>
        <v>0</v>
      </c>
      <c r="AL37" s="98" t="s">
        <v>9</v>
      </c>
      <c r="AM37" s="99">
        <v>2115582</v>
      </c>
      <c r="AN37" s="100"/>
      <c r="AO37" s="100"/>
      <c r="AP37" s="100"/>
      <c r="AQ37" s="100"/>
      <c r="AT37" s="98" t="s">
        <v>9</v>
      </c>
      <c r="AU37" s="99">
        <v>4.4800000000000004</v>
      </c>
      <c r="AV37" s="100"/>
      <c r="AW37" s="100"/>
      <c r="AX37" s="100"/>
      <c r="AY37" s="100"/>
    </row>
    <row r="38" spans="2:51" ht="15" x14ac:dyDescent="0.25">
      <c r="B38" s="3" t="s">
        <v>55</v>
      </c>
      <c r="C38" s="61">
        <f>'VZLA BFS'!C31/'VENEZUELA USD'!$AH$3</f>
        <v>0</v>
      </c>
      <c r="D38" s="30" t="str">
        <f>IF(DD40&lt;=0," ",C38/$C$20)</f>
        <v xml:space="preserve"> </v>
      </c>
      <c r="E38" s="61">
        <f>'VZLA BFS'!E38/'VENEZUELA USD'!$AH$3</f>
        <v>0</v>
      </c>
      <c r="F38" s="30" t="e">
        <f>+E38/$E$20</f>
        <v>#DIV/0!</v>
      </c>
      <c r="G38" s="30" t="str">
        <f>IF(C38=0,"",(E38-C38)/ABS(C38)+1)</f>
        <v/>
      </c>
      <c r="H38" s="57">
        <f>+'VZLA BFS'!H38/'VENEZUELA USD'!$AH$4</f>
        <v>0</v>
      </c>
      <c r="I38" s="30">
        <f>IF($H$20&lt;=0," ",H38/$H$20)</f>
        <v>0</v>
      </c>
      <c r="J38" s="30" t="str">
        <f>IF(E38=0,"",(E38-H38)/ABS(H38))</f>
        <v/>
      </c>
      <c r="K38" s="61">
        <f>'VZLA BFS'!K31/'VENEZUELA USD'!$AH$3</f>
        <v>0</v>
      </c>
      <c r="L38" s="30" t="str">
        <f>IF($K$20&lt;=0," ",K38/$K$20)</f>
        <v xml:space="preserve"> </v>
      </c>
      <c r="M38" s="61">
        <f>'VZLA BFS'!M38/'VENEZUELA USD'!$AH$3</f>
        <v>810.16129032258061</v>
      </c>
      <c r="N38" s="30">
        <f>+M38/$M$20</f>
        <v>4.5182543592804089E-2</v>
      </c>
      <c r="O38" s="30" t="str">
        <f>IF(K38=0,"",(M38-K38)/ABS(K38)+1)</f>
        <v/>
      </c>
      <c r="P38" s="57">
        <f>+'VZLA BFS'!P38/'VENEZUELA USD'!$AH$4</f>
        <v>0</v>
      </c>
      <c r="Q38" s="30">
        <f>IF($P$20&lt;=0," ",P38/$P$20)</f>
        <v>0</v>
      </c>
      <c r="R38" s="30" t="e">
        <f>IF(M38=0,"",(M38-P38)/ABS(P38))</f>
        <v>#DIV/0!</v>
      </c>
      <c r="AL38" s="98" t="s">
        <v>10</v>
      </c>
      <c r="AM38" s="99">
        <v>2900823</v>
      </c>
      <c r="AN38" s="100"/>
      <c r="AO38" s="100"/>
      <c r="AP38" s="100"/>
      <c r="AQ38" s="100"/>
      <c r="AT38" s="98" t="s">
        <v>10</v>
      </c>
      <c r="AU38" s="99">
        <v>4.57</v>
      </c>
      <c r="AV38" s="100"/>
      <c r="AW38" s="100"/>
      <c r="AX38" s="100"/>
      <c r="AY38" s="100"/>
    </row>
    <row r="39" spans="2:51" ht="15" x14ac:dyDescent="0.25">
      <c r="B39" s="3" t="s">
        <v>56</v>
      </c>
      <c r="C39" s="61">
        <f>'VZLA BFS'!C32/'VENEZUELA USD'!$AH$3</f>
        <v>0</v>
      </c>
      <c r="D39" s="30" t="str">
        <f>IF(DD41&lt;=0," ",C39/$C$20)</f>
        <v xml:space="preserve"> </v>
      </c>
      <c r="E39" s="61">
        <f>'VZLA BFS'!E39/'VENEZUELA USD'!$AH$3</f>
        <v>0</v>
      </c>
      <c r="F39" s="30" t="e">
        <f>+E39/$E$20</f>
        <v>#DIV/0!</v>
      </c>
      <c r="G39" s="30" t="str">
        <f>IF(C39=0,"",(E39-C39)/ABS(C39)+1)</f>
        <v/>
      </c>
      <c r="H39" s="57">
        <f>+'VZLA BFS'!H39/'VENEZUELA USD'!$AH$4</f>
        <v>57.188596491228068</v>
      </c>
      <c r="I39" s="30">
        <f>IF($H$20&lt;=0," ",H39/$H$20)</f>
        <v>2.0569831177200442E-2</v>
      </c>
      <c r="J39" s="30" t="str">
        <f>IF(E39=0,"",(E39-H39)/ABS(H39))</f>
        <v/>
      </c>
      <c r="K39" s="61">
        <f>'VZLA BFS'!K32/'VENEZUELA USD'!$AH$3</f>
        <v>0</v>
      </c>
      <c r="L39" s="30" t="str">
        <f>IF($K$20&lt;=0," ",K39/$K$20)</f>
        <v xml:space="preserve"> </v>
      </c>
      <c r="M39" s="61">
        <f>'VZLA BFS'!M39/'VENEZUELA USD'!$AH$3</f>
        <v>238.44086021505373</v>
      </c>
      <c r="N39" s="30">
        <f>+M39/$M$20</f>
        <v>1.3297802165643781E-2</v>
      </c>
      <c r="O39" s="30" t="str">
        <f>IF(K39=0,"",(M39-K39)/ABS(K39)+1)</f>
        <v/>
      </c>
      <c r="P39" s="57">
        <f>+'VZLA BFS'!P39/'VENEZUELA USD'!$AH$4</f>
        <v>277.41228070175441</v>
      </c>
      <c r="Q39" s="30">
        <f>IF($P$20&lt;=0," ",P39/$P$20)</f>
        <v>1.4416856094594923E-2</v>
      </c>
      <c r="R39" s="30">
        <f>IF(M39=0,"",(M39-P39)/ABS(P39))</f>
        <v>-0.1404819584342728</v>
      </c>
      <c r="AL39" s="98" t="s">
        <v>11</v>
      </c>
      <c r="AM39" s="99">
        <v>3143738</v>
      </c>
      <c r="AN39" s="100"/>
      <c r="AO39" s="100"/>
      <c r="AP39" s="100"/>
      <c r="AQ39" s="100"/>
      <c r="AT39" s="98" t="s">
        <v>11</v>
      </c>
      <c r="AU39" s="99">
        <v>5.14</v>
      </c>
      <c r="AV39" s="100"/>
      <c r="AW39" s="100"/>
      <c r="AX39" s="100"/>
      <c r="AY39" s="100"/>
    </row>
    <row r="40" spans="2:51" ht="15" x14ac:dyDescent="0.25">
      <c r="E40" s="61">
        <f>'VZLA BFS'!E40/'VENEZUELA USD'!$AH$3</f>
        <v>0</v>
      </c>
      <c r="H40" s="57">
        <f>+'VZLA BFS'!H40/'VENEZUELA USD'!$AH$4</f>
        <v>0</v>
      </c>
      <c r="M40" s="61">
        <f>'VZLA BFS'!M40/'VENEZUELA USD'!$AH$3</f>
        <v>0</v>
      </c>
      <c r="P40" s="57">
        <f>+'VZLA BFS'!P40/'VENEZUELA USD'!$AH$4</f>
        <v>0</v>
      </c>
      <c r="AL40" s="98" t="s">
        <v>12</v>
      </c>
      <c r="AM40" s="99">
        <v>3267940</v>
      </c>
      <c r="AN40" s="100"/>
      <c r="AO40" s="100"/>
      <c r="AP40" s="100"/>
      <c r="AQ40" s="100"/>
      <c r="AT40" s="98" t="s">
        <v>12</v>
      </c>
      <c r="AU40" s="99">
        <v>5.78</v>
      </c>
      <c r="AV40" s="100"/>
      <c r="AW40" s="100"/>
      <c r="AX40" s="100"/>
      <c r="AY40" s="100"/>
    </row>
    <row r="41" spans="2:51" ht="15" x14ac:dyDescent="0.25">
      <c r="B41" s="3" t="s">
        <v>57</v>
      </c>
      <c r="C41" s="61">
        <f>'VZLA BFS'!C33/'VENEZUELA USD'!$AH$3</f>
        <v>0</v>
      </c>
      <c r="D41" s="30" t="str">
        <f>IF(DD42&lt;=0," ",C41/$C$20)</f>
        <v xml:space="preserve"> </v>
      </c>
      <c r="E41" s="61">
        <f>'VZLA BFS'!E41/'VENEZUELA USD'!$AH$3</f>
        <v>0</v>
      </c>
      <c r="F41" s="30" t="e">
        <f>+E41/$E$20</f>
        <v>#DIV/0!</v>
      </c>
      <c r="G41" s="30" t="str">
        <f>IF(C41=0,"",(E41-C41)/ABS(C41)+1)</f>
        <v/>
      </c>
      <c r="H41" s="57">
        <f>+'VZLA BFS'!H41/'VENEZUELA USD'!$AH$4</f>
        <v>-56.164473684211309</v>
      </c>
      <c r="I41" s="30">
        <f>IF($H$20&lt;=0," ",H41/$H$20)</f>
        <v>-2.0201470445559009E-2</v>
      </c>
      <c r="J41" s="30" t="str">
        <f>IF(E41=0,"",(E41-H41)/ABS(H41))</f>
        <v/>
      </c>
      <c r="K41" s="61">
        <f>'VZLA BFS'!K33/'VENEZUELA USD'!$AH$3</f>
        <v>0</v>
      </c>
      <c r="L41" s="30" t="str">
        <f>IF($K$20&lt;=0," ",K41/$K$20)</f>
        <v xml:space="preserve"> </v>
      </c>
      <c r="M41" s="61">
        <f>'VZLA BFS'!M41/'VENEZUELA USD'!$AH$3</f>
        <v>5693.9883870967715</v>
      </c>
      <c r="N41" s="30">
        <f>+M41/$M$20</f>
        <v>0.31755266709235613</v>
      </c>
      <c r="O41" s="30" t="str">
        <f>IF(K41=0,"",(M41-K41)/ABS(K41)+1)</f>
        <v/>
      </c>
      <c r="P41" s="57">
        <f>+'VZLA BFS'!P41/'VENEZUELA USD'!$AH$4</f>
        <v>3318.8021980109661</v>
      </c>
      <c r="Q41" s="30">
        <f>IF($P$20&lt;=0," ",P41/$P$20)</f>
        <v>0.17247503814219869</v>
      </c>
      <c r="R41" s="30">
        <f>IF(M41=0,"",(M41-P41)/ABS(P41))</f>
        <v>0.71567573099394377</v>
      </c>
      <c r="AL41" s="98" t="s">
        <v>13</v>
      </c>
      <c r="AM41" s="99">
        <v>4139112</v>
      </c>
      <c r="AN41" s="100"/>
      <c r="AO41" s="100"/>
      <c r="AP41" s="100"/>
      <c r="AQ41" s="100"/>
      <c r="AT41" s="98" t="s">
        <v>13</v>
      </c>
      <c r="AU41" s="99">
        <v>5.91</v>
      </c>
      <c r="AV41" s="100"/>
      <c r="AW41" s="100"/>
      <c r="AX41" s="100"/>
      <c r="AY41" s="100"/>
    </row>
    <row r="42" spans="2:51" ht="15" x14ac:dyDescent="0.25">
      <c r="B42" s="3" t="s">
        <v>43</v>
      </c>
      <c r="C42" s="61">
        <f>'VZLA BFS'!C34/'VENEZUELA USD'!$AH$3</f>
        <v>0</v>
      </c>
      <c r="D42" s="30" t="str">
        <f>IF(DD43&lt;=0," ",C42/$C$20)</f>
        <v xml:space="preserve"> </v>
      </c>
      <c r="E42" s="61">
        <f>'VZLA BFS'!E42/'VENEZUELA USD'!$AH$3</f>
        <v>0</v>
      </c>
      <c r="F42" s="30" t="e">
        <f>+E42/$E$20</f>
        <v>#DIV/0!</v>
      </c>
      <c r="G42" s="30" t="str">
        <f>IF(C42=0,"",(E42-C42)/ABS(C42)+1)</f>
        <v/>
      </c>
      <c r="H42" s="57">
        <f>+'VZLA BFS'!H42/'VENEZUELA USD'!$AH$4</f>
        <v>-18.421052631578949</v>
      </c>
      <c r="I42" s="30">
        <f>IF($H$20&lt;=0," ",H42/$H$20)</f>
        <v>-6.6257604834912085E-3</v>
      </c>
      <c r="J42" s="30" t="str">
        <f>IF(E42=0,"",(E42-H42)/ABS(H42))</f>
        <v/>
      </c>
      <c r="K42" s="61">
        <f>'VZLA BFS'!K34/'VENEZUELA USD'!$AH$3</f>
        <v>0</v>
      </c>
      <c r="L42" s="30" t="str">
        <f>IF($K$20&lt;=0," ",K42/$K$20)</f>
        <v xml:space="preserve"> </v>
      </c>
      <c r="M42" s="61">
        <f>'VZLA BFS'!M42/'VENEZUELA USD'!$AH$3</f>
        <v>1935.9677419354837</v>
      </c>
      <c r="N42" s="30">
        <f>+M42/$M$20</f>
        <v>0.10796855877850438</v>
      </c>
      <c r="O42" s="30" t="str">
        <f>IF(K42=0,"",(M42-K42)/ABS(K42)+1)</f>
        <v/>
      </c>
      <c r="P42" s="57">
        <f>+'VZLA BFS'!P42/'VENEZUELA USD'!$AH$4</f>
        <v>1128.5087719298247</v>
      </c>
      <c r="Q42" s="30">
        <f>IF($P$20&lt;=0," ",P42/$P$20)</f>
        <v>5.8647542658328437E-2</v>
      </c>
      <c r="R42" s="30">
        <f>IF(M42=0,"",(M42-P42)/ABS(P42))</f>
        <v>0.71550969747878057</v>
      </c>
      <c r="AL42" s="98" t="s">
        <v>14</v>
      </c>
      <c r="AM42" s="99">
        <v>4148043</v>
      </c>
      <c r="AN42" s="100"/>
      <c r="AO42" s="100"/>
      <c r="AP42" s="100"/>
      <c r="AQ42" s="100"/>
      <c r="AT42" s="98" t="s">
        <v>14</v>
      </c>
      <c r="AU42" s="99">
        <v>8.39</v>
      </c>
      <c r="AV42" s="100"/>
      <c r="AW42" s="100"/>
      <c r="AX42" s="100"/>
      <c r="AY42" s="100"/>
    </row>
    <row r="43" spans="2:51" ht="15" x14ac:dyDescent="0.25">
      <c r="B43" s="3" t="s">
        <v>58</v>
      </c>
      <c r="C43" s="61">
        <f>'VZLA BFS'!C35/'VENEZUELA USD'!$AH$3</f>
        <v>0</v>
      </c>
      <c r="D43" s="30" t="str">
        <f>IF(DD44&lt;=0," ",C43/$C$20)</f>
        <v xml:space="preserve"> </v>
      </c>
      <c r="E43" s="61">
        <f>'VZLA BFS'!E43/'VENEZUELA USD'!$AH$3</f>
        <v>0</v>
      </c>
      <c r="F43" s="30" t="e">
        <f>+E43/$E$20</f>
        <v>#DIV/0!</v>
      </c>
      <c r="G43" s="30" t="str">
        <f>IF(C43=0,"",(E43-C43)/ABS(C43)+1)</f>
        <v/>
      </c>
      <c r="H43" s="57">
        <f>+'VZLA BFS'!H43/'VENEZUELA USD'!$AH$4</f>
        <v>-37.743421052632357</v>
      </c>
      <c r="I43" s="30">
        <f>IF($H$20&lt;=0," ",H43/$H$20)</f>
        <v>-1.35757099620678E-2</v>
      </c>
      <c r="J43" s="30" t="str">
        <f>IF(E43=0,"",(E43-H43)/ABS(H43))</f>
        <v/>
      </c>
      <c r="K43" s="61">
        <f>'VZLA BFS'!K35/'VENEZUELA USD'!$AH$3</f>
        <v>0</v>
      </c>
      <c r="L43" s="30" t="str">
        <f>IF($K$20&lt;=0," ",K43/$K$20)</f>
        <v xml:space="preserve"> </v>
      </c>
      <c r="M43" s="61">
        <f>'VZLA BFS'!M43/'VENEZUELA USD'!$AH$3</f>
        <v>3758.0206451612876</v>
      </c>
      <c r="N43" s="30">
        <f>+M43/$M$20</f>
        <v>0.20958410831385177</v>
      </c>
      <c r="O43" s="30" t="str">
        <f>IF(K43=0,"",(M43-K43)/ABS(K43)+1)</f>
        <v/>
      </c>
      <c r="P43" s="57">
        <f>+'VZLA BFS'!P43/'VENEZUELA USD'!$AH$4</f>
        <v>2190.2934260811412</v>
      </c>
      <c r="Q43" s="30">
        <f>IF($P$20&lt;=0," ",P43/$P$20)</f>
        <v>0.11382749548387025</v>
      </c>
      <c r="R43" s="30">
        <f>IF(M43=0,"",(M43-P43)/ABS(P43))</f>
        <v>0.71576127673684053</v>
      </c>
      <c r="AL43" s="98" t="s">
        <v>15</v>
      </c>
      <c r="AM43" s="99">
        <v>4549688</v>
      </c>
      <c r="AN43" s="100"/>
      <c r="AO43" s="100"/>
      <c r="AP43" s="100"/>
      <c r="AQ43" s="100"/>
      <c r="AT43" s="98" t="s">
        <v>15</v>
      </c>
      <c r="AU43" s="99">
        <v>8.3699999999999992</v>
      </c>
      <c r="AV43" s="100"/>
      <c r="AW43" s="100"/>
      <c r="AX43" s="100"/>
      <c r="AY43" s="100"/>
    </row>
    <row r="44" spans="2:51" ht="15" x14ac:dyDescent="0.25">
      <c r="E44" s="61">
        <f>'VZLA BFS'!E44/'VENEZUELA USD'!$AH$3</f>
        <v>0</v>
      </c>
      <c r="H44" s="57">
        <f>+'VZLA BFS'!H44/'VENEZUELA USD'!$AH$4</f>
        <v>0</v>
      </c>
      <c r="M44" s="61">
        <f>'VZLA BFS'!M44/'VENEZUELA USD'!$AH$3</f>
        <v>0</v>
      </c>
      <c r="P44" s="57">
        <f>+'VZLA BFS'!P44/'VENEZUELA USD'!$AH$4</f>
        <v>0</v>
      </c>
      <c r="AL44" s="98" t="s">
        <v>16</v>
      </c>
      <c r="AM44" s="99">
        <v>4.5599999999999996</v>
      </c>
      <c r="AN44" s="100"/>
      <c r="AO44" s="100"/>
      <c r="AP44" s="100"/>
      <c r="AQ44" s="100"/>
      <c r="AT44" s="98" t="s">
        <v>16</v>
      </c>
      <c r="AU44" s="99">
        <v>9.0500000000000007</v>
      </c>
      <c r="AV44" s="100"/>
      <c r="AW44" s="100"/>
      <c r="AX44" s="100"/>
      <c r="AY44" s="100"/>
    </row>
    <row r="45" spans="2:51" ht="23.25" x14ac:dyDescent="0.25">
      <c r="B45" s="3" t="s">
        <v>59</v>
      </c>
      <c r="C45" s="61">
        <f>'VZLA BFS'!C36/'VENEZUELA USD'!$AH$3</f>
        <v>0</v>
      </c>
      <c r="D45" s="30" t="str">
        <f>IF(DD45&lt;=0," ",C45/$C$20)</f>
        <v xml:space="preserve"> </v>
      </c>
      <c r="E45" s="61">
        <f>'VZLA BFS'!E45/'VENEZUELA USD'!$AH$3</f>
        <v>0</v>
      </c>
      <c r="F45" s="30" t="e">
        <f>+E45/$E$20</f>
        <v>#DIV/0!</v>
      </c>
      <c r="G45" s="30" t="str">
        <f>IF(C45=0,"",(E45-C45)/ABS(C45)+1)</f>
        <v/>
      </c>
      <c r="H45" s="57">
        <f>+'VZLA BFS'!H45/'VENEZUELA USD'!$AH$4</f>
        <v>-37.719298245614041</v>
      </c>
      <c r="I45" s="30">
        <f>IF($H$20&lt;=0," ",H45/$H$20)</f>
        <v>-1.356703337095819E-2</v>
      </c>
      <c r="J45" s="30" t="str">
        <f>IF(E45=0,"",(E45-H45)/ABS(H45))</f>
        <v/>
      </c>
      <c r="K45" s="61">
        <f>'VZLA BFS'!K36/'VENEZUELA USD'!$AH$3</f>
        <v>0</v>
      </c>
      <c r="L45" s="30" t="str">
        <f>IF($K$20&lt;=0," ",K45/$K$20)</f>
        <v xml:space="preserve"> </v>
      </c>
      <c r="M45" s="61">
        <f>'VZLA BFS'!M45/'VENEZUELA USD'!$AH$3</f>
        <v>3758.0206451612876</v>
      </c>
      <c r="N45" s="30">
        <f>+M45/$M$20</f>
        <v>0.20958410831385177</v>
      </c>
      <c r="O45" s="30" t="str">
        <f>IF(K45=0,"",(M45-K45)/ABS(K45)+1)</f>
        <v/>
      </c>
      <c r="P45" s="57">
        <f>+'VZLA BFS'!P45/'VENEZUELA USD'!$AH$4</f>
        <v>2190.3508771929828</v>
      </c>
      <c r="Q45" s="30">
        <f>IF($P$20&lt;=0," ",P45/$P$20)</f>
        <v>0.11383048116427992</v>
      </c>
      <c r="R45" s="30">
        <f>IF(M45=0,"",(M45-P45)/ABS(P45))</f>
        <v>0.7157162737220133</v>
      </c>
      <c r="AL45" s="98" t="s">
        <v>17</v>
      </c>
      <c r="AM45" s="99">
        <v>4.99</v>
      </c>
      <c r="AN45" s="100"/>
      <c r="AO45" s="100"/>
      <c r="AP45" s="101" t="s">
        <v>140</v>
      </c>
      <c r="AQ45" s="100" t="s">
        <v>141</v>
      </c>
      <c r="AT45" s="98" t="s">
        <v>17</v>
      </c>
      <c r="AU45" s="99">
        <v>13.1</v>
      </c>
      <c r="AV45" s="100"/>
      <c r="AW45" s="100"/>
      <c r="AX45" s="101" t="s">
        <v>140</v>
      </c>
      <c r="AY45" s="100" t="s">
        <v>141</v>
      </c>
    </row>
    <row r="46" spans="2:51" ht="15" x14ac:dyDescent="0.25">
      <c r="B46" s="3" t="s">
        <v>34</v>
      </c>
      <c r="C46" s="61">
        <f>'VZLA BFS'!C37/'VENEZUELA USD'!$AH$3</f>
        <v>0</v>
      </c>
      <c r="D46" s="30" t="str">
        <f>IF(DD46&lt;=0," ",C46/$C$20)</f>
        <v xml:space="preserve"> </v>
      </c>
      <c r="E46" s="61">
        <f>'VZLA BFS'!E46/'VENEZUELA USD'!$AH$3</f>
        <v>0</v>
      </c>
      <c r="F46" s="30" t="e">
        <f>+E46/$E$20</f>
        <v>#DIV/0!</v>
      </c>
      <c r="G46" s="30" t="str">
        <f>IF(C46=0,"",(E46-C46)/ABS(C46)+1)</f>
        <v/>
      </c>
      <c r="H46" s="57">
        <f>+'VZLA BFS'!H46/'VENEZUELA USD'!$AH$4</f>
        <v>1296.2719298245615</v>
      </c>
      <c r="I46" s="30">
        <f>IF($H$20&lt;=0," ",H46/$H$20)</f>
        <v>0.46624845497519685</v>
      </c>
      <c r="J46" s="30" t="str">
        <f>IF(E46=0,"",(E46-H46)/ABS(H46))</f>
        <v/>
      </c>
      <c r="K46" s="61">
        <f>'VZLA BFS'!K37/'VENEZUELA USD'!$AH$3</f>
        <v>0</v>
      </c>
      <c r="L46" s="30" t="str">
        <f>IF($K$20&lt;=0," ",K46/$K$20)</f>
        <v xml:space="preserve"> </v>
      </c>
      <c r="M46" s="61">
        <f>'VZLA BFS'!M46/'VENEZUELA USD'!$AH$3</f>
        <v>4173.7354838709671</v>
      </c>
      <c r="N46" s="30">
        <f>+M46/$M$20</f>
        <v>0.23276844709495645</v>
      </c>
      <c r="O46" s="30" t="str">
        <f>IF(K46=0,"",(M46-K46)/ABS(K46)+1)</f>
        <v/>
      </c>
      <c r="P46" s="57">
        <f>+'VZLA BFS'!P46/'VENEZUELA USD'!$AH$4</f>
        <v>5251.0964912280706</v>
      </c>
      <c r="Q46" s="30">
        <f>IF($P$20&lt;=0," ",P46/$P$20)</f>
        <v>0.27289456062061301</v>
      </c>
      <c r="R46" s="30">
        <f>IF(M46=0,"",(M46-P46)/ABS(P46))</f>
        <v>-0.2051687698287071</v>
      </c>
      <c r="AL46" s="98" t="s">
        <v>5</v>
      </c>
      <c r="AM46" s="99">
        <v>4.6900000000000004</v>
      </c>
      <c r="AN46" s="102">
        <f>1/AM46</f>
        <v>0.21321961620469082</v>
      </c>
      <c r="AO46" s="100" t="s">
        <v>142</v>
      </c>
      <c r="AP46" s="100">
        <v>11272</v>
      </c>
      <c r="AQ46" s="103">
        <f>+AP46*AN46</f>
        <v>2403.4115138592751</v>
      </c>
      <c r="AT46" s="98" t="s">
        <v>5</v>
      </c>
      <c r="AU46" s="99">
        <v>18.600000000000001</v>
      </c>
      <c r="AV46" s="102">
        <f>1/AU46</f>
        <v>5.3763440860215048E-2</v>
      </c>
      <c r="AW46" s="100" t="s">
        <v>142</v>
      </c>
      <c r="AX46" s="104">
        <v>11272</v>
      </c>
      <c r="AY46" s="103">
        <f>+AX46*AV46</f>
        <v>606.02150537634407</v>
      </c>
    </row>
    <row r="47" spans="2:51" ht="15" x14ac:dyDescent="0.25">
      <c r="E47" s="47"/>
      <c r="M47" s="47"/>
      <c r="P47" s="57" t="e">
        <f>+'VZLA BFS'!P47/'VENEZUELA USD'!$AH$4</f>
        <v>#VALUE!</v>
      </c>
      <c r="AL47" s="100" t="s">
        <v>143</v>
      </c>
      <c r="AM47" s="105">
        <f>AVERAGE(AM35:AM46)</f>
        <v>2329383.6866666665</v>
      </c>
      <c r="AN47" s="102">
        <f>1/AM47</f>
        <v>4.2929810392507461E-7</v>
      </c>
      <c r="AO47" s="100" t="s">
        <v>144</v>
      </c>
      <c r="AP47" s="106">
        <v>11272</v>
      </c>
      <c r="AQ47" s="107">
        <f>+AP47*AN47</f>
        <v>4.8390482274434411E-3</v>
      </c>
      <c r="AT47" s="100" t="s">
        <v>143</v>
      </c>
      <c r="AU47" s="105">
        <f>AVERAGE(AU35:AU46)</f>
        <v>7.725833333333334</v>
      </c>
      <c r="AV47" s="102">
        <f>1/AU47</f>
        <v>0.12943587531010678</v>
      </c>
      <c r="AW47" s="100" t="s">
        <v>144</v>
      </c>
      <c r="AX47" s="106">
        <v>11272</v>
      </c>
      <c r="AY47" s="107">
        <f>+AX47*AV47</f>
        <v>1459.0011864955236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8A628-4054-4750-9282-752A766F1EF5}">
  <sheetPr>
    <tabColor theme="2" tint="-0.249977111117893"/>
  </sheetPr>
  <dimension ref="A1:AH48"/>
  <sheetViews>
    <sheetView showGridLines="0" topLeftCell="A7" zoomScale="93" zoomScaleNormal="93" workbookViewId="0">
      <selection activeCell="A28" sqref="A28"/>
    </sheetView>
  </sheetViews>
  <sheetFormatPr baseColWidth="10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48" customFormat="1" ht="14.25" customHeight="1" x14ac:dyDescent="0.2"/>
    <row r="3" spans="1:34" ht="14.25" customHeight="1" x14ac:dyDescent="0.25">
      <c r="B3" s="15" t="s">
        <v>145</v>
      </c>
      <c r="T3" s="17" t="s">
        <v>145</v>
      </c>
    </row>
    <row r="4" spans="1:34" ht="14.25" customHeight="1" x14ac:dyDescent="0.2">
      <c r="A4" s="73">
        <f>+Paramet!A3</f>
        <v>202101</v>
      </c>
      <c r="B4" s="2" t="s">
        <v>19</v>
      </c>
      <c r="K4" s="108"/>
      <c r="L4" s="108"/>
      <c r="M4" s="108"/>
      <c r="N4" s="108"/>
      <c r="O4" s="108"/>
      <c r="P4" s="108"/>
      <c r="Q4" s="108"/>
      <c r="R4" s="108"/>
      <c r="S4" s="108"/>
      <c r="T4" s="3" t="s">
        <v>20</v>
      </c>
    </row>
    <row r="5" spans="1:34" ht="14.25" customHeight="1" x14ac:dyDescent="0.2">
      <c r="A5" s="73">
        <f>+Paramet!A4</f>
        <v>202112</v>
      </c>
      <c r="B5" s="3" t="s">
        <v>146</v>
      </c>
      <c r="K5" s="12"/>
      <c r="L5" s="12"/>
      <c r="M5" s="22"/>
      <c r="N5" s="22"/>
      <c r="O5" s="9"/>
      <c r="P5" s="12"/>
      <c r="Q5" s="12"/>
      <c r="R5" s="9"/>
      <c r="S5" s="9"/>
      <c r="T5" s="3" t="s">
        <v>146</v>
      </c>
    </row>
    <row r="6" spans="1:34" ht="14.25" customHeight="1" thickBot="1" x14ac:dyDescent="0.25">
      <c r="A6" s="73">
        <f>+Paramet!B3</f>
        <v>202201</v>
      </c>
      <c r="B6" s="19" t="str">
        <f>+'COLOMB$ '!B6</f>
        <v>DICIEMBRE De 2022</v>
      </c>
      <c r="K6" s="20" t="s">
        <v>22</v>
      </c>
      <c r="L6" s="20"/>
      <c r="M6" s="20"/>
      <c r="N6" s="20"/>
      <c r="O6" s="20"/>
      <c r="P6" s="20"/>
      <c r="Q6" s="20"/>
      <c r="R6" s="20"/>
      <c r="S6" s="14"/>
      <c r="T6" s="19" t="str">
        <f>+B6</f>
        <v>DICIEMBRE De 2022</v>
      </c>
      <c r="X6" s="20" t="s">
        <v>22</v>
      </c>
      <c r="Y6" s="20"/>
      <c r="Z6" s="20"/>
      <c r="AA6" s="20"/>
      <c r="AB6" s="20"/>
      <c r="AC6" s="20"/>
    </row>
    <row r="7" spans="1:34" ht="14.25" customHeight="1" x14ac:dyDescent="0.2">
      <c r="A7" s="73">
        <f>+Paramet!B4</f>
        <v>202212</v>
      </c>
      <c r="B7" s="55"/>
      <c r="C7" s="55" t="str">
        <f>+'COLOMB$ '!D7:D7</f>
        <v>Ppto 2022</v>
      </c>
      <c r="D7" s="55"/>
      <c r="E7" s="55" t="str">
        <f>+'COLOMB$ '!F7:F7</f>
        <v>Real 2022</v>
      </c>
      <c r="F7" s="55"/>
      <c r="G7" s="55" t="s">
        <v>23</v>
      </c>
      <c r="H7" s="55" t="str">
        <f>+'COLOMB$ '!I7:I7</f>
        <v>Real 2021</v>
      </c>
      <c r="I7" s="55"/>
      <c r="J7" s="55" t="s">
        <v>24</v>
      </c>
      <c r="K7" s="55" t="str">
        <f>+C7</f>
        <v>Ppto 2022</v>
      </c>
      <c r="L7" s="55"/>
      <c r="M7" s="55" t="str">
        <f>+E7</f>
        <v>Real 2022</v>
      </c>
      <c r="N7" s="55"/>
      <c r="O7" s="55" t="s">
        <v>23</v>
      </c>
      <c r="P7" s="55" t="str">
        <f>+H7</f>
        <v>Real 2021</v>
      </c>
      <c r="Q7" s="55"/>
      <c r="R7" s="55" t="s">
        <v>24</v>
      </c>
      <c r="T7" s="48"/>
      <c r="U7" s="48" t="str">
        <f>+C7</f>
        <v>Ppto 2022</v>
      </c>
      <c r="V7" s="48" t="str">
        <f>+M7</f>
        <v>Real 2022</v>
      </c>
      <c r="W7" s="48" t="str">
        <f>+H7</f>
        <v>Real 2021</v>
      </c>
      <c r="X7" s="109" t="str">
        <f>+K7</f>
        <v>Ppto 2022</v>
      </c>
      <c r="Y7" s="48" t="str">
        <f>+V7</f>
        <v>Real 2022</v>
      </c>
      <c r="Z7" s="48" t="s">
        <v>25</v>
      </c>
      <c r="AA7" s="48" t="s">
        <v>23</v>
      </c>
      <c r="AB7" s="48" t="str">
        <f>+W7</f>
        <v>Real 2021</v>
      </c>
      <c r="AC7" s="48" t="s">
        <v>24</v>
      </c>
    </row>
    <row r="8" spans="1:34" ht="14.25" customHeight="1" thickBot="1" x14ac:dyDescent="0.25">
      <c r="B8" s="24" t="s">
        <v>26</v>
      </c>
      <c r="C8" s="110" t="s">
        <v>27</v>
      </c>
      <c r="D8" s="110" t="s">
        <v>28</v>
      </c>
      <c r="E8" s="110" t="s">
        <v>27</v>
      </c>
      <c r="F8" s="110" t="s">
        <v>28</v>
      </c>
      <c r="G8" s="110" t="s">
        <v>29</v>
      </c>
      <c r="H8" s="110" t="s">
        <v>27</v>
      </c>
      <c r="I8" s="110" t="s">
        <v>28</v>
      </c>
      <c r="J8" s="110" t="s">
        <v>29</v>
      </c>
      <c r="K8" s="110" t="s">
        <v>27</v>
      </c>
      <c r="L8" s="110" t="s">
        <v>28</v>
      </c>
      <c r="M8" s="110" t="s">
        <v>27</v>
      </c>
      <c r="N8" s="110" t="s">
        <v>28</v>
      </c>
      <c r="O8" s="110" t="s">
        <v>29</v>
      </c>
      <c r="P8" s="110" t="s">
        <v>27</v>
      </c>
      <c r="Q8" s="110" t="s">
        <v>28</v>
      </c>
      <c r="R8" s="110" t="s">
        <v>29</v>
      </c>
      <c r="T8" s="26"/>
      <c r="U8" s="27"/>
      <c r="V8" s="27"/>
      <c r="W8" s="27"/>
      <c r="X8" s="27"/>
      <c r="Y8" s="27"/>
      <c r="Z8" s="27"/>
      <c r="AA8" s="27" t="s">
        <v>29</v>
      </c>
      <c r="AB8" s="27"/>
      <c r="AC8" s="27" t="s">
        <v>29</v>
      </c>
    </row>
    <row r="9" spans="1:34" ht="14.25" customHeight="1" x14ac:dyDescent="0.2">
      <c r="T9" s="3"/>
    </row>
    <row r="10" spans="1:34" ht="14.25" customHeight="1" x14ac:dyDescent="0.2">
      <c r="B10" s="3" t="s">
        <v>68</v>
      </c>
      <c r="C10" s="61">
        <f>+E10</f>
        <v>0</v>
      </c>
      <c r="D10" s="30" t="str">
        <f>IF($C$20&lt;=0," ",C10/$C$20)</f>
        <v xml:space="preserve"> </v>
      </c>
      <c r="E10" s="61">
        <v>0</v>
      </c>
      <c r="F10" s="30" t="str">
        <f>IF($E$20&lt;=0," ",E10/$E$20)</f>
        <v xml:space="preserve"> </v>
      </c>
      <c r="G10" s="30" t="str">
        <f>IF(C10=0,"",(E10-C10)/ABS(C10)+1)</f>
        <v/>
      </c>
      <c r="H10" s="61">
        <v>2100</v>
      </c>
      <c r="I10" s="30" t="str">
        <f>IF(E10=0,"",(G10-E10)/ABS(E10)+1)</f>
        <v/>
      </c>
      <c r="J10" s="30" t="str">
        <f>IF($H$20&lt;=0," ",I10/$H$20)</f>
        <v xml:space="preserve"> </v>
      </c>
      <c r="K10" s="61">
        <f t="shared" ref="K10:K15" si="0">+M10</f>
        <v>0</v>
      </c>
      <c r="L10" s="30" t="str">
        <f>IF($K$20&lt;=0," ",K10/$K$20)</f>
        <v xml:space="preserve"> </v>
      </c>
      <c r="M10" s="61">
        <v>0</v>
      </c>
      <c r="N10" s="30" t="str">
        <f>IF($M$20&lt;=0," ",M10/$M$20)</f>
        <v xml:space="preserve"> </v>
      </c>
      <c r="O10" s="30" t="str">
        <f t="shared" ref="O10:O15" si="1">IF(K10=0,"",(M10-K10)/ABS(K10)+1)</f>
        <v/>
      </c>
      <c r="P10" s="61">
        <v>25200</v>
      </c>
      <c r="Q10" s="30">
        <f t="shared" ref="Q10:Q15" si="2">+P10/$P$20</f>
        <v>1</v>
      </c>
      <c r="R10" s="30">
        <f>IF(P10=0,"",(M10-P10)/ABS(P10))</f>
        <v>-1</v>
      </c>
      <c r="T10" s="3" t="s">
        <v>30</v>
      </c>
      <c r="U10" s="61">
        <f>+V10</f>
        <v>4900.67</v>
      </c>
      <c r="V10" s="61">
        <v>4900.67</v>
      </c>
      <c r="W10" s="61">
        <v>8811.7900000000009</v>
      </c>
      <c r="X10" s="61">
        <f>+Y10</f>
        <v>6929</v>
      </c>
      <c r="Y10" s="61">
        <v>6929</v>
      </c>
      <c r="Z10" s="57">
        <f>+Y10-X10</f>
        <v>0</v>
      </c>
      <c r="AA10" s="63">
        <f>IF(X10=0,"",(Y10-X10)/ABS(X10)+1)</f>
        <v>1</v>
      </c>
      <c r="AB10" s="61">
        <v>9874.7900000000009</v>
      </c>
      <c r="AC10" s="63">
        <f>IF(W10=0,"",(Y10-AB10)/ABS(AB10))</f>
        <v>-0.29831419199800713</v>
      </c>
      <c r="AE10" s="61"/>
      <c r="AF10" s="61"/>
    </row>
    <row r="11" spans="1:34" ht="14.25" customHeight="1" x14ac:dyDescent="0.2">
      <c r="B11" s="3" t="s">
        <v>70</v>
      </c>
      <c r="C11" s="61">
        <v>0</v>
      </c>
      <c r="D11" s="30" t="str">
        <f t="shared" ref="D11:D20" si="3">IF($C$20&lt;=0," ",C11/$C$20)</f>
        <v xml:space="preserve"> </v>
      </c>
      <c r="E11" s="61">
        <v>0</v>
      </c>
      <c r="F11" s="30" t="str">
        <f t="shared" ref="F11:F20" si="4">IF($E$20&lt;=0," ",E11/$E$20)</f>
        <v xml:space="preserve"> </v>
      </c>
      <c r="G11" s="30" t="str">
        <f t="shared" ref="G11:G46" si="5">IF(C11=0,"",(E11-C11)/ABS(C11)+1)</f>
        <v/>
      </c>
      <c r="H11" s="61">
        <v>0</v>
      </c>
      <c r="I11" s="30" t="str">
        <f t="shared" ref="I11:I46" si="6">IF(E11=0,"",(G11-E11)/ABS(E11)+1)</f>
        <v/>
      </c>
      <c r="J11" s="30" t="str">
        <f>IF(H11=0,"",(E11-H11)/ABS(H11))</f>
        <v/>
      </c>
      <c r="K11" s="61">
        <f t="shared" si="0"/>
        <v>0</v>
      </c>
      <c r="L11" s="30" t="str">
        <f t="shared" ref="L11:L20" si="7">IF($K$20&lt;=0," ",K11/$K$20)</f>
        <v xml:space="preserve"> </v>
      </c>
      <c r="M11" s="61">
        <v>0</v>
      </c>
      <c r="N11" s="30" t="str">
        <f t="shared" ref="N11:N24" si="8">IF($M$20&lt;=0," ",M11/$M$20)</f>
        <v xml:space="preserve"> </v>
      </c>
      <c r="O11" s="30" t="str">
        <f t="shared" si="1"/>
        <v/>
      </c>
      <c r="P11" s="61">
        <v>0</v>
      </c>
      <c r="Q11" s="30">
        <f t="shared" si="2"/>
        <v>0</v>
      </c>
      <c r="R11" s="30" t="str">
        <f t="shared" ref="R11:R46" si="9">IF(P11=0,"",(M11-P11)/ABS(P11))</f>
        <v/>
      </c>
      <c r="T11" s="3" t="s">
        <v>31</v>
      </c>
      <c r="U11" s="61">
        <f>+V11</f>
        <v>0</v>
      </c>
      <c r="V11" s="61">
        <v>0</v>
      </c>
      <c r="W11" s="61">
        <v>0</v>
      </c>
      <c r="X11" s="61">
        <f>+Y11</f>
        <v>0</v>
      </c>
      <c r="Y11" s="61">
        <v>0</v>
      </c>
      <c r="Z11" s="57">
        <f>+Y11-X11</f>
        <v>0</v>
      </c>
      <c r="AA11" s="63" t="str">
        <f>IF(X11=0,"",(Y11-X11)/ABS(X11)+1)</f>
        <v/>
      </c>
      <c r="AB11" s="61">
        <v>47375</v>
      </c>
      <c r="AC11" s="63">
        <f>IF(AB11=0,"",(Y11-AB11)/ABS(AB11))</f>
        <v>-1</v>
      </c>
      <c r="AD11" s="62"/>
      <c r="AE11" s="62"/>
      <c r="AF11" s="62"/>
      <c r="AH11" s="49"/>
    </row>
    <row r="12" spans="1:34" ht="14.25" customHeight="1" x14ac:dyDescent="0.2">
      <c r="B12" s="3" t="s">
        <v>72</v>
      </c>
      <c r="C12" s="61">
        <v>0</v>
      </c>
      <c r="D12" s="30" t="str">
        <f t="shared" si="3"/>
        <v xml:space="preserve"> </v>
      </c>
      <c r="E12" s="61">
        <v>0</v>
      </c>
      <c r="F12" s="30" t="str">
        <f t="shared" si="4"/>
        <v xml:space="preserve"> </v>
      </c>
      <c r="G12" s="30" t="str">
        <f t="shared" si="5"/>
        <v/>
      </c>
      <c r="H12" s="61">
        <v>0</v>
      </c>
      <c r="I12" s="30" t="str">
        <f t="shared" si="6"/>
        <v/>
      </c>
      <c r="J12" s="30" t="str">
        <f>IF(H12=0,"",(E12-H12)/ABS(H12))</f>
        <v/>
      </c>
      <c r="K12" s="61">
        <f t="shared" si="0"/>
        <v>0</v>
      </c>
      <c r="L12" s="30" t="str">
        <f t="shared" si="7"/>
        <v xml:space="preserve"> </v>
      </c>
      <c r="M12" s="61">
        <v>0</v>
      </c>
      <c r="N12" s="30" t="str">
        <f t="shared" si="8"/>
        <v xml:space="preserve"> </v>
      </c>
      <c r="O12" s="30" t="str">
        <f t="shared" si="1"/>
        <v/>
      </c>
      <c r="P12" s="61">
        <v>0</v>
      </c>
      <c r="Q12" s="30">
        <f t="shared" si="2"/>
        <v>0</v>
      </c>
      <c r="R12" s="30" t="str">
        <f t="shared" si="9"/>
        <v/>
      </c>
      <c r="AE12" s="62"/>
      <c r="AF12" s="62"/>
    </row>
    <row r="13" spans="1:34" ht="14.25" customHeight="1" x14ac:dyDescent="0.2">
      <c r="B13" s="3" t="s">
        <v>74</v>
      </c>
      <c r="C13" s="61">
        <v>0</v>
      </c>
      <c r="D13" s="30" t="str">
        <f t="shared" si="3"/>
        <v xml:space="preserve"> </v>
      </c>
      <c r="E13" s="61">
        <v>0</v>
      </c>
      <c r="F13" s="30" t="str">
        <f t="shared" si="4"/>
        <v xml:space="preserve"> </v>
      </c>
      <c r="G13" s="30" t="str">
        <f t="shared" si="5"/>
        <v/>
      </c>
      <c r="H13" s="61">
        <v>0</v>
      </c>
      <c r="I13" s="30" t="str">
        <f t="shared" si="6"/>
        <v/>
      </c>
      <c r="J13" s="30" t="str">
        <f>IF(H13=0,"",(E13-H13)/ABS(H13))</f>
        <v/>
      </c>
      <c r="K13" s="61">
        <f t="shared" si="0"/>
        <v>0</v>
      </c>
      <c r="L13" s="30" t="str">
        <f t="shared" si="7"/>
        <v xml:space="preserve"> </v>
      </c>
      <c r="M13" s="61">
        <v>0</v>
      </c>
      <c r="N13" s="30" t="str">
        <f t="shared" si="8"/>
        <v xml:space="preserve"> </v>
      </c>
      <c r="O13" s="30" t="str">
        <f t="shared" si="1"/>
        <v/>
      </c>
      <c r="P13" s="61"/>
      <c r="Q13" s="30">
        <f t="shared" si="2"/>
        <v>0</v>
      </c>
      <c r="R13" s="30" t="str">
        <f t="shared" si="9"/>
        <v/>
      </c>
      <c r="T13" s="3" t="s">
        <v>32</v>
      </c>
      <c r="U13" s="61">
        <v>0</v>
      </c>
      <c r="V13" s="61">
        <v>0</v>
      </c>
      <c r="W13" s="61">
        <v>0</v>
      </c>
      <c r="X13" s="61"/>
      <c r="Y13" s="61"/>
      <c r="Z13" s="57">
        <f>+X13-Y13</f>
        <v>0</v>
      </c>
      <c r="AA13" s="63" t="str">
        <f>IF(X13=0,"",(Y13-X13)/ABS(X13)+1)</f>
        <v/>
      </c>
      <c r="AB13" s="61"/>
      <c r="AC13" s="63" t="str">
        <f>IF(AB13=0,"",(Y13-AB13)/ABS(AB13))</f>
        <v/>
      </c>
      <c r="AE13" s="62"/>
      <c r="AF13" s="62"/>
    </row>
    <row r="14" spans="1:34" ht="14.25" customHeight="1" x14ac:dyDescent="0.2">
      <c r="B14" s="3" t="s">
        <v>75</v>
      </c>
      <c r="C14" s="61">
        <v>0</v>
      </c>
      <c r="D14" s="30" t="str">
        <f t="shared" si="3"/>
        <v xml:space="preserve"> </v>
      </c>
      <c r="E14" s="61">
        <v>0</v>
      </c>
      <c r="F14" s="30" t="str">
        <f t="shared" si="4"/>
        <v xml:space="preserve"> </v>
      </c>
      <c r="G14" s="30" t="str">
        <f t="shared" si="5"/>
        <v/>
      </c>
      <c r="H14" s="61">
        <v>0</v>
      </c>
      <c r="I14" s="30" t="str">
        <f t="shared" si="6"/>
        <v/>
      </c>
      <c r="J14" s="30" t="str">
        <f>IF(H14=0,"",(E14-H14)/ABS(H14))</f>
        <v/>
      </c>
      <c r="K14" s="61">
        <f t="shared" si="0"/>
        <v>0</v>
      </c>
      <c r="L14" s="30" t="str">
        <f t="shared" si="7"/>
        <v xml:space="preserve"> </v>
      </c>
      <c r="M14" s="61">
        <v>0</v>
      </c>
      <c r="N14" s="30" t="str">
        <f t="shared" si="8"/>
        <v xml:space="preserve"> </v>
      </c>
      <c r="O14" s="30" t="str">
        <f t="shared" si="1"/>
        <v/>
      </c>
      <c r="P14" s="61">
        <v>0</v>
      </c>
      <c r="Q14" s="30">
        <f t="shared" si="2"/>
        <v>0</v>
      </c>
      <c r="R14" s="30" t="str">
        <f t="shared" si="9"/>
        <v/>
      </c>
      <c r="T14" s="3" t="s">
        <v>33</v>
      </c>
      <c r="U14" s="61">
        <v>0</v>
      </c>
      <c r="V14" s="61">
        <v>0</v>
      </c>
      <c r="W14" s="61">
        <v>0</v>
      </c>
      <c r="X14" s="61"/>
      <c r="Y14" s="61"/>
      <c r="Z14" s="57">
        <f>+X14-Y14</f>
        <v>0</v>
      </c>
      <c r="AA14" s="63" t="str">
        <f>IF(X14=0,"",(Y14-X14)/ABS(X14)+1)</f>
        <v/>
      </c>
      <c r="AB14" s="61"/>
      <c r="AC14" s="63" t="str">
        <f>IF(AB14=0,"",(Y14-AB14)/ABS(AB14))</f>
        <v/>
      </c>
      <c r="AE14" s="62"/>
      <c r="AF14" s="62"/>
    </row>
    <row r="15" spans="1:34" ht="14.25" customHeight="1" x14ac:dyDescent="0.2">
      <c r="B15" s="3" t="s">
        <v>77</v>
      </c>
      <c r="C15" s="61">
        <v>0</v>
      </c>
      <c r="D15" s="30" t="str">
        <f t="shared" si="3"/>
        <v xml:space="preserve"> </v>
      </c>
      <c r="E15" s="61">
        <v>0</v>
      </c>
      <c r="F15" s="30" t="str">
        <f t="shared" si="4"/>
        <v xml:space="preserve"> </v>
      </c>
      <c r="G15" s="30" t="str">
        <f t="shared" si="5"/>
        <v/>
      </c>
      <c r="H15" s="61">
        <v>0</v>
      </c>
      <c r="I15" s="30" t="str">
        <f t="shared" si="6"/>
        <v/>
      </c>
      <c r="J15" s="30" t="str">
        <f>IF(H15=0,"",(E15-H15)/ABS(H15))</f>
        <v/>
      </c>
      <c r="K15" s="61">
        <f t="shared" si="0"/>
        <v>0</v>
      </c>
      <c r="L15" s="30" t="str">
        <f t="shared" si="7"/>
        <v xml:space="preserve"> </v>
      </c>
      <c r="M15" s="61">
        <v>0</v>
      </c>
      <c r="N15" s="30" t="str">
        <f t="shared" si="8"/>
        <v xml:space="preserve"> </v>
      </c>
      <c r="O15" s="30" t="str">
        <f t="shared" si="1"/>
        <v/>
      </c>
      <c r="P15" s="61">
        <v>0</v>
      </c>
      <c r="Q15" s="30">
        <f t="shared" si="2"/>
        <v>0</v>
      </c>
      <c r="R15" s="30" t="str">
        <f t="shared" si="9"/>
        <v/>
      </c>
      <c r="T15" s="3" t="s">
        <v>34</v>
      </c>
      <c r="U15" s="61"/>
      <c r="V15" s="61">
        <v>0</v>
      </c>
      <c r="W15" s="61">
        <v>0</v>
      </c>
      <c r="X15" s="61"/>
      <c r="Y15" s="61"/>
      <c r="Z15" s="57">
        <f>+X15-Y15</f>
        <v>0</v>
      </c>
      <c r="AA15" s="63" t="str">
        <f>IF(X15=0,"",(Y15-X15)/ABS(X15)+1)</f>
        <v/>
      </c>
      <c r="AB15" s="61"/>
      <c r="AC15" s="63" t="str">
        <f>IF(AB15=0,"",(Y15-AB15)/ABS(AB15))</f>
        <v/>
      </c>
      <c r="AE15" s="62"/>
      <c r="AF15" s="62"/>
    </row>
    <row r="16" spans="1:34" ht="14.25" customHeight="1" x14ac:dyDescent="0.2">
      <c r="B16" s="3" t="s">
        <v>78</v>
      </c>
      <c r="C16" s="61"/>
      <c r="D16" s="30" t="str">
        <f t="shared" si="3"/>
        <v xml:space="preserve"> </v>
      </c>
      <c r="E16" s="61"/>
      <c r="F16" s="30" t="str">
        <f t="shared" si="4"/>
        <v xml:space="preserve"> </v>
      </c>
      <c r="G16" s="30" t="str">
        <f t="shared" si="5"/>
        <v/>
      </c>
      <c r="H16" s="61"/>
      <c r="I16" s="30" t="str">
        <f t="shared" si="6"/>
        <v/>
      </c>
      <c r="J16" s="30"/>
      <c r="K16" s="61"/>
      <c r="L16" s="30" t="str">
        <f t="shared" si="7"/>
        <v xml:space="preserve"> </v>
      </c>
      <c r="M16" s="61"/>
      <c r="N16" s="30" t="str">
        <f t="shared" si="8"/>
        <v xml:space="preserve"> </v>
      </c>
      <c r="O16" s="30"/>
      <c r="P16" s="61"/>
      <c r="Q16" s="30"/>
      <c r="R16" s="30" t="str">
        <f t="shared" si="9"/>
        <v/>
      </c>
      <c r="T16" s="3" t="s">
        <v>35</v>
      </c>
      <c r="U16" s="61">
        <f>+V16</f>
        <v>0</v>
      </c>
      <c r="V16" s="61">
        <v>0</v>
      </c>
      <c r="W16" s="61">
        <v>1934</v>
      </c>
      <c r="X16" s="61">
        <f>+Y16</f>
        <v>4682</v>
      </c>
      <c r="Y16" s="61">
        <v>4682</v>
      </c>
      <c r="Z16" s="57">
        <f>+X16-Y16</f>
        <v>0</v>
      </c>
      <c r="AA16" s="63">
        <f>IF(X16=0,"",(Y16-X16)/ABS(X16)+1)</f>
        <v>1</v>
      </c>
      <c r="AB16" s="61">
        <v>4372</v>
      </c>
      <c r="AC16" s="63">
        <f>IF(AB16=0,"",(Y16-AB16)/ABS(AB16))</f>
        <v>7.0905763952424525E-2</v>
      </c>
      <c r="AE16" s="62"/>
      <c r="AF16" s="62"/>
    </row>
    <row r="17" spans="1:32" ht="14.25" customHeight="1" x14ac:dyDescent="0.2">
      <c r="B17" s="3" t="s">
        <v>79</v>
      </c>
      <c r="C17" s="61"/>
      <c r="D17" s="30" t="str">
        <f t="shared" si="3"/>
        <v xml:space="preserve"> </v>
      </c>
      <c r="E17" s="61"/>
      <c r="F17" s="30" t="str">
        <f t="shared" si="4"/>
        <v xml:space="preserve"> </v>
      </c>
      <c r="G17" s="30" t="str">
        <f t="shared" si="5"/>
        <v/>
      </c>
      <c r="H17" s="61"/>
      <c r="I17" s="30" t="str">
        <f t="shared" si="6"/>
        <v/>
      </c>
      <c r="J17" s="30"/>
      <c r="K17" s="61"/>
      <c r="L17" s="30" t="str">
        <f t="shared" si="7"/>
        <v xml:space="preserve"> </v>
      </c>
      <c r="M17" s="61"/>
      <c r="N17" s="30" t="str">
        <f t="shared" si="8"/>
        <v xml:space="preserve"> </v>
      </c>
      <c r="O17" s="30"/>
      <c r="P17" s="61"/>
      <c r="Q17" s="30"/>
      <c r="R17" s="30" t="str">
        <f t="shared" si="9"/>
        <v/>
      </c>
      <c r="T17" s="3" t="s">
        <v>36</v>
      </c>
      <c r="U17" s="61">
        <f>SUM(U16)</f>
        <v>0</v>
      </c>
      <c r="V17" s="61">
        <f>+V16</f>
        <v>0</v>
      </c>
      <c r="W17" s="61">
        <v>1934</v>
      </c>
      <c r="X17" s="61">
        <f>SUM(X16)</f>
        <v>4682</v>
      </c>
      <c r="Y17" s="61">
        <f>+Y16</f>
        <v>4682</v>
      </c>
      <c r="Z17" s="57">
        <f>+Y17-X17</f>
        <v>0</v>
      </c>
      <c r="AA17" s="63">
        <f>IF(X17=0,"",(Y17-X17)/ABS(X17)+1)</f>
        <v>1</v>
      </c>
      <c r="AB17" s="61">
        <v>4372</v>
      </c>
      <c r="AC17" s="63">
        <f>IF(AB17=0,"",(Y17-AB17)/ABS(AB17))</f>
        <v>7.0905763952424525E-2</v>
      </c>
    </row>
    <row r="18" spans="1:32" ht="14.25" customHeight="1" x14ac:dyDescent="0.2">
      <c r="B18" s="3" t="s">
        <v>81</v>
      </c>
      <c r="C18" s="61"/>
      <c r="D18" s="30" t="str">
        <f t="shared" si="3"/>
        <v xml:space="preserve"> </v>
      </c>
      <c r="E18" s="61"/>
      <c r="F18" s="30" t="str">
        <f t="shared" si="4"/>
        <v xml:space="preserve"> </v>
      </c>
      <c r="G18" s="30" t="str">
        <f t="shared" si="5"/>
        <v/>
      </c>
      <c r="H18" s="61"/>
      <c r="I18" s="30" t="str">
        <f t="shared" si="6"/>
        <v/>
      </c>
      <c r="J18" s="30"/>
      <c r="K18" s="61"/>
      <c r="L18" s="30" t="str">
        <f t="shared" si="7"/>
        <v xml:space="preserve"> </v>
      </c>
      <c r="M18" s="61"/>
      <c r="N18" s="30" t="str">
        <f t="shared" si="8"/>
        <v xml:space="preserve"> </v>
      </c>
      <c r="O18" s="30"/>
      <c r="P18" s="61"/>
      <c r="Q18" s="30"/>
      <c r="R18" s="30" t="str">
        <f t="shared" si="9"/>
        <v/>
      </c>
      <c r="AD18" s="62"/>
      <c r="AE18" s="62"/>
      <c r="AF18" s="62"/>
    </row>
    <row r="19" spans="1:32" ht="14.25" customHeight="1" x14ac:dyDescent="0.2">
      <c r="B19" s="3" t="s">
        <v>83</v>
      </c>
      <c r="C19" s="61">
        <f>+E19</f>
        <v>0</v>
      </c>
      <c r="D19" s="30" t="str">
        <f t="shared" si="3"/>
        <v xml:space="preserve"> </v>
      </c>
      <c r="E19" s="61">
        <v>0</v>
      </c>
      <c r="F19" s="30" t="str">
        <f t="shared" si="4"/>
        <v xml:space="preserve"> </v>
      </c>
      <c r="G19" s="30" t="str">
        <f t="shared" si="5"/>
        <v/>
      </c>
      <c r="H19" s="61">
        <v>2100</v>
      </c>
      <c r="I19" s="30" t="str">
        <f t="shared" si="6"/>
        <v/>
      </c>
      <c r="J19" s="30"/>
      <c r="K19" s="61">
        <f>+M19</f>
        <v>0</v>
      </c>
      <c r="L19" s="30" t="str">
        <f t="shared" si="7"/>
        <v xml:space="preserve"> </v>
      </c>
      <c r="M19" s="61">
        <v>0</v>
      </c>
      <c r="N19" s="30" t="str">
        <f t="shared" si="8"/>
        <v xml:space="preserve"> </v>
      </c>
      <c r="O19" s="30"/>
      <c r="P19" s="61">
        <v>25200</v>
      </c>
      <c r="Q19" s="61">
        <f>+P19/$P$20</f>
        <v>1</v>
      </c>
      <c r="R19" s="30">
        <f t="shared" si="9"/>
        <v>-1</v>
      </c>
      <c r="T19" s="3" t="s">
        <v>37</v>
      </c>
      <c r="U19" s="61">
        <f>+U11-U16</f>
        <v>0</v>
      </c>
      <c r="V19" s="61">
        <f>+V11-V16</f>
        <v>0</v>
      </c>
      <c r="W19" s="61">
        <v>-1934</v>
      </c>
      <c r="X19" s="61">
        <f>+X11-X16</f>
        <v>-4682</v>
      </c>
      <c r="Y19" s="61">
        <f>+Y11-Y16</f>
        <v>-4682</v>
      </c>
      <c r="Z19" s="57">
        <f>+Y19-X19</f>
        <v>0</v>
      </c>
      <c r="AA19" s="63">
        <f>IF(X19=0,"",(Y19-X19)/ABS(X19)+1)</f>
        <v>1</v>
      </c>
      <c r="AB19" s="61">
        <v>43003</v>
      </c>
      <c r="AC19" s="63">
        <f>IF(AB19=0,"",(Y19-AB19)/ABS(AB19))</f>
        <v>-1.1088761249215171</v>
      </c>
      <c r="AD19" s="62"/>
      <c r="AE19" s="62"/>
      <c r="AF19" s="62"/>
    </row>
    <row r="20" spans="1:32" ht="14.25" customHeight="1" x14ac:dyDescent="0.2">
      <c r="B20" s="19" t="s">
        <v>38</v>
      </c>
      <c r="C20" s="65">
        <f>SUM(C10:C16)</f>
        <v>0</v>
      </c>
      <c r="D20" s="38" t="str">
        <f t="shared" si="3"/>
        <v xml:space="preserve"> </v>
      </c>
      <c r="E20" s="65">
        <f>SUM(E10:E16)</f>
        <v>0</v>
      </c>
      <c r="F20" s="38" t="str">
        <f t="shared" si="4"/>
        <v xml:space="preserve"> </v>
      </c>
      <c r="G20" s="30" t="str">
        <f t="shared" si="5"/>
        <v/>
      </c>
      <c r="H20" s="65">
        <v>0</v>
      </c>
      <c r="I20" s="30" t="str">
        <f t="shared" si="6"/>
        <v/>
      </c>
      <c r="J20" s="38" t="str">
        <f>IF(H20=0,"",(E20-H20)/ABS(H20))</f>
        <v/>
      </c>
      <c r="K20" s="65">
        <f>SUM(K10:K16)</f>
        <v>0</v>
      </c>
      <c r="L20" s="38" t="str">
        <f t="shared" si="7"/>
        <v xml:space="preserve"> </v>
      </c>
      <c r="M20" s="65">
        <f>SUM(M10:M16)</f>
        <v>0</v>
      </c>
      <c r="N20" s="30" t="str">
        <f t="shared" si="8"/>
        <v xml:space="preserve"> </v>
      </c>
      <c r="O20" s="38" t="str">
        <f>IF(K20=0,"",(M20-K20)/ABS(K20)+1)</f>
        <v/>
      </c>
      <c r="P20" s="65">
        <f>+P10</f>
        <v>25200</v>
      </c>
      <c r="Q20" s="38">
        <f>+P20/$P$20</f>
        <v>1</v>
      </c>
      <c r="R20" s="38">
        <f t="shared" si="9"/>
        <v>-1</v>
      </c>
      <c r="T20" s="3"/>
      <c r="U20" s="61"/>
      <c r="V20" s="61"/>
      <c r="W20" s="61"/>
      <c r="X20" s="61"/>
      <c r="Y20" s="61"/>
      <c r="Z20" s="57"/>
      <c r="AA20" s="63"/>
      <c r="AB20" s="61"/>
      <c r="AC20" s="63"/>
      <c r="AD20" s="62"/>
      <c r="AE20" s="62"/>
      <c r="AF20" s="62"/>
    </row>
    <row r="21" spans="1:32" ht="14.25" customHeight="1" x14ac:dyDescent="0.2">
      <c r="G21" s="30" t="str">
        <f t="shared" si="5"/>
        <v/>
      </c>
      <c r="I21" s="30" t="str">
        <f t="shared" si="6"/>
        <v/>
      </c>
      <c r="N21" s="30" t="str">
        <f t="shared" si="8"/>
        <v xml:space="preserve"> </v>
      </c>
      <c r="R21" s="30" t="str">
        <f t="shared" si="9"/>
        <v/>
      </c>
      <c r="T21" s="3" t="s">
        <v>39</v>
      </c>
      <c r="U21" s="61">
        <f>+U10+U19</f>
        <v>4900.67</v>
      </c>
      <c r="V21" s="61">
        <f>+V10+V19</f>
        <v>4900.67</v>
      </c>
      <c r="W21" s="61">
        <v>6877.7900000000009</v>
      </c>
      <c r="X21" s="61">
        <f>+X10+X19</f>
        <v>2247</v>
      </c>
      <c r="Y21" s="61">
        <f>+Y10+Y19</f>
        <v>2247</v>
      </c>
      <c r="Z21" s="57">
        <f>+Y21-X21</f>
        <v>0</v>
      </c>
      <c r="AA21" s="63">
        <f>IF(X21=0,"",(Y21-X21)/ABS(X21)+1)</f>
        <v>1</v>
      </c>
      <c r="AB21" s="61">
        <v>52877.79</v>
      </c>
      <c r="AC21" s="63">
        <f>IF(AB21=0,"",(Y21-AB21)/ABS(AB21))</f>
        <v>-0.95750578834705458</v>
      </c>
      <c r="AD21" s="62"/>
      <c r="AE21" s="62"/>
      <c r="AF21" s="62"/>
    </row>
    <row r="22" spans="1:32" ht="14.25" customHeight="1" x14ac:dyDescent="0.2">
      <c r="B22" s="3" t="s">
        <v>40</v>
      </c>
      <c r="C22" s="61">
        <v>0</v>
      </c>
      <c r="D22" s="30" t="str">
        <f>IF($C$20&lt;=0," ",C22/$C$20)</f>
        <v xml:space="preserve"> </v>
      </c>
      <c r="E22" s="61">
        <v>0</v>
      </c>
      <c r="F22" s="30" t="str">
        <f>IF($E$20&lt;=0," ",E22/$E$20)</f>
        <v xml:space="preserve"> </v>
      </c>
      <c r="G22" s="30" t="str">
        <f t="shared" si="5"/>
        <v/>
      </c>
      <c r="H22" s="61">
        <v>0</v>
      </c>
      <c r="I22" s="30" t="str">
        <f t="shared" si="6"/>
        <v/>
      </c>
      <c r="J22" s="30" t="str">
        <f>IF(H22=0,"",(E22-H22)/ABS(H22))</f>
        <v/>
      </c>
      <c r="K22" s="61">
        <v>0</v>
      </c>
      <c r="L22" s="30" t="str">
        <f>IF($K$20&lt;=0," ",K22/$K$20)</f>
        <v xml:space="preserve"> </v>
      </c>
      <c r="M22" s="61">
        <f>+M17</f>
        <v>0</v>
      </c>
      <c r="N22" s="30" t="str">
        <f t="shared" si="8"/>
        <v xml:space="preserve"> </v>
      </c>
      <c r="O22" s="30" t="str">
        <f>IF(K22=0,"",(M22-K22)/ABS(K22)+1)</f>
        <v/>
      </c>
      <c r="P22" s="61">
        <v>0</v>
      </c>
      <c r="Q22" s="30">
        <f>+P22/$P$20</f>
        <v>0</v>
      </c>
      <c r="R22" s="30" t="str">
        <f t="shared" si="9"/>
        <v/>
      </c>
      <c r="AD22" s="62"/>
      <c r="AE22" s="62"/>
      <c r="AF22" s="62"/>
    </row>
    <row r="23" spans="1:32" ht="14.25" customHeight="1" x14ac:dyDescent="0.2">
      <c r="G23" s="30" t="str">
        <f t="shared" si="5"/>
        <v/>
      </c>
      <c r="I23" s="30" t="str">
        <f t="shared" si="6"/>
        <v/>
      </c>
      <c r="N23" s="30" t="str">
        <f t="shared" si="8"/>
        <v xml:space="preserve"> </v>
      </c>
      <c r="R23" s="30" t="str">
        <f t="shared" si="9"/>
        <v/>
      </c>
      <c r="T23" s="3" t="s">
        <v>41</v>
      </c>
      <c r="U23" s="61"/>
      <c r="V23" s="61"/>
      <c r="W23" s="61"/>
      <c r="X23" s="61">
        <f>+AD21+U23</f>
        <v>0</v>
      </c>
      <c r="Y23" s="61">
        <f>+V23+AF21</f>
        <v>0</v>
      </c>
      <c r="Z23" s="57">
        <f>+Y23-X23</f>
        <v>0</v>
      </c>
      <c r="AA23" s="63" t="str">
        <f>IF(X23=0,"",(Y23-X23)/ABS(X23)+1)</f>
        <v/>
      </c>
      <c r="AB23" s="61">
        <v>0</v>
      </c>
      <c r="AC23" s="63" t="str">
        <f>IF(AB23=0,"",(Y23-AB23)/ABS(AB23))</f>
        <v/>
      </c>
      <c r="AD23" s="62"/>
      <c r="AE23" s="62"/>
      <c r="AF23" s="62"/>
    </row>
    <row r="24" spans="1:32" ht="14.25" customHeight="1" x14ac:dyDescent="0.2">
      <c r="B24" s="3" t="s">
        <v>42</v>
      </c>
      <c r="C24" s="61">
        <f>+C19</f>
        <v>0</v>
      </c>
      <c r="D24" s="30" t="str">
        <f>IF($C$20&lt;=0," ",C24/$C$20)</f>
        <v xml:space="preserve"> </v>
      </c>
      <c r="E24" s="61">
        <f>+E19</f>
        <v>0</v>
      </c>
      <c r="F24" s="30" t="str">
        <f>IF($E$20&lt;=0," ",E24/$E$20)</f>
        <v xml:space="preserve"> </v>
      </c>
      <c r="G24" s="30" t="str">
        <f t="shared" si="5"/>
        <v/>
      </c>
      <c r="H24" s="61">
        <f>+H19</f>
        <v>2100</v>
      </c>
      <c r="I24" s="30" t="str">
        <f t="shared" si="6"/>
        <v/>
      </c>
      <c r="J24" s="30">
        <f>IF(H24=0,"",(E24-H24)/ABS(H24))</f>
        <v>-1</v>
      </c>
      <c r="K24" s="61">
        <f>+K19</f>
        <v>0</v>
      </c>
      <c r="L24" s="30" t="str">
        <f>IF($K$20&lt;=0," ",K24/$K$20)</f>
        <v xml:space="preserve"> </v>
      </c>
      <c r="M24" s="61">
        <f>+M19</f>
        <v>0</v>
      </c>
      <c r="N24" s="30" t="str">
        <f t="shared" si="8"/>
        <v xml:space="preserve"> </v>
      </c>
      <c r="O24" s="30" t="str">
        <f>IF(K24=0,"",(M24-K24)/ABS(K24)+1)</f>
        <v/>
      </c>
      <c r="P24" s="61">
        <f>+P19</f>
        <v>25200</v>
      </c>
      <c r="Q24" s="30">
        <f>+P24/$P$20</f>
        <v>1</v>
      </c>
      <c r="R24" s="30">
        <f t="shared" si="9"/>
        <v>-1</v>
      </c>
      <c r="AD24" s="62"/>
      <c r="AE24" s="62"/>
      <c r="AF24" s="62"/>
    </row>
    <row r="25" spans="1:32" ht="14.25" customHeight="1" x14ac:dyDescent="0.2">
      <c r="G25" s="30" t="str">
        <f t="shared" si="5"/>
        <v/>
      </c>
      <c r="I25" s="30" t="str">
        <f t="shared" si="6"/>
        <v/>
      </c>
      <c r="R25" s="30" t="str">
        <f t="shared" si="9"/>
        <v/>
      </c>
      <c r="T25" s="3" t="s">
        <v>43</v>
      </c>
      <c r="U25" s="61"/>
      <c r="V25" s="61"/>
      <c r="W25" s="61"/>
      <c r="X25" s="61">
        <f>+AD22+U25</f>
        <v>0</v>
      </c>
      <c r="Y25" s="61">
        <f>+V25+AF22</f>
        <v>0</v>
      </c>
      <c r="Z25" s="57">
        <f>+Y25-X25</f>
        <v>0</v>
      </c>
      <c r="AA25" s="63" t="str">
        <f>IF(X25=0,"",(Y25-X25)/ABS(X25)+1)</f>
        <v/>
      </c>
      <c r="AB25" s="61">
        <v>0</v>
      </c>
      <c r="AC25" s="63" t="str">
        <f>IF(AB25=0,"",(Y25-AB25)/ABS(AB25))</f>
        <v/>
      </c>
      <c r="AD25" s="62"/>
      <c r="AE25" s="62"/>
      <c r="AF25" s="62"/>
    </row>
    <row r="26" spans="1:32" ht="14.25" customHeight="1" x14ac:dyDescent="0.2">
      <c r="B26" s="3" t="s">
        <v>44</v>
      </c>
      <c r="C26" s="61">
        <f>+E26</f>
        <v>0</v>
      </c>
      <c r="D26" s="30" t="str">
        <f>IF($C$20&lt;=0," ",C26/$C$20)</f>
        <v xml:space="preserve"> </v>
      </c>
      <c r="E26" s="61">
        <v>0</v>
      </c>
      <c r="F26" s="30" t="str">
        <f>IF($E$20&lt;=0," ",E26/$E$20)</f>
        <v xml:space="preserve"> </v>
      </c>
      <c r="G26" s="30" t="str">
        <f t="shared" si="5"/>
        <v/>
      </c>
      <c r="H26" s="61">
        <v>0</v>
      </c>
      <c r="I26" s="30" t="str">
        <f t="shared" si="6"/>
        <v/>
      </c>
      <c r="J26" s="30" t="str">
        <f>IF(H26=0,"",(E26-H26)/ABS(H26))</f>
        <v/>
      </c>
      <c r="K26" s="61">
        <f>+K20</f>
        <v>0</v>
      </c>
      <c r="L26" s="30" t="str">
        <f>IF($K$20&lt;=0," ",K26/$K$20)</f>
        <v xml:space="preserve"> </v>
      </c>
      <c r="M26" s="61"/>
      <c r="N26" s="30" t="str">
        <f>IF($M$20&lt;=0," ",M26/$M$20)</f>
        <v xml:space="preserve"> </v>
      </c>
      <c r="O26" s="30" t="str">
        <f>IF(K26=0,"",(M26-K26)/ABS(K26)+1)</f>
        <v/>
      </c>
      <c r="P26" s="61">
        <v>0</v>
      </c>
      <c r="Q26" s="30">
        <f>+P26/$P$20</f>
        <v>0</v>
      </c>
      <c r="R26" s="30" t="str">
        <f t="shared" si="9"/>
        <v/>
      </c>
    </row>
    <row r="27" spans="1:32" ht="14.25" customHeight="1" x14ac:dyDescent="0.2">
      <c r="A27" s="89"/>
      <c r="B27" s="3" t="s">
        <v>45</v>
      </c>
      <c r="C27" s="61">
        <f>+E27</f>
        <v>0</v>
      </c>
      <c r="D27" s="30" t="str">
        <f>IF($C$20&lt;=0," ",C27/$C$20)</f>
        <v xml:space="preserve"> </v>
      </c>
      <c r="E27" s="61">
        <v>0</v>
      </c>
      <c r="F27" s="30" t="str">
        <f>IF($E$20&lt;=0," ",E27/$E$20)</f>
        <v xml:space="preserve"> </v>
      </c>
      <c r="G27" s="30" t="str">
        <f t="shared" si="5"/>
        <v/>
      </c>
      <c r="H27" s="61">
        <v>0</v>
      </c>
      <c r="I27" s="30" t="str">
        <f t="shared" si="6"/>
        <v/>
      </c>
      <c r="J27" s="30" t="str">
        <f>IF(H27=0,"",(E27-H27)/ABS(H27))</f>
        <v/>
      </c>
      <c r="K27" s="61">
        <f>+K22</f>
        <v>0</v>
      </c>
      <c r="L27" s="30" t="str">
        <f>IF($K$20&lt;=0," ",K27/$K$20)</f>
        <v xml:space="preserve"> </v>
      </c>
      <c r="M27" s="61"/>
      <c r="N27" s="30" t="str">
        <f>IF($M$20&lt;=0," ",M27/$M$20)</f>
        <v xml:space="preserve"> </v>
      </c>
      <c r="O27" s="30" t="str">
        <f>IF(K27=0,"",(M27-K27)/ABS(K27)+1)</f>
        <v/>
      </c>
      <c r="P27" s="61">
        <v>0</v>
      </c>
      <c r="Q27" s="30">
        <f>+P27/$P$20</f>
        <v>0</v>
      </c>
      <c r="R27" s="30" t="str">
        <f t="shared" si="9"/>
        <v/>
      </c>
      <c r="T27" s="3" t="s">
        <v>46</v>
      </c>
      <c r="U27" s="61"/>
      <c r="V27" s="61"/>
      <c r="W27" s="61"/>
      <c r="X27" s="61">
        <f>+AD23+U27</f>
        <v>0</v>
      </c>
      <c r="Y27" s="61">
        <f>+AE23+V27</f>
        <v>0</v>
      </c>
      <c r="Z27" s="57">
        <f>+Y27-X27</f>
        <v>0</v>
      </c>
      <c r="AA27" s="63" t="str">
        <f>IF(X27=0,"",(Y27-X27)/ABS(X27)+1)</f>
        <v/>
      </c>
      <c r="AB27" s="61">
        <v>0</v>
      </c>
      <c r="AC27" s="63" t="str">
        <f>IF(AB27=0,"",(Y27-AB27)/ABS(AB27))</f>
        <v/>
      </c>
    </row>
    <row r="28" spans="1:32" ht="14.25" customHeight="1" x14ac:dyDescent="0.2">
      <c r="A28" s="89"/>
      <c r="B28" s="3" t="s">
        <v>47</v>
      </c>
      <c r="C28" s="61">
        <f>SUM(C26:C27)</f>
        <v>0</v>
      </c>
      <c r="D28" s="30" t="str">
        <f>IF($C$20&lt;=0," ",C28/$C$20)</f>
        <v xml:space="preserve"> </v>
      </c>
      <c r="E28" s="61">
        <f>SUM(E26:E27)</f>
        <v>0</v>
      </c>
      <c r="F28" s="30" t="str">
        <f>IF($E$20&lt;=0," ",E28/$E$20)</f>
        <v xml:space="preserve"> </v>
      </c>
      <c r="G28" s="30" t="str">
        <f t="shared" si="5"/>
        <v/>
      </c>
      <c r="H28" s="61">
        <f>SUM(H26:H27)</f>
        <v>0</v>
      </c>
      <c r="I28" s="30" t="str">
        <f t="shared" si="6"/>
        <v/>
      </c>
      <c r="J28" s="30" t="str">
        <f>IF(H28=0,"",(E28-H28)/ABS(H28))</f>
        <v/>
      </c>
      <c r="K28" s="61">
        <f>+K24</f>
        <v>0</v>
      </c>
      <c r="L28" s="30" t="str">
        <f>IF($K$20&lt;=0," ",K28/$K$20)</f>
        <v xml:space="preserve"> </v>
      </c>
      <c r="M28" s="61"/>
      <c r="N28" s="30" t="str">
        <f>IF($M$20&lt;=0," ",M28/$M$20)</f>
        <v xml:space="preserve"> </v>
      </c>
      <c r="O28" s="30" t="str">
        <f>IF(K28=0,"",(M28-K28)/ABS(K28)+1)</f>
        <v/>
      </c>
      <c r="P28" s="61">
        <f>+P27+P26</f>
        <v>0</v>
      </c>
      <c r="Q28" s="30">
        <f>+P28/$P$20</f>
        <v>0</v>
      </c>
      <c r="R28" s="30" t="str">
        <f t="shared" si="9"/>
        <v/>
      </c>
      <c r="T28" s="3" t="s">
        <v>147</v>
      </c>
      <c r="U28" s="61">
        <f>+V28</f>
        <v>0</v>
      </c>
      <c r="V28" s="61">
        <v>0</v>
      </c>
      <c r="W28" s="61">
        <v>0</v>
      </c>
      <c r="X28" s="61">
        <f>+Y28</f>
        <v>-2653.67</v>
      </c>
      <c r="Y28" s="61">
        <v>-2653.67</v>
      </c>
      <c r="Z28" s="57">
        <f>+Y28-X28</f>
        <v>0</v>
      </c>
      <c r="AA28" s="63">
        <f>IF(X28=0,"",(Y28-X28)/ABS(X28)+1)</f>
        <v>1</v>
      </c>
      <c r="AB28" s="61">
        <v>46000</v>
      </c>
      <c r="AC28" s="63">
        <f>IF(AB28=0,"",(Y28-AB28)/ABS(AB28))</f>
        <v>-1.0576884782608695</v>
      </c>
      <c r="AD28" s="49"/>
    </row>
    <row r="29" spans="1:32" ht="14.25" customHeight="1" x14ac:dyDescent="0.2">
      <c r="A29" s="89"/>
      <c r="G29" s="30" t="str">
        <f t="shared" si="5"/>
        <v/>
      </c>
      <c r="I29" s="30" t="str">
        <f t="shared" si="6"/>
        <v/>
      </c>
      <c r="R29" s="30" t="str">
        <f t="shared" si="9"/>
        <v/>
      </c>
    </row>
    <row r="30" spans="1:32" ht="14.25" customHeight="1" x14ac:dyDescent="0.2">
      <c r="A30" s="89"/>
      <c r="B30" s="3" t="s">
        <v>49</v>
      </c>
      <c r="C30" s="61">
        <f>+E30</f>
        <v>0</v>
      </c>
      <c r="D30" s="30" t="str">
        <f>IF($C$20&lt;=0," ",C30/$C$20)</f>
        <v xml:space="preserve"> </v>
      </c>
      <c r="E30" s="61"/>
      <c r="F30" s="30" t="str">
        <f>IF($E$20&lt;=0," ",E30/$E$20)</f>
        <v xml:space="preserve"> </v>
      </c>
      <c r="G30" s="30" t="str">
        <f t="shared" si="5"/>
        <v/>
      </c>
      <c r="H30" s="61"/>
      <c r="I30" s="30" t="str">
        <f t="shared" si="6"/>
        <v/>
      </c>
      <c r="J30" s="30" t="str">
        <f>IF(H30=0,"",(E30-H30)/ABS(H30))</f>
        <v/>
      </c>
      <c r="K30" s="61">
        <f>+K26</f>
        <v>0</v>
      </c>
      <c r="L30" s="30" t="str">
        <f>IF($K$20&lt;=0," ",K30/$K$20)</f>
        <v xml:space="preserve"> </v>
      </c>
      <c r="M30" s="61"/>
      <c r="N30" s="30" t="str">
        <f>IF($M$20&lt;=0," ",M30/$M$20)</f>
        <v xml:space="preserve"> </v>
      </c>
      <c r="O30" s="30" t="str">
        <f>IF(K30=0,"",(M30-K30)/ABS(K30)+1)</f>
        <v/>
      </c>
      <c r="P30" s="61"/>
      <c r="Q30" s="30">
        <f>+P30/$P$20</f>
        <v>0</v>
      </c>
      <c r="R30" s="30" t="str">
        <f t="shared" si="9"/>
        <v/>
      </c>
      <c r="T30" s="19" t="s">
        <v>50</v>
      </c>
      <c r="U30" s="65">
        <f>U21-U23-U25-U27-U28</f>
        <v>4900.67</v>
      </c>
      <c r="V30" s="65">
        <f>V21-V23-V25-V27-V28</f>
        <v>4900.67</v>
      </c>
      <c r="W30" s="65">
        <v>6877.7900000000009</v>
      </c>
      <c r="X30" s="65">
        <f>X21-X23-X25-X27-X28</f>
        <v>4900.67</v>
      </c>
      <c r="Y30" s="65">
        <f>Y21-Y23-Y25-Y27-Y28</f>
        <v>4900.67</v>
      </c>
      <c r="Z30" s="67">
        <f>V30-U30</f>
        <v>0</v>
      </c>
      <c r="AA30" s="68">
        <f>IF(U30=0,"",(V30-U30)/ABS(U30)+1)</f>
        <v>1</v>
      </c>
      <c r="AB30" s="65">
        <v>6877.7900000000009</v>
      </c>
      <c r="AC30" s="68">
        <f>IF(W30=0,"",(V30-W30)/ABS(W30))</f>
        <v>-0.28746443261570948</v>
      </c>
    </row>
    <row r="31" spans="1:32" ht="14.25" customHeight="1" x14ac:dyDescent="0.2">
      <c r="A31" s="89"/>
      <c r="B31" s="3" t="s">
        <v>148</v>
      </c>
      <c r="C31" s="61">
        <f>+E31</f>
        <v>0</v>
      </c>
      <c r="D31" s="30" t="str">
        <f>IF($C$20&lt;=0," ",C31/$C$20)</f>
        <v xml:space="preserve"> </v>
      </c>
      <c r="E31" s="61">
        <v>0</v>
      </c>
      <c r="F31" s="30" t="str">
        <f>IF($E$20&lt;=0," ",E31/$E$20)</f>
        <v xml:space="preserve"> </v>
      </c>
      <c r="G31" s="30" t="str">
        <f t="shared" si="5"/>
        <v/>
      </c>
      <c r="H31" s="61">
        <v>0</v>
      </c>
      <c r="I31" s="30" t="str">
        <f t="shared" si="6"/>
        <v/>
      </c>
      <c r="J31" s="30" t="str">
        <f>IF(H31=0,"",(E31-H31)/ABS(H31))</f>
        <v/>
      </c>
      <c r="K31" s="61">
        <f>+K27</f>
        <v>0</v>
      </c>
      <c r="L31" s="30" t="str">
        <f>IF($K$20&lt;=0," ",K31/$K$20)</f>
        <v xml:space="preserve"> </v>
      </c>
      <c r="M31" s="61">
        <v>4045</v>
      </c>
      <c r="N31" s="30" t="str">
        <f>IF($M$20&lt;=0," ",M31/$M$20)</f>
        <v xml:space="preserve"> </v>
      </c>
      <c r="O31" s="30" t="str">
        <f>IF(K31=0,"",(M31-K31)/ABS(K31)+1)</f>
        <v/>
      </c>
      <c r="P31" s="61">
        <v>0</v>
      </c>
      <c r="Q31" s="30">
        <f>+P31/$P$20</f>
        <v>0</v>
      </c>
      <c r="R31" s="30" t="str">
        <f t="shared" si="9"/>
        <v/>
      </c>
    </row>
    <row r="32" spans="1:32" ht="14.25" customHeight="1" x14ac:dyDescent="0.2">
      <c r="A32" s="89"/>
      <c r="B32" s="3" t="s">
        <v>52</v>
      </c>
      <c r="C32" s="61">
        <f>SUM(C30:C31)</f>
        <v>0</v>
      </c>
      <c r="D32" s="30" t="str">
        <f>IF($C$20&lt;=0," ",C32/$C$20)</f>
        <v xml:space="preserve"> </v>
      </c>
      <c r="E32" s="61">
        <f>SUM(E30:E31)</f>
        <v>0</v>
      </c>
      <c r="F32" s="30" t="str">
        <f>IF($E$20&lt;=0," ",E32/$E$20)</f>
        <v xml:space="preserve"> </v>
      </c>
      <c r="G32" s="30" t="str">
        <f t="shared" si="5"/>
        <v/>
      </c>
      <c r="H32" s="61">
        <f>SUM(H30:H31)</f>
        <v>0</v>
      </c>
      <c r="I32" s="30" t="str">
        <f t="shared" si="6"/>
        <v/>
      </c>
      <c r="J32" s="30" t="str">
        <f>IF(H32=0,"",(E32-H32)/ABS(H32))</f>
        <v/>
      </c>
      <c r="K32" s="61">
        <f>+K28</f>
        <v>0</v>
      </c>
      <c r="L32" s="30" t="str">
        <f>IF($K$20&lt;=0," ",K32/$K$20)</f>
        <v xml:space="preserve"> </v>
      </c>
      <c r="M32" s="61">
        <f>SUM(M30:M31)</f>
        <v>4045</v>
      </c>
      <c r="N32" s="30" t="str">
        <f>IF($M$20&lt;=0," ",M32/$M$20)</f>
        <v xml:space="preserve"> </v>
      </c>
      <c r="O32" s="30" t="str">
        <f>IF(K32=0,"",(M32-K32)/ABS(K32)+1)</f>
        <v/>
      </c>
      <c r="P32" s="61">
        <f>+P31</f>
        <v>0</v>
      </c>
      <c r="Q32" s="30">
        <f>+P32/$P$20</f>
        <v>0</v>
      </c>
      <c r="R32" s="30" t="str">
        <f t="shared" si="9"/>
        <v/>
      </c>
    </row>
    <row r="33" spans="1:20" ht="14.25" customHeight="1" x14ac:dyDescent="0.2">
      <c r="A33" s="89"/>
      <c r="G33" s="30" t="str">
        <f t="shared" si="5"/>
        <v/>
      </c>
      <c r="I33" s="30" t="str">
        <f t="shared" si="6"/>
        <v/>
      </c>
      <c r="R33" s="30" t="str">
        <f t="shared" si="9"/>
        <v/>
      </c>
    </row>
    <row r="34" spans="1:20" ht="14.25" customHeight="1" x14ac:dyDescent="0.2">
      <c r="A34" s="89"/>
      <c r="B34" s="3" t="s">
        <v>53</v>
      </c>
      <c r="C34" s="61">
        <f>C28+C32</f>
        <v>0</v>
      </c>
      <c r="D34" s="30" t="str">
        <f>IF($C$20&lt;=0," ",C34/$C$20)</f>
        <v xml:space="preserve"> </v>
      </c>
      <c r="E34" s="61">
        <f>E28+E32</f>
        <v>0</v>
      </c>
      <c r="F34" s="30" t="str">
        <f>IF($E$20&lt;=0," ",E34/$E$20)</f>
        <v xml:space="preserve"> </v>
      </c>
      <c r="G34" s="30" t="str">
        <f t="shared" si="5"/>
        <v/>
      </c>
      <c r="H34" s="61">
        <f>H28+H32</f>
        <v>0</v>
      </c>
      <c r="I34" s="30" t="str">
        <f t="shared" si="6"/>
        <v/>
      </c>
      <c r="J34" s="30" t="str">
        <f>IF(H34=0,"",(E34-H34)/ABS(H34))</f>
        <v/>
      </c>
      <c r="K34" s="61">
        <f>+K30</f>
        <v>0</v>
      </c>
      <c r="L34" s="30" t="str">
        <f>IF($K$20&lt;=0," ",K34/$K$20)</f>
        <v xml:space="preserve"> </v>
      </c>
      <c r="M34" s="61">
        <f>M28+M32</f>
        <v>4045</v>
      </c>
      <c r="N34" s="30" t="str">
        <f>IF($M$20&lt;=0," ",M34/$M$20)</f>
        <v xml:space="preserve"> </v>
      </c>
      <c r="O34" s="30" t="str">
        <f>IF(K34=0,"",(M34-K34)/ABS(K34)+1)</f>
        <v/>
      </c>
      <c r="P34" s="61">
        <f>+P32</f>
        <v>0</v>
      </c>
      <c r="Q34" s="30">
        <f>+P34/$P$20</f>
        <v>0</v>
      </c>
      <c r="R34" s="30" t="str">
        <f t="shared" si="9"/>
        <v/>
      </c>
    </row>
    <row r="35" spans="1:20" ht="14.25" customHeight="1" x14ac:dyDescent="0.2">
      <c r="G35" s="30" t="str">
        <f t="shared" si="5"/>
        <v/>
      </c>
      <c r="I35" s="30" t="str">
        <f t="shared" si="6"/>
        <v/>
      </c>
      <c r="R35" s="30" t="str">
        <f t="shared" si="9"/>
        <v/>
      </c>
    </row>
    <row r="36" spans="1:20" ht="14.25" customHeight="1" x14ac:dyDescent="0.2">
      <c r="B36" s="19" t="s">
        <v>54</v>
      </c>
      <c r="C36" s="65">
        <f>+C24-C34</f>
        <v>0</v>
      </c>
      <c r="D36" s="38" t="str">
        <f>IF($C$20&lt;=0," ",C36/$C$20)</f>
        <v xml:space="preserve"> </v>
      </c>
      <c r="E36" s="65">
        <f>+E24-E34</f>
        <v>0</v>
      </c>
      <c r="F36" s="38" t="str">
        <f>IF($E$20&lt;=0," ",E36/$E$20)</f>
        <v xml:space="preserve"> </v>
      </c>
      <c r="G36" s="30" t="str">
        <f t="shared" si="5"/>
        <v/>
      </c>
      <c r="H36" s="65">
        <f>+H24-H34</f>
        <v>2100</v>
      </c>
      <c r="I36" s="30" t="str">
        <f t="shared" si="6"/>
        <v/>
      </c>
      <c r="J36" s="38">
        <f>IF(H36=0,"",(E36-H36)/ABS(H36))</f>
        <v>-1</v>
      </c>
      <c r="K36" s="65">
        <f>+K31</f>
        <v>0</v>
      </c>
      <c r="L36" s="38" t="str">
        <f>IF($K$20&lt;=0," ",K36/$K$20)</f>
        <v xml:space="preserve"> </v>
      </c>
      <c r="M36" s="65">
        <f>+M24-M34</f>
        <v>-4045</v>
      </c>
      <c r="N36" s="38" t="str">
        <f>IF($M$20&lt;=0," ",M36/$M$20)</f>
        <v xml:space="preserve"> </v>
      </c>
      <c r="O36" s="38" t="str">
        <f>IF(K36=0,"",(M36-K36)/ABS(K36)+1)</f>
        <v/>
      </c>
      <c r="P36" s="65">
        <f>+P24-P34</f>
        <v>25200</v>
      </c>
      <c r="Q36" s="38">
        <f>+P36/$P$20</f>
        <v>1</v>
      </c>
      <c r="R36" s="38">
        <f t="shared" si="9"/>
        <v>-1.1605158730158731</v>
      </c>
    </row>
    <row r="37" spans="1:20" ht="14.25" customHeight="1" x14ac:dyDescent="0.2">
      <c r="G37" s="30" t="str">
        <f t="shared" si="5"/>
        <v/>
      </c>
      <c r="I37" s="30" t="str">
        <f t="shared" si="6"/>
        <v/>
      </c>
      <c r="R37" s="30" t="str">
        <f t="shared" si="9"/>
        <v/>
      </c>
      <c r="T37" s="49"/>
    </row>
    <row r="38" spans="1:20" ht="14.25" customHeight="1" x14ac:dyDescent="0.2">
      <c r="B38" s="3" t="s">
        <v>55</v>
      </c>
      <c r="C38" s="61">
        <f>+E38</f>
        <v>0</v>
      </c>
      <c r="D38" s="30" t="str">
        <f>IF($C$20&lt;=0," ",C38/$C$20)</f>
        <v xml:space="preserve"> </v>
      </c>
      <c r="E38" s="61">
        <v>0</v>
      </c>
      <c r="F38" s="30" t="str">
        <f>IF($E$20&lt;=0," ",E38/$E$20)</f>
        <v xml:space="preserve"> </v>
      </c>
      <c r="G38" s="30" t="str">
        <f t="shared" si="5"/>
        <v/>
      </c>
      <c r="H38" s="61">
        <v>5740.71</v>
      </c>
      <c r="I38" s="30" t="str">
        <f t="shared" si="6"/>
        <v/>
      </c>
      <c r="J38" s="30">
        <f>IF(H38=0,"",(E38-H38)/ABS(H38))</f>
        <v>-1</v>
      </c>
      <c r="K38" s="61">
        <f>+K32</f>
        <v>0</v>
      </c>
      <c r="L38" s="30" t="str">
        <f>IF($K$20&lt;=0," ",K38/$K$20)</f>
        <v xml:space="preserve"> </v>
      </c>
      <c r="M38" s="61">
        <v>4681.5</v>
      </c>
      <c r="N38" s="30" t="str">
        <f>IF($M$20&lt;=0," ",M38/$M$20)</f>
        <v xml:space="preserve"> </v>
      </c>
      <c r="O38" s="30" t="str">
        <f>IF(K38=0,"",(M38-K38)/ABS(K38)+1)</f>
        <v/>
      </c>
      <c r="P38" s="61">
        <v>5740.71</v>
      </c>
      <c r="Q38" s="30">
        <f>+P38/$P$20</f>
        <v>0.22780595238095239</v>
      </c>
      <c r="R38" s="30">
        <f t="shared" si="9"/>
        <v>-0.18450853640054976</v>
      </c>
    </row>
    <row r="39" spans="1:20" ht="14.25" customHeight="1" x14ac:dyDescent="0.2">
      <c r="B39" s="3" t="s">
        <v>56</v>
      </c>
      <c r="C39" s="61">
        <f>+E39</f>
        <v>0</v>
      </c>
      <c r="D39" s="30" t="str">
        <f>IF($C$20&lt;=0," ",C39/$C$20)</f>
        <v xml:space="preserve"> </v>
      </c>
      <c r="E39" s="61">
        <v>0</v>
      </c>
      <c r="F39" s="30" t="str">
        <f>IF($E$20&lt;=0," ",E39/$E$20)</f>
        <v xml:space="preserve"> </v>
      </c>
      <c r="G39" s="30" t="str">
        <f t="shared" si="5"/>
        <v/>
      </c>
      <c r="H39" s="61">
        <v>290.5</v>
      </c>
      <c r="I39" s="30" t="str">
        <f t="shared" si="6"/>
        <v/>
      </c>
      <c r="J39" s="30">
        <f>IF(H39=0,"",(E39-H39)/ABS(H39))</f>
        <v>-1</v>
      </c>
      <c r="K39" s="61">
        <f>+K34</f>
        <v>0</v>
      </c>
      <c r="L39" s="30" t="str">
        <f>IF($K$20&lt;=0," ",K39/$K$20)</f>
        <v xml:space="preserve"> </v>
      </c>
      <c r="M39" s="61">
        <v>637</v>
      </c>
      <c r="N39" s="30" t="str">
        <f>IF($M$20&lt;=0," ",M39/$M$20)</f>
        <v xml:space="preserve"> </v>
      </c>
      <c r="O39" s="30" t="str">
        <f>IF(K39=0,"",(M39-K39)/ABS(K39)+1)</f>
        <v/>
      </c>
      <c r="P39" s="61">
        <v>5867.71</v>
      </c>
      <c r="Q39" s="30">
        <f>+P39/$P$20</f>
        <v>0.23284563492063493</v>
      </c>
      <c r="R39" s="30">
        <f t="shared" si="9"/>
        <v>-0.89143976099704991</v>
      </c>
    </row>
    <row r="40" spans="1:20" ht="14.25" customHeight="1" x14ac:dyDescent="0.2">
      <c r="G40" s="30" t="str">
        <f t="shared" si="5"/>
        <v/>
      </c>
      <c r="I40" s="30" t="str">
        <f t="shared" si="6"/>
        <v/>
      </c>
      <c r="R40" s="30" t="str">
        <f t="shared" si="9"/>
        <v/>
      </c>
    </row>
    <row r="41" spans="1:20" ht="14.25" customHeight="1" x14ac:dyDescent="0.2">
      <c r="B41" s="3" t="s">
        <v>57</v>
      </c>
      <c r="C41" s="61">
        <f>C36+C38-C39</f>
        <v>0</v>
      </c>
      <c r="D41" s="30" t="str">
        <f>IF($C$20&lt;=0," ",C41/$C$20)</f>
        <v xml:space="preserve"> </v>
      </c>
      <c r="E41" s="61">
        <f>+E36-E39+E38</f>
        <v>0</v>
      </c>
      <c r="F41" s="30" t="str">
        <f>IF($E$20&lt;=0," ",E41/$E$20)</f>
        <v xml:space="preserve"> </v>
      </c>
      <c r="G41" s="30" t="str">
        <f t="shared" si="5"/>
        <v/>
      </c>
      <c r="H41" s="61">
        <f>+H36-H39+H38</f>
        <v>7550.21</v>
      </c>
      <c r="I41" s="30" t="str">
        <f t="shared" si="6"/>
        <v/>
      </c>
      <c r="J41" s="30">
        <f>IF(H41=0,"",(E41-H41)/ABS(H41))</f>
        <v>-1</v>
      </c>
      <c r="K41" s="61">
        <f>+K36</f>
        <v>0</v>
      </c>
      <c r="L41" s="30" t="str">
        <f>IF($K$20&lt;=0," ",K41/$K$20)</f>
        <v xml:space="preserve"> </v>
      </c>
      <c r="M41" s="61">
        <f>+M36-M39+M38</f>
        <v>-0.5</v>
      </c>
      <c r="N41" s="30" t="str">
        <f>IF($M$20&lt;=0," ",M41/$M$20)</f>
        <v xml:space="preserve"> </v>
      </c>
      <c r="O41" s="30" t="str">
        <f>IF(K41=0,"",(M41-K41)/ABS(K41)+1)</f>
        <v/>
      </c>
      <c r="P41" s="61">
        <f>P36+P38-P39</f>
        <v>25073</v>
      </c>
      <c r="Q41" s="30">
        <f>+P41/$P$20</f>
        <v>0.99496031746031743</v>
      </c>
      <c r="R41" s="30">
        <f t="shared" si="9"/>
        <v>-1.0000199417700315</v>
      </c>
    </row>
    <row r="42" spans="1:20" ht="14.25" customHeight="1" x14ac:dyDescent="0.2">
      <c r="B42" s="3" t="s">
        <v>43</v>
      </c>
      <c r="C42" s="61"/>
      <c r="D42" s="30" t="str">
        <f>IF($C$20&lt;=0," ",C42/$C$20)</f>
        <v xml:space="preserve"> </v>
      </c>
      <c r="E42" s="61"/>
      <c r="F42" s="30" t="str">
        <f>IF($E$20&lt;=0," ",E42/$E$20)</f>
        <v xml:space="preserve"> </v>
      </c>
      <c r="G42" s="30" t="str">
        <f t="shared" si="5"/>
        <v/>
      </c>
      <c r="H42" s="61"/>
      <c r="I42" s="30" t="str">
        <f t="shared" si="6"/>
        <v/>
      </c>
      <c r="J42" s="30" t="str">
        <f>IF(H42=0,"",(E42-H42)/ABS(H42))</f>
        <v/>
      </c>
      <c r="K42" s="61">
        <f>+K38</f>
        <v>0</v>
      </c>
      <c r="L42" s="30" t="str">
        <f>IF($K$20&lt;=0," ",K42/$K$20)</f>
        <v xml:space="preserve"> </v>
      </c>
      <c r="M42" s="61"/>
      <c r="N42" s="30" t="str">
        <f>IF($M$20&lt;=0," ",M42/$M$20)</f>
        <v xml:space="preserve"> </v>
      </c>
      <c r="O42" s="30" t="str">
        <f>IF(K42=0,"",(M42-K42)/ABS(K42)+1)</f>
        <v/>
      </c>
      <c r="P42" s="61">
        <f>+H42</f>
        <v>0</v>
      </c>
      <c r="Q42" s="30">
        <f>+P42/$P$20</f>
        <v>0</v>
      </c>
      <c r="R42" s="30" t="str">
        <f t="shared" si="9"/>
        <v/>
      </c>
    </row>
    <row r="43" spans="1:20" ht="14.25" customHeight="1" x14ac:dyDescent="0.2">
      <c r="B43" s="19" t="s">
        <v>58</v>
      </c>
      <c r="C43" s="65">
        <f>+C41-C42</f>
        <v>0</v>
      </c>
      <c r="D43" s="38" t="str">
        <f>IF($C$20&lt;=0," ",C43/$C$20)</f>
        <v xml:space="preserve"> </v>
      </c>
      <c r="E43" s="65">
        <f>E41-E42</f>
        <v>0</v>
      </c>
      <c r="F43" s="38" t="str">
        <f>IF($E$20&lt;=0," ",E43/$E$20)</f>
        <v xml:space="preserve"> </v>
      </c>
      <c r="G43" s="30" t="str">
        <f t="shared" si="5"/>
        <v/>
      </c>
      <c r="H43" s="65">
        <f>H41-H42</f>
        <v>7550.21</v>
      </c>
      <c r="I43" s="30" t="str">
        <f t="shared" si="6"/>
        <v/>
      </c>
      <c r="J43" s="38">
        <f>IF(H43=0,"",(E43-H43)/ABS(H43))</f>
        <v>-1</v>
      </c>
      <c r="K43" s="65">
        <f>+K39</f>
        <v>0</v>
      </c>
      <c r="L43" s="38" t="str">
        <f>IF($K$20&lt;=0," ",K43/$K$20)</f>
        <v xml:space="preserve"> </v>
      </c>
      <c r="M43" s="65">
        <f>M41-M42</f>
        <v>-0.5</v>
      </c>
      <c r="N43" s="38" t="str">
        <f>IF($M$20&lt;=0," ",M43/$M$20)</f>
        <v xml:space="preserve"> </v>
      </c>
      <c r="O43" s="38" t="str">
        <f>IF(K43=0,"",(M43-K43)/ABS(K43)+1)</f>
        <v/>
      </c>
      <c r="P43" s="65">
        <f>P41-P42</f>
        <v>25073</v>
      </c>
      <c r="Q43" s="38">
        <f>+P43/$P$20</f>
        <v>0.99496031746031743</v>
      </c>
      <c r="R43" s="38">
        <f t="shared" si="9"/>
        <v>-1.0000199417700315</v>
      </c>
    </row>
    <row r="44" spans="1:20" ht="14.25" customHeight="1" x14ac:dyDescent="0.2">
      <c r="G44" s="30" t="str">
        <f t="shared" si="5"/>
        <v/>
      </c>
      <c r="I44" s="30" t="str">
        <f t="shared" si="6"/>
        <v/>
      </c>
      <c r="R44" s="30" t="str">
        <f t="shared" si="9"/>
        <v/>
      </c>
    </row>
    <row r="45" spans="1:20" ht="14.25" customHeight="1" x14ac:dyDescent="0.2">
      <c r="B45" s="3" t="s">
        <v>59</v>
      </c>
      <c r="C45" s="61">
        <f>+C36</f>
        <v>0</v>
      </c>
      <c r="D45" s="30" t="str">
        <f>IF($C$20&lt;=0," ",C45/$C$20)</f>
        <v xml:space="preserve"> </v>
      </c>
      <c r="E45" s="61">
        <f>+E36</f>
        <v>0</v>
      </c>
      <c r="F45" s="30" t="str">
        <f>IF($E$20&lt;=0," ",E45/$E$20)</f>
        <v xml:space="preserve"> </v>
      </c>
      <c r="G45" s="30" t="str">
        <f t="shared" si="5"/>
        <v/>
      </c>
      <c r="H45" s="61">
        <f>+H36</f>
        <v>2100</v>
      </c>
      <c r="I45" s="30" t="str">
        <f t="shared" si="6"/>
        <v/>
      </c>
      <c r="J45" s="30">
        <f>IF(H45=0,"",(E45-H45)/ABS(H45))</f>
        <v>-1</v>
      </c>
      <c r="K45" s="61">
        <f>+K41</f>
        <v>0</v>
      </c>
      <c r="L45" s="30" t="str">
        <f>IF($K$20&lt;=0," ",K45/$K$20)</f>
        <v xml:space="preserve"> </v>
      </c>
      <c r="M45" s="61">
        <f>+M36</f>
        <v>-4045</v>
      </c>
      <c r="N45" s="30" t="str">
        <f>IF($M$20&lt;=0," ",M45/$M$20)</f>
        <v xml:space="preserve"> </v>
      </c>
      <c r="O45" s="30" t="str">
        <f>IF(K45=0,"",(M45-K45)/ABS(K45)+1)</f>
        <v/>
      </c>
      <c r="P45" s="61">
        <f>+P36</f>
        <v>25200</v>
      </c>
      <c r="Q45" s="30">
        <f>+P45/$P$20</f>
        <v>1</v>
      </c>
      <c r="R45" s="30">
        <f t="shared" si="9"/>
        <v>-1.1605158730158731</v>
      </c>
    </row>
    <row r="46" spans="1:20" ht="14.25" customHeight="1" x14ac:dyDescent="0.2">
      <c r="B46" s="3" t="s">
        <v>34</v>
      </c>
      <c r="C46" s="61">
        <v>0</v>
      </c>
      <c r="D46" s="30" t="str">
        <f>IF($C$20&lt;=0," ",C46/$C$20)</f>
        <v xml:space="preserve"> </v>
      </c>
      <c r="E46" s="61">
        <v>0</v>
      </c>
      <c r="F46" s="30" t="str">
        <f>IF($E$20&lt;=0," ",E46/$E$20)</f>
        <v xml:space="preserve"> </v>
      </c>
      <c r="G46" s="30" t="str">
        <f t="shared" si="5"/>
        <v/>
      </c>
      <c r="H46" s="61">
        <v>0</v>
      </c>
      <c r="I46" s="30" t="str">
        <f t="shared" si="6"/>
        <v/>
      </c>
      <c r="J46" s="30" t="str">
        <f>IF(H46=0,"",(E46-H46)/ABS(H46))</f>
        <v/>
      </c>
      <c r="K46" s="61">
        <f>+K42</f>
        <v>0</v>
      </c>
      <c r="L46" s="30" t="str">
        <f>IF($K$20&lt;=0," ",K46/$K$20)</f>
        <v xml:space="preserve"> </v>
      </c>
      <c r="M46" s="61">
        <v>0</v>
      </c>
      <c r="N46" s="30" t="str">
        <f>IF($M$20&lt;=0," ",M46/$M$20)</f>
        <v xml:space="preserve"> </v>
      </c>
      <c r="O46" s="30" t="str">
        <f>IF(K46=0,"",(M46-K46)/ABS(K46)+1)</f>
        <v/>
      </c>
      <c r="P46" s="61">
        <v>0</v>
      </c>
      <c r="Q46" s="30">
        <f>+P46/$P$20</f>
        <v>0</v>
      </c>
      <c r="R46" s="30" t="str">
        <f t="shared" si="9"/>
        <v/>
      </c>
    </row>
    <row r="47" spans="1:20" ht="14.25" customHeight="1" x14ac:dyDescent="0.2">
      <c r="C47" s="62"/>
      <c r="D47" s="62"/>
      <c r="E47" s="62"/>
      <c r="F47" s="62"/>
      <c r="G47" s="62"/>
      <c r="H47" s="62"/>
      <c r="I47" s="62"/>
      <c r="J47" s="62"/>
      <c r="K47" s="62"/>
      <c r="L47" s="62"/>
      <c r="N47" s="62"/>
      <c r="O47" s="62"/>
    </row>
    <row r="48" spans="1:20" ht="14.25" customHeight="1" x14ac:dyDescent="0.2">
      <c r="M48" s="6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 Rodriguez</dc:creator>
  <cp:lastModifiedBy>Robert Gutierrez Rodriguez</cp:lastModifiedBy>
  <dcterms:created xsi:type="dcterms:W3CDTF">2023-01-25T21:50:52Z</dcterms:created>
  <dcterms:modified xsi:type="dcterms:W3CDTF">2023-01-25T21:52:23Z</dcterms:modified>
</cp:coreProperties>
</file>