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Informes de Junta/2022/Consolidados/"/>
    </mc:Choice>
  </mc:AlternateContent>
  <xr:revisionPtr revIDLastSave="0" documentId="8_{3A4EEE9E-4436-4D47-B338-616F2B3CD2FC}" xr6:coauthVersionLast="47" xr6:coauthVersionMax="47" xr10:uidLastSave="{00000000-0000-0000-0000-000000000000}"/>
  <bookViews>
    <workbookView xWindow="-28920" yWindow="-120" windowWidth="29040" windowHeight="15840" activeTab="1" xr2:uid="{B60B26D7-7BD5-4364-9243-CD5DFD5E67DE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externalReferences>
    <externalReference r:id="rId12"/>
  </externalReferences>
  <definedNames>
    <definedName name="__BIA_0237574" localSheetId="10" hidden="1">[1]!Consulta(11,"Presupuesto por Cuenta","Zoom","Cuenta","IN",ctas!$A$187:$A$222,"Periodo","=",201605)</definedName>
    <definedName name="__BIA_4422336" localSheetId="10" hidden="1">"-"</definedName>
    <definedName name="__BIA_4423615" localSheetId="10" hidden="1">"-"</definedName>
    <definedName name="__BIA_8159523" localSheetId="10" hidden="1">[1]!Consulta(4,"Presupuesto por flujo de efectivo","Zoom","Periodo","=",201909,"Cpto Flujo de Efectivo","IN",ctas!$A$544:$A$552)</definedName>
    <definedName name="b2w">'COLOMB$ '!$H$2</definedName>
  </definedNames>
  <calcPr calcId="191029"/>
  <pivotCaches>
    <pivotCache cacheId="13" r:id="rId13"/>
    <pivotCache cacheId="15" r:id="rId14"/>
    <pivotCache cacheId="14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9" i="12" l="1"/>
  <c r="AK25" i="11"/>
  <c r="AK17" i="11"/>
  <c r="AE17" i="11"/>
  <c r="V7" i="11"/>
  <c r="P7" i="11"/>
  <c r="N7" i="11"/>
  <c r="L7" i="11"/>
  <c r="AB6" i="11"/>
  <c r="Y6" i="11"/>
  <c r="X6" i="11"/>
  <c r="AA6" i="11" s="1"/>
  <c r="W6" i="11"/>
  <c r="Z6" i="11" s="1"/>
  <c r="Z5" i="11"/>
  <c r="W5" i="11"/>
  <c r="V3" i="11"/>
  <c r="R46" i="10"/>
  <c r="J46" i="10"/>
  <c r="I46" i="10"/>
  <c r="G46" i="10"/>
  <c r="R44" i="10"/>
  <c r="I44" i="10"/>
  <c r="G44" i="10"/>
  <c r="R42" i="10"/>
  <c r="P42" i="10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K31" i="10"/>
  <c r="O31" i="10" s="1"/>
  <c r="R30" i="10"/>
  <c r="J30" i="10"/>
  <c r="I30" i="10"/>
  <c r="C30" i="10"/>
  <c r="R29" i="10"/>
  <c r="I29" i="10"/>
  <c r="G29" i="10"/>
  <c r="P28" i="10"/>
  <c r="R28" i="10" s="1"/>
  <c r="H28" i="10"/>
  <c r="J28" i="10" s="1"/>
  <c r="E28" i="10"/>
  <c r="I28" i="10" s="1"/>
  <c r="AC27" i="10"/>
  <c r="Y27" i="10"/>
  <c r="X27" i="10"/>
  <c r="AA27" i="10" s="1"/>
  <c r="R27" i="10"/>
  <c r="K27" i="10"/>
  <c r="O27" i="10" s="1"/>
  <c r="J27" i="10"/>
  <c r="I27" i="10"/>
  <c r="G27" i="10"/>
  <c r="C27" i="10"/>
  <c r="R26" i="10"/>
  <c r="J26" i="10"/>
  <c r="I26" i="10"/>
  <c r="C26" i="10"/>
  <c r="C28" i="10" s="1"/>
  <c r="AC25" i="10"/>
  <c r="Y25" i="10"/>
  <c r="X25" i="10"/>
  <c r="R25" i="10"/>
  <c r="I25" i="10"/>
  <c r="G25" i="10"/>
  <c r="AC23" i="10"/>
  <c r="Y23" i="10"/>
  <c r="X23" i="10"/>
  <c r="Z23" i="10" s="1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K15" i="10"/>
  <c r="O15" i="10" s="1"/>
  <c r="J15" i="10"/>
  <c r="I15" i="10"/>
  <c r="G15" i="10"/>
  <c r="AC14" i="10"/>
  <c r="AA14" i="10"/>
  <c r="Z14" i="10"/>
  <c r="R14" i="10"/>
  <c r="K14" i="10"/>
  <c r="O14" i="10" s="1"/>
  <c r="J14" i="10"/>
  <c r="I14" i="10"/>
  <c r="G14" i="10"/>
  <c r="AC13" i="10"/>
  <c r="AA13" i="10"/>
  <c r="Z13" i="10"/>
  <c r="R13" i="10"/>
  <c r="K13" i="10"/>
  <c r="O13" i="10" s="1"/>
  <c r="J13" i="10"/>
  <c r="I13" i="10"/>
  <c r="G13" i="10"/>
  <c r="R12" i="10"/>
  <c r="K12" i="10"/>
  <c r="O12" i="10" s="1"/>
  <c r="J12" i="10"/>
  <c r="I12" i="10"/>
  <c r="G12" i="10"/>
  <c r="R11" i="10"/>
  <c r="K11" i="10"/>
  <c r="O11" i="10" s="1"/>
  <c r="J11" i="10"/>
  <c r="I11" i="10"/>
  <c r="G11" i="10"/>
  <c r="J10" i="10"/>
  <c r="K7" i="10"/>
  <c r="X7" i="10" s="1"/>
  <c r="H7" i="10"/>
  <c r="P7" i="10" s="1"/>
  <c r="E7" i="10"/>
  <c r="M7" i="10" s="1"/>
  <c r="V7" i="10" s="1"/>
  <c r="Y7" i="10" s="1"/>
  <c r="C7" i="10"/>
  <c r="U7" i="10" s="1"/>
  <c r="A7" i="10"/>
  <c r="A6" i="10"/>
  <c r="A5" i="10"/>
  <c r="A4" i="10"/>
  <c r="AU47" i="9"/>
  <c r="AV47" i="9" s="1"/>
  <c r="AY47" i="9" s="1"/>
  <c r="AM47" i="9"/>
  <c r="AN47" i="9" s="1"/>
  <c r="AQ47" i="9" s="1"/>
  <c r="AV46" i="9"/>
  <c r="AY46" i="9" s="1"/>
  <c r="AN46" i="9"/>
  <c r="AQ46" i="9" s="1"/>
  <c r="D46" i="9"/>
  <c r="D45" i="9"/>
  <c r="D43" i="9"/>
  <c r="D42" i="9"/>
  <c r="D41" i="9"/>
  <c r="D39" i="9"/>
  <c r="D38" i="9"/>
  <c r="D36" i="9"/>
  <c r="D34" i="9"/>
  <c r="D32" i="9"/>
  <c r="D31" i="9"/>
  <c r="D30" i="9"/>
  <c r="AA28" i="9"/>
  <c r="D28" i="9"/>
  <c r="D27" i="9"/>
  <c r="D26" i="9"/>
  <c r="D24" i="9"/>
  <c r="AC23" i="9"/>
  <c r="AA23" i="9"/>
  <c r="Z23" i="9"/>
  <c r="D22" i="9"/>
  <c r="O21" i="9"/>
  <c r="G21" i="9"/>
  <c r="AC20" i="9"/>
  <c r="D20" i="9"/>
  <c r="P19" i="9"/>
  <c r="H19" i="9"/>
  <c r="D19" i="9"/>
  <c r="D18" i="9"/>
  <c r="P17" i="9"/>
  <c r="D17" i="9"/>
  <c r="D16" i="9"/>
  <c r="H15" i="9"/>
  <c r="D15" i="9"/>
  <c r="D14" i="9"/>
  <c r="P13" i="9"/>
  <c r="H13" i="9"/>
  <c r="D13" i="9"/>
  <c r="D12" i="9"/>
  <c r="P11" i="9"/>
  <c r="H11" i="9"/>
  <c r="D11" i="9"/>
  <c r="P10" i="9"/>
  <c r="D10" i="9"/>
  <c r="M7" i="9"/>
  <c r="V7" i="9" s="1"/>
  <c r="Y7" i="9" s="1"/>
  <c r="H7" i="9"/>
  <c r="W7" i="9" s="1"/>
  <c r="AB7" i="9" s="1"/>
  <c r="G7" i="9"/>
  <c r="O7" i="9" s="1"/>
  <c r="E7" i="9"/>
  <c r="AH4" i="9"/>
  <c r="P42" i="9" s="1"/>
  <c r="AH3" i="9"/>
  <c r="C46" i="9" s="1"/>
  <c r="G46" i="9" s="1"/>
  <c r="R46" i="8"/>
  <c r="O46" i="8"/>
  <c r="R42" i="8"/>
  <c r="K42" i="8"/>
  <c r="O42" i="8" s="1"/>
  <c r="J42" i="8"/>
  <c r="G42" i="8"/>
  <c r="R39" i="8"/>
  <c r="O39" i="8"/>
  <c r="M39" i="8"/>
  <c r="J39" i="8"/>
  <c r="G39" i="8"/>
  <c r="R38" i="8"/>
  <c r="O38" i="8"/>
  <c r="K38" i="8"/>
  <c r="J38" i="8"/>
  <c r="G38" i="8"/>
  <c r="P32" i="8"/>
  <c r="O32" i="8"/>
  <c r="M32" i="8"/>
  <c r="K32" i="8"/>
  <c r="K39" i="9" s="1"/>
  <c r="O39" i="9" s="1"/>
  <c r="H32" i="8"/>
  <c r="G32" i="8"/>
  <c r="E32" i="8"/>
  <c r="E32" i="9" s="1"/>
  <c r="C32" i="8"/>
  <c r="R31" i="8"/>
  <c r="O31" i="8"/>
  <c r="J31" i="8"/>
  <c r="G31" i="8"/>
  <c r="R30" i="8"/>
  <c r="O30" i="8"/>
  <c r="J30" i="8"/>
  <c r="G30" i="8"/>
  <c r="F30" i="8"/>
  <c r="AC28" i="8"/>
  <c r="AA28" i="8"/>
  <c r="Z28" i="8"/>
  <c r="Y28" i="8"/>
  <c r="Y28" i="9" s="1"/>
  <c r="Z28" i="9" s="1"/>
  <c r="P28" i="8"/>
  <c r="M28" i="8"/>
  <c r="M34" i="8" s="1"/>
  <c r="K28" i="8"/>
  <c r="O28" i="8" s="1"/>
  <c r="H28" i="8"/>
  <c r="E28" i="8"/>
  <c r="C28" i="8"/>
  <c r="AC27" i="8"/>
  <c r="Y27" i="8"/>
  <c r="Y27" i="9" s="1"/>
  <c r="X27" i="8"/>
  <c r="AA27" i="8" s="1"/>
  <c r="R27" i="8"/>
  <c r="O27" i="8"/>
  <c r="J27" i="8"/>
  <c r="G27" i="8"/>
  <c r="R26" i="8"/>
  <c r="O26" i="8"/>
  <c r="J26" i="8"/>
  <c r="G26" i="8"/>
  <c r="AA25" i="8"/>
  <c r="Y25" i="8"/>
  <c r="X25" i="8"/>
  <c r="AC23" i="8"/>
  <c r="AA23" i="8"/>
  <c r="Z23" i="8"/>
  <c r="R22" i="8"/>
  <c r="K22" i="8"/>
  <c r="O22" i="8" s="1"/>
  <c r="J22" i="8"/>
  <c r="G22" i="8"/>
  <c r="AC20" i="8"/>
  <c r="R20" i="8"/>
  <c r="P20" i="8"/>
  <c r="Q30" i="8" s="1"/>
  <c r="N20" i="8"/>
  <c r="M20" i="8"/>
  <c r="N32" i="8" s="1"/>
  <c r="K20" i="8"/>
  <c r="L10" i="8" s="1"/>
  <c r="J20" i="8"/>
  <c r="H20" i="8"/>
  <c r="I38" i="8" s="1"/>
  <c r="F20" i="8"/>
  <c r="E20" i="8"/>
  <c r="C20" i="8"/>
  <c r="D39" i="8" s="1"/>
  <c r="B19" i="8"/>
  <c r="AB17" i="8"/>
  <c r="W17" i="8"/>
  <c r="W19" i="8" s="1"/>
  <c r="W21" i="8" s="1"/>
  <c r="W30" i="8" s="1"/>
  <c r="V17" i="8"/>
  <c r="V19" i="8" s="1"/>
  <c r="V21" i="8" s="1"/>
  <c r="V30" i="8" s="1"/>
  <c r="U17" i="8"/>
  <c r="U19" i="8" s="1"/>
  <c r="B17" i="8"/>
  <c r="AA16" i="8"/>
  <c r="Z16" i="8"/>
  <c r="Y16" i="8"/>
  <c r="AC16" i="8" s="1"/>
  <c r="X16" i="8"/>
  <c r="X16" i="9" s="1"/>
  <c r="B16" i="8"/>
  <c r="AA15" i="8"/>
  <c r="Z15" i="8"/>
  <c r="Y15" i="8"/>
  <c r="AC15" i="8" s="1"/>
  <c r="X15" i="8"/>
  <c r="X15" i="9" s="1"/>
  <c r="R15" i="8"/>
  <c r="Q15" i="8"/>
  <c r="N15" i="8"/>
  <c r="J15" i="8"/>
  <c r="I15" i="8"/>
  <c r="G15" i="8"/>
  <c r="F15" i="8"/>
  <c r="B15" i="8"/>
  <c r="AC14" i="8"/>
  <c r="Y14" i="8"/>
  <c r="X14" i="8"/>
  <c r="AA14" i="8" s="1"/>
  <c r="R14" i="8"/>
  <c r="Q14" i="8"/>
  <c r="O14" i="8"/>
  <c r="N14" i="8"/>
  <c r="J14" i="8"/>
  <c r="G14" i="8"/>
  <c r="F14" i="8"/>
  <c r="B14" i="8"/>
  <c r="AC13" i="8"/>
  <c r="Y13" i="8"/>
  <c r="Y17" i="8" s="1"/>
  <c r="Y17" i="9" s="1"/>
  <c r="X13" i="8"/>
  <c r="R13" i="8"/>
  <c r="Q13" i="8"/>
  <c r="O13" i="8"/>
  <c r="N13" i="8"/>
  <c r="J13" i="8"/>
  <c r="I13" i="8"/>
  <c r="G13" i="8"/>
  <c r="F13" i="8"/>
  <c r="B13" i="8"/>
  <c r="R12" i="8"/>
  <c r="O12" i="8"/>
  <c r="N12" i="8"/>
  <c r="J12" i="8"/>
  <c r="I12" i="8"/>
  <c r="G12" i="8"/>
  <c r="F12" i="8"/>
  <c r="B12" i="8"/>
  <c r="AC11" i="8"/>
  <c r="Y11" i="8"/>
  <c r="Y11" i="9" s="1"/>
  <c r="X11" i="8"/>
  <c r="R11" i="8"/>
  <c r="Q11" i="8"/>
  <c r="O11" i="8"/>
  <c r="N11" i="8"/>
  <c r="J11" i="8"/>
  <c r="I11" i="8"/>
  <c r="G11" i="8"/>
  <c r="F11" i="8"/>
  <c r="D11" i="8"/>
  <c r="B11" i="8"/>
  <c r="AC10" i="8"/>
  <c r="AA10" i="8"/>
  <c r="Z10" i="8"/>
  <c r="R10" i="8"/>
  <c r="O10" i="8"/>
  <c r="N10" i="8"/>
  <c r="J10" i="8"/>
  <c r="I10" i="8"/>
  <c r="G10" i="8"/>
  <c r="F10" i="8"/>
  <c r="B10" i="8"/>
  <c r="W7" i="8"/>
  <c r="AB7" i="8" s="1"/>
  <c r="P7" i="8"/>
  <c r="M7" i="8"/>
  <c r="V7" i="8" s="1"/>
  <c r="Y7" i="8" s="1"/>
  <c r="W39" i="7"/>
  <c r="V39" i="7"/>
  <c r="Z28" i="7"/>
  <c r="AD28" i="7" s="1"/>
  <c r="Y28" i="7"/>
  <c r="AB28" i="7" s="1"/>
  <c r="AD27" i="7"/>
  <c r="Z27" i="7"/>
  <c r="AA27" i="7" s="1"/>
  <c r="Y27" i="7"/>
  <c r="AB27" i="7" s="1"/>
  <c r="AA25" i="7"/>
  <c r="Z25" i="7"/>
  <c r="AD25" i="7" s="1"/>
  <c r="Y25" i="7"/>
  <c r="AD23" i="7"/>
  <c r="AA23" i="7"/>
  <c r="Z23" i="7"/>
  <c r="Y23" i="7"/>
  <c r="AB23" i="7" s="1"/>
  <c r="B19" i="7"/>
  <c r="AC17" i="7"/>
  <c r="AC19" i="7" s="1"/>
  <c r="X17" i="7"/>
  <c r="X19" i="7" s="1"/>
  <c r="X21" i="7" s="1"/>
  <c r="X30" i="7" s="1"/>
  <c r="W17" i="7"/>
  <c r="W19" i="7" s="1"/>
  <c r="W21" i="7" s="1"/>
  <c r="W30" i="7" s="1"/>
  <c r="W38" i="7" s="1"/>
  <c r="V17" i="7"/>
  <c r="V19" i="7" s="1"/>
  <c r="V21" i="7" s="1"/>
  <c r="V30" i="7" s="1"/>
  <c r="R17" i="7"/>
  <c r="O17" i="7"/>
  <c r="K17" i="7"/>
  <c r="J17" i="7"/>
  <c r="G17" i="7"/>
  <c r="B17" i="7"/>
  <c r="Z16" i="7"/>
  <c r="AD16" i="7" s="1"/>
  <c r="Y16" i="7"/>
  <c r="R16" i="7"/>
  <c r="K16" i="7"/>
  <c r="B16" i="7"/>
  <c r="Z15" i="7"/>
  <c r="AD15" i="7" s="1"/>
  <c r="Y15" i="7"/>
  <c r="AB15" i="7" s="1"/>
  <c r="B15" i="7"/>
  <c r="AD14" i="7"/>
  <c r="Z14" i="7"/>
  <c r="Y14" i="7"/>
  <c r="AB14" i="7" s="1"/>
  <c r="R14" i="7"/>
  <c r="B14" i="7"/>
  <c r="Z13" i="7"/>
  <c r="Z17" i="7" s="1"/>
  <c r="Y13" i="7"/>
  <c r="Y17" i="7" s="1"/>
  <c r="B13" i="7"/>
  <c r="B12" i="7"/>
  <c r="Z11" i="7"/>
  <c r="AD11" i="7" s="1"/>
  <c r="Y11" i="7"/>
  <c r="AB11" i="7" s="1"/>
  <c r="B11" i="7"/>
  <c r="AD10" i="7"/>
  <c r="AB10" i="7"/>
  <c r="AA10" i="7"/>
  <c r="B10" i="7"/>
  <c r="V7" i="7"/>
  <c r="Y7" i="7" s="1"/>
  <c r="H7" i="7"/>
  <c r="P7" i="7" s="1"/>
  <c r="E7" i="7"/>
  <c r="M7" i="7" s="1"/>
  <c r="W7" i="7" s="1"/>
  <c r="Z7" i="7" s="1"/>
  <c r="C7" i="7"/>
  <c r="K7" i="7" s="1"/>
  <c r="U3" i="7"/>
  <c r="AE20" i="6"/>
  <c r="B19" i="6"/>
  <c r="B17" i="6"/>
  <c r="B16" i="6"/>
  <c r="B15" i="6"/>
  <c r="B14" i="6"/>
  <c r="B13" i="6"/>
  <c r="B12" i="6"/>
  <c r="B11" i="6"/>
  <c r="AD10" i="6"/>
  <c r="Z10" i="6"/>
  <c r="Y10" i="6"/>
  <c r="X10" i="6"/>
  <c r="B10" i="6"/>
  <c r="M7" i="6"/>
  <c r="X7" i="6" s="1"/>
  <c r="AA7" i="6" s="1"/>
  <c r="H7" i="6"/>
  <c r="Y7" i="6" s="1"/>
  <c r="AD7" i="6" s="1"/>
  <c r="E7" i="6"/>
  <c r="C7" i="6"/>
  <c r="AI5" i="6"/>
  <c r="AJ5" i="6" s="1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K32" i="5"/>
  <c r="C32" i="5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R14" i="5" s="1"/>
  <c r="O14" i="5"/>
  <c r="J14" i="5"/>
  <c r="G14" i="5"/>
  <c r="B14" i="5"/>
  <c r="B13" i="5"/>
  <c r="P12" i="5"/>
  <c r="R12" i="5" s="1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A8" i="5"/>
  <c r="P7" i="5"/>
  <c r="H7" i="5"/>
  <c r="E7" i="5"/>
  <c r="M7" i="5" s="1"/>
  <c r="C7" i="5"/>
  <c r="K7" i="5" s="1"/>
  <c r="A7" i="5"/>
  <c r="A6" i="5"/>
  <c r="A5" i="5"/>
  <c r="AC20" i="4"/>
  <c r="AC10" i="4"/>
  <c r="AA10" i="4"/>
  <c r="Z10" i="4"/>
  <c r="AB7" i="4"/>
  <c r="W7" i="4"/>
  <c r="U7" i="4"/>
  <c r="X7" i="4" s="1"/>
  <c r="P7" i="4"/>
  <c r="N7" i="4"/>
  <c r="V7" i="4" s="1"/>
  <c r="Y7" i="4" s="1"/>
  <c r="L7" i="4"/>
  <c r="B6" i="4"/>
  <c r="B6" i="5" s="1"/>
  <c r="T3" i="4"/>
  <c r="AC20" i="3"/>
  <c r="B19" i="3"/>
  <c r="B18" i="3"/>
  <c r="B18" i="7" s="1"/>
  <c r="B17" i="3"/>
  <c r="B16" i="3"/>
  <c r="B15" i="3"/>
  <c r="B14" i="3"/>
  <c r="B13" i="3"/>
  <c r="B12" i="3"/>
  <c r="B11" i="3"/>
  <c r="AB10" i="3"/>
  <c r="Y10" i="3"/>
  <c r="AA10" i="6" s="1"/>
  <c r="X10" i="3"/>
  <c r="W10" i="3"/>
  <c r="AC10" i="3" s="1"/>
  <c r="V10" i="3"/>
  <c r="U10" i="3"/>
  <c r="W10" i="6" s="1"/>
  <c r="B10" i="3"/>
  <c r="M7" i="3"/>
  <c r="V7" i="3" s="1"/>
  <c r="Y7" i="3" s="1"/>
  <c r="H7" i="3"/>
  <c r="W7" i="3" s="1"/>
  <c r="AB7" i="3" s="1"/>
  <c r="E7" i="3"/>
  <c r="C7" i="3"/>
  <c r="U7" i="3" s="1"/>
  <c r="X7" i="3" s="1"/>
  <c r="B6" i="3"/>
  <c r="T3" i="3"/>
  <c r="C9" i="2"/>
  <c r="B9" i="2"/>
  <c r="A8" i="2" a="1"/>
  <c r="A8" i="2" s="1"/>
  <c r="B5" i="2"/>
  <c r="Y11" i="6" l="1"/>
  <c r="W11" i="3"/>
  <c r="P22" i="3"/>
  <c r="P22" i="6" s="1"/>
  <c r="W28" i="3"/>
  <c r="Y28" i="6"/>
  <c r="K46" i="3"/>
  <c r="K46" i="6" s="1"/>
  <c r="X11" i="3"/>
  <c r="Z11" i="6"/>
  <c r="E12" i="3"/>
  <c r="E12" i="6" s="1"/>
  <c r="M12" i="3"/>
  <c r="M12" i="6" s="1"/>
  <c r="E13" i="3"/>
  <c r="E13" i="6" s="1"/>
  <c r="M13" i="3"/>
  <c r="M13" i="6" s="1"/>
  <c r="W13" i="3"/>
  <c r="Y13" i="6"/>
  <c r="X14" i="6"/>
  <c r="V14" i="3"/>
  <c r="C15" i="3"/>
  <c r="C15" i="6" s="1"/>
  <c r="K15" i="3"/>
  <c r="K15" i="6" s="1"/>
  <c r="W15" i="6"/>
  <c r="U15" i="3"/>
  <c r="K16" i="3"/>
  <c r="W16" i="6"/>
  <c r="U16" i="3"/>
  <c r="AA27" i="6"/>
  <c r="Y27" i="3"/>
  <c r="Z28" i="6"/>
  <c r="X28" i="3"/>
  <c r="E30" i="3"/>
  <c r="E30" i="6" s="1"/>
  <c r="M30" i="3"/>
  <c r="P10" i="3"/>
  <c r="P10" i="6" s="1"/>
  <c r="AB15" i="3"/>
  <c r="AD15" i="6"/>
  <c r="Y25" i="3"/>
  <c r="AA25" i="6"/>
  <c r="C38" i="3"/>
  <c r="C38" i="6" s="1"/>
  <c r="C46" i="3"/>
  <c r="C46" i="6" s="1"/>
  <c r="Y11" i="3"/>
  <c r="Z11" i="3" s="1"/>
  <c r="AA11" i="6"/>
  <c r="X13" i="3"/>
  <c r="Z13" i="6"/>
  <c r="E14" i="3"/>
  <c r="E14" i="6" s="1"/>
  <c r="M14" i="3"/>
  <c r="M14" i="6" s="1"/>
  <c r="W14" i="3"/>
  <c r="Y14" i="6"/>
  <c r="X15" i="6"/>
  <c r="V15" i="3"/>
  <c r="C16" i="3"/>
  <c r="X16" i="6"/>
  <c r="V16" i="3"/>
  <c r="C17" i="3"/>
  <c r="K17" i="3"/>
  <c r="K19" i="3"/>
  <c r="AD23" i="6"/>
  <c r="AB23" i="3"/>
  <c r="H26" i="3"/>
  <c r="P26" i="3"/>
  <c r="H27" i="3"/>
  <c r="P27" i="3"/>
  <c r="AA28" i="6"/>
  <c r="Y28" i="3"/>
  <c r="Z28" i="3" s="1"/>
  <c r="E31" i="3"/>
  <c r="E32" i="6" s="1"/>
  <c r="M31" i="3"/>
  <c r="M32" i="6" s="1"/>
  <c r="E38" i="3"/>
  <c r="E38" i="6" s="1"/>
  <c r="M38" i="3"/>
  <c r="M38" i="6" s="1"/>
  <c r="E39" i="3"/>
  <c r="E39" i="6" s="1"/>
  <c r="M39" i="3"/>
  <c r="M39" i="6" s="1"/>
  <c r="E42" i="3"/>
  <c r="E42" i="6" s="1"/>
  <c r="M42" i="3"/>
  <c r="M42" i="6" s="1"/>
  <c r="E46" i="3"/>
  <c r="E46" i="6" s="1"/>
  <c r="M46" i="3"/>
  <c r="M46" i="6" s="1"/>
  <c r="E11" i="3"/>
  <c r="E11" i="6" s="1"/>
  <c r="W14" i="6"/>
  <c r="W11" i="11" s="1"/>
  <c r="U14" i="3"/>
  <c r="C31" i="3"/>
  <c r="C32" i="6" s="1"/>
  <c r="K38" i="3"/>
  <c r="K38" i="6" s="1"/>
  <c r="C10" i="3"/>
  <c r="C10" i="6" s="1"/>
  <c r="K10" i="3"/>
  <c r="K10" i="6" s="1"/>
  <c r="H11" i="3"/>
  <c r="P11" i="3"/>
  <c r="AA13" i="6"/>
  <c r="Y13" i="3"/>
  <c r="Z14" i="6"/>
  <c r="X14" i="3"/>
  <c r="E15" i="3"/>
  <c r="E15" i="6" s="1"/>
  <c r="M15" i="3"/>
  <c r="M15" i="6" s="1"/>
  <c r="Y15" i="6"/>
  <c r="W15" i="3"/>
  <c r="E16" i="3"/>
  <c r="E16" i="6" s="1"/>
  <c r="M16" i="3"/>
  <c r="M16" i="6" s="1"/>
  <c r="Y16" i="6"/>
  <c r="W16" i="3"/>
  <c r="C18" i="3"/>
  <c r="K18" i="3"/>
  <c r="K18" i="6" s="1"/>
  <c r="C19" i="3"/>
  <c r="C22" i="3"/>
  <c r="C22" i="6" s="1"/>
  <c r="K22" i="3"/>
  <c r="K22" i="6" s="1"/>
  <c r="W23" i="6"/>
  <c r="U23" i="3"/>
  <c r="AD25" i="6"/>
  <c r="AB25" i="3"/>
  <c r="C14" i="3"/>
  <c r="P18" i="3"/>
  <c r="P18" i="6" s="1"/>
  <c r="C39" i="3"/>
  <c r="C39" i="6" s="1"/>
  <c r="H12" i="3"/>
  <c r="H12" i="6" s="1"/>
  <c r="P12" i="3"/>
  <c r="P12" i="6" s="1"/>
  <c r="H13" i="3"/>
  <c r="P13" i="3"/>
  <c r="AA14" i="6"/>
  <c r="Y14" i="3"/>
  <c r="Z15" i="6"/>
  <c r="X15" i="3"/>
  <c r="Z16" i="6"/>
  <c r="X16" i="3"/>
  <c r="E17" i="3"/>
  <c r="E17" i="6" s="1"/>
  <c r="M17" i="3"/>
  <c r="M17" i="6" s="1"/>
  <c r="M19" i="3"/>
  <c r="X23" i="6"/>
  <c r="V23" i="3"/>
  <c r="W25" i="6"/>
  <c r="U25" i="3"/>
  <c r="AD27" i="6"/>
  <c r="AB27" i="3"/>
  <c r="H30" i="3"/>
  <c r="P30" i="3"/>
  <c r="H10" i="3"/>
  <c r="H10" i="6" s="1"/>
  <c r="K14" i="3"/>
  <c r="H19" i="3"/>
  <c r="Z27" i="6"/>
  <c r="X27" i="3"/>
  <c r="AA27" i="3" s="1"/>
  <c r="K39" i="3"/>
  <c r="K39" i="6" s="1"/>
  <c r="E10" i="3"/>
  <c r="M10" i="3"/>
  <c r="AD11" i="6"/>
  <c r="AB11" i="3"/>
  <c r="H14" i="3"/>
  <c r="P14" i="3"/>
  <c r="Y15" i="3"/>
  <c r="AA15" i="3" s="1"/>
  <c r="AA15" i="6"/>
  <c r="AA16" i="6"/>
  <c r="Y16" i="3"/>
  <c r="E18" i="3"/>
  <c r="E18" i="6" s="1"/>
  <c r="M18" i="3"/>
  <c r="M18" i="6" s="1"/>
  <c r="E19" i="3"/>
  <c r="E22" i="3"/>
  <c r="M22" i="3"/>
  <c r="Y23" i="6"/>
  <c r="W23" i="3"/>
  <c r="X25" i="6"/>
  <c r="V25" i="3"/>
  <c r="C26" i="3"/>
  <c r="K26" i="3"/>
  <c r="C27" i="3"/>
  <c r="K27" i="3"/>
  <c r="W27" i="6"/>
  <c r="W21" i="11" s="1"/>
  <c r="U27" i="3"/>
  <c r="AD28" i="6"/>
  <c r="AB28" i="3"/>
  <c r="AC28" i="3" s="1"/>
  <c r="H31" i="3"/>
  <c r="P31" i="3"/>
  <c r="H38" i="3"/>
  <c r="P38" i="3"/>
  <c r="H39" i="3"/>
  <c r="P39" i="3"/>
  <c r="H42" i="3"/>
  <c r="P42" i="3"/>
  <c r="H46" i="3"/>
  <c r="P46" i="3"/>
  <c r="X13" i="6"/>
  <c r="V13" i="3"/>
  <c r="H18" i="3"/>
  <c r="K31" i="3"/>
  <c r="K32" i="6" s="1"/>
  <c r="C42" i="3"/>
  <c r="C42" i="6" s="1"/>
  <c r="C11" i="3"/>
  <c r="K11" i="3"/>
  <c r="W11" i="6"/>
  <c r="U11" i="3"/>
  <c r="AD13" i="6"/>
  <c r="AB13" i="3"/>
  <c r="H15" i="3"/>
  <c r="P15" i="3"/>
  <c r="H16" i="3"/>
  <c r="P16" i="3"/>
  <c r="P19" i="3"/>
  <c r="R19" i="3" s="1"/>
  <c r="Z23" i="6"/>
  <c r="X23" i="3"/>
  <c r="Y25" i="6"/>
  <c r="W25" i="3"/>
  <c r="X27" i="6"/>
  <c r="V27" i="3"/>
  <c r="W28" i="6"/>
  <c r="U28" i="3"/>
  <c r="M11" i="3"/>
  <c r="M11" i="6" s="1"/>
  <c r="AD16" i="6"/>
  <c r="AB16" i="3"/>
  <c r="AC16" i="3" s="1"/>
  <c r="H22" i="3"/>
  <c r="H22" i="6" s="1"/>
  <c r="K42" i="3"/>
  <c r="K42" i="6" s="1"/>
  <c r="X11" i="6"/>
  <c r="V11" i="3"/>
  <c r="C12" i="3"/>
  <c r="K12" i="3"/>
  <c r="C13" i="3"/>
  <c r="K13" i="3"/>
  <c r="W13" i="6"/>
  <c r="U13" i="3"/>
  <c r="AD14" i="6"/>
  <c r="AB14" i="3"/>
  <c r="AC14" i="3" s="1"/>
  <c r="H17" i="3"/>
  <c r="P17" i="3"/>
  <c r="AA23" i="6"/>
  <c r="Y23" i="3"/>
  <c r="Z23" i="3" s="1"/>
  <c r="X25" i="3"/>
  <c r="Z25" i="6"/>
  <c r="E26" i="3"/>
  <c r="M26" i="3"/>
  <c r="E27" i="3"/>
  <c r="E27" i="6" s="1"/>
  <c r="M27" i="3"/>
  <c r="M27" i="6" s="1"/>
  <c r="Y27" i="6"/>
  <c r="W27" i="3"/>
  <c r="X28" i="6"/>
  <c r="V28" i="3"/>
  <c r="C30" i="3"/>
  <c r="K30" i="3"/>
  <c r="C438" i="12"/>
  <c r="AC10" i="6"/>
  <c r="AB8" i="11"/>
  <c r="AK8" i="11"/>
  <c r="T6" i="4"/>
  <c r="B6" i="10"/>
  <c r="T6" i="10" s="1"/>
  <c r="B6" i="6"/>
  <c r="V6" i="6" s="1"/>
  <c r="B18" i="6"/>
  <c r="AA16" i="9"/>
  <c r="AB17" i="9"/>
  <c r="AC17" i="9" s="1"/>
  <c r="AB19" i="8"/>
  <c r="T6" i="3"/>
  <c r="B6" i="11"/>
  <c r="B6" i="7"/>
  <c r="U6" i="7" s="1"/>
  <c r="B6" i="8"/>
  <c r="K7" i="6"/>
  <c r="W7" i="6"/>
  <c r="Z7" i="6" s="1"/>
  <c r="AH8" i="11"/>
  <c r="Y8" i="11"/>
  <c r="K7" i="3"/>
  <c r="C7" i="8"/>
  <c r="AA10" i="3"/>
  <c r="Y19" i="9"/>
  <c r="AA15" i="9"/>
  <c r="Z10" i="3"/>
  <c r="P7" i="3"/>
  <c r="P7" i="6"/>
  <c r="AA8" i="11"/>
  <c r="AJ8" i="11"/>
  <c r="U21" i="8"/>
  <c r="U19" i="9"/>
  <c r="D10" i="8"/>
  <c r="Q10" i="8"/>
  <c r="I14" i="8"/>
  <c r="Z14" i="8"/>
  <c r="L15" i="8"/>
  <c r="D17" i="8"/>
  <c r="L18" i="8"/>
  <c r="F32" i="8"/>
  <c r="E20" i="9"/>
  <c r="F22" i="8"/>
  <c r="N26" i="8"/>
  <c r="J28" i="8"/>
  <c r="H28" i="9"/>
  <c r="N31" i="8"/>
  <c r="F39" i="8"/>
  <c r="AB10" i="9"/>
  <c r="K11" i="9"/>
  <c r="O11" i="9" s="1"/>
  <c r="V11" i="9"/>
  <c r="H12" i="9"/>
  <c r="E13" i="9"/>
  <c r="J13" i="9" s="1"/>
  <c r="V13" i="9"/>
  <c r="H14" i="9"/>
  <c r="U14" i="9"/>
  <c r="E15" i="9"/>
  <c r="U15" i="9"/>
  <c r="E16" i="9"/>
  <c r="P16" i="9"/>
  <c r="C17" i="9"/>
  <c r="G17" i="9" s="1"/>
  <c r="M21" i="9"/>
  <c r="R21" i="9" s="1"/>
  <c r="E23" i="9"/>
  <c r="K24" i="9"/>
  <c r="O24" i="9" s="1"/>
  <c r="C26" i="9"/>
  <c r="G26" i="9" s="1"/>
  <c r="E29" i="9"/>
  <c r="K32" i="9"/>
  <c r="O32" i="9" s="1"/>
  <c r="C41" i="9"/>
  <c r="G41" i="9" s="1"/>
  <c r="P46" i="9"/>
  <c r="L12" i="8"/>
  <c r="AA13" i="8"/>
  <c r="X13" i="9"/>
  <c r="D16" i="8"/>
  <c r="L17" i="8"/>
  <c r="D24" i="8"/>
  <c r="E10" i="9"/>
  <c r="C11" i="9"/>
  <c r="G11" i="9" s="1"/>
  <c r="W11" i="9"/>
  <c r="K12" i="9"/>
  <c r="O12" i="9" s="1"/>
  <c r="W13" i="9"/>
  <c r="W14" i="9"/>
  <c r="W15" i="9"/>
  <c r="C18" i="9"/>
  <c r="G18" i="9" s="1"/>
  <c r="M18" i="9"/>
  <c r="R18" i="9" s="1"/>
  <c r="W19" i="9"/>
  <c r="H23" i="9"/>
  <c r="H27" i="9"/>
  <c r="H29" i="9"/>
  <c r="M32" i="9"/>
  <c r="P35" i="9"/>
  <c r="E38" i="9"/>
  <c r="L14" i="8"/>
  <c r="L16" i="8"/>
  <c r="D19" i="8"/>
  <c r="G20" i="8"/>
  <c r="O20" i="8"/>
  <c r="L24" i="8"/>
  <c r="L28" i="8"/>
  <c r="R32" i="8"/>
  <c r="P32" i="9"/>
  <c r="L42" i="8"/>
  <c r="M11" i="9"/>
  <c r="X11" i="9"/>
  <c r="AA11" i="9" s="1"/>
  <c r="Y13" i="9"/>
  <c r="X14" i="9"/>
  <c r="U16" i="9"/>
  <c r="P18" i="9"/>
  <c r="M20" i="9"/>
  <c r="W21" i="9"/>
  <c r="U23" i="9"/>
  <c r="U24" i="9"/>
  <c r="U29" i="9"/>
  <c r="E31" i="9"/>
  <c r="E31" i="11" s="1"/>
  <c r="E33" i="9"/>
  <c r="C36" i="9"/>
  <c r="H44" i="9"/>
  <c r="AA14" i="7"/>
  <c r="AB25" i="7"/>
  <c r="L11" i="8"/>
  <c r="D15" i="8"/>
  <c r="L19" i="8"/>
  <c r="X25" i="9"/>
  <c r="AA25" i="9" s="1"/>
  <c r="D27" i="8"/>
  <c r="Z27" i="8"/>
  <c r="N34" i="8"/>
  <c r="M34" i="9"/>
  <c r="C39" i="9"/>
  <c r="G39" i="9" s="1"/>
  <c r="M39" i="9"/>
  <c r="U10" i="9"/>
  <c r="E11" i="9"/>
  <c r="M12" i="9"/>
  <c r="K13" i="9"/>
  <c r="O13" i="9" s="1"/>
  <c r="Y14" i="9"/>
  <c r="K15" i="9"/>
  <c r="O15" i="9" s="1"/>
  <c r="Y15" i="9"/>
  <c r="Z15" i="9" s="1"/>
  <c r="V16" i="9"/>
  <c r="U17" i="9"/>
  <c r="E18" i="9"/>
  <c r="K19" i="9"/>
  <c r="P20" i="9"/>
  <c r="Q10" i="9" s="1"/>
  <c r="E25" i="9"/>
  <c r="H26" i="9"/>
  <c r="M28" i="9"/>
  <c r="C30" i="9"/>
  <c r="G30" i="9" s="1"/>
  <c r="H31" i="9"/>
  <c r="H31" i="11" s="1"/>
  <c r="H33" i="9"/>
  <c r="M38" i="9"/>
  <c r="X8" i="11"/>
  <c r="AE8" i="11" s="1"/>
  <c r="AG8" i="11"/>
  <c r="AB16" i="7"/>
  <c r="D12" i="8"/>
  <c r="Q12" i="8"/>
  <c r="L13" i="8"/>
  <c r="I20" i="8"/>
  <c r="Q20" i="8"/>
  <c r="Q22" i="8"/>
  <c r="Z25" i="8"/>
  <c r="R28" i="8"/>
  <c r="P28" i="9"/>
  <c r="H10" i="9"/>
  <c r="V10" i="9"/>
  <c r="AB11" i="9"/>
  <c r="P12" i="9"/>
  <c r="Q12" i="9" s="1"/>
  <c r="AB13" i="9"/>
  <c r="AC13" i="9" s="1"/>
  <c r="M14" i="9"/>
  <c r="AB14" i="9"/>
  <c r="AC14" i="9" s="1"/>
  <c r="H17" i="9"/>
  <c r="V17" i="9"/>
  <c r="C20" i="9"/>
  <c r="G20" i="9" s="1"/>
  <c r="P25" i="9"/>
  <c r="X27" i="9"/>
  <c r="AA27" i="9" s="1"/>
  <c r="M31" i="9"/>
  <c r="M31" i="11" s="1"/>
  <c r="C34" i="9"/>
  <c r="G34" i="9" s="1"/>
  <c r="AB17" i="7"/>
  <c r="D14" i="8"/>
  <c r="X17" i="8"/>
  <c r="X19" i="8" s="1"/>
  <c r="G28" i="8"/>
  <c r="C32" i="9"/>
  <c r="G32" i="9" s="1"/>
  <c r="Q39" i="8"/>
  <c r="K10" i="9"/>
  <c r="O10" i="9" s="1"/>
  <c r="W10" i="9"/>
  <c r="C12" i="9"/>
  <c r="G12" i="9" s="1"/>
  <c r="U12" i="9"/>
  <c r="M13" i="9"/>
  <c r="R13" i="9" s="1"/>
  <c r="C14" i="9"/>
  <c r="G14" i="9" s="1"/>
  <c r="M15" i="9"/>
  <c r="AB15" i="9"/>
  <c r="AC15" i="9" s="1"/>
  <c r="K16" i="9"/>
  <c r="O16" i="9" s="1"/>
  <c r="Y16" i="9"/>
  <c r="Z16" i="9" s="1"/>
  <c r="W17" i="9"/>
  <c r="H18" i="9"/>
  <c r="C19" i="9"/>
  <c r="M19" i="9"/>
  <c r="E22" i="9"/>
  <c r="J22" i="9" s="1"/>
  <c r="U25" i="9"/>
  <c r="U28" i="9"/>
  <c r="H30" i="9"/>
  <c r="P31" i="9"/>
  <c r="P31" i="11" s="1"/>
  <c r="E39" i="9"/>
  <c r="H42" i="9"/>
  <c r="L31" i="8"/>
  <c r="K20" i="9"/>
  <c r="D28" i="8"/>
  <c r="J32" i="8"/>
  <c r="H32" i="9"/>
  <c r="J32" i="9" s="1"/>
  <c r="E46" i="9"/>
  <c r="C43" i="9"/>
  <c r="C38" i="9"/>
  <c r="G38" i="9" s="1"/>
  <c r="K36" i="9"/>
  <c r="C31" i="9"/>
  <c r="G31" i="9" s="1"/>
  <c r="E26" i="9"/>
  <c r="W25" i="9"/>
  <c r="E35" i="9"/>
  <c r="K43" i="9"/>
  <c r="O43" i="9" s="1"/>
  <c r="M42" i="9"/>
  <c r="K38" i="9"/>
  <c r="O38" i="9" s="1"/>
  <c r="K31" i="9"/>
  <c r="O31" i="9" s="1"/>
  <c r="M30" i="9"/>
  <c r="U27" i="9"/>
  <c r="M26" i="9"/>
  <c r="AB25" i="9"/>
  <c r="M25" i="9"/>
  <c r="K22" i="9"/>
  <c r="O22" i="9" s="1"/>
  <c r="M17" i="9"/>
  <c r="R17" i="9" s="1"/>
  <c r="E17" i="9"/>
  <c r="W16" i="9"/>
  <c r="V15" i="9"/>
  <c r="M46" i="9"/>
  <c r="R46" i="9" s="1"/>
  <c r="M40" i="9"/>
  <c r="E37" i="9"/>
  <c r="M33" i="9"/>
  <c r="M29" i="9"/>
  <c r="E27" i="9"/>
  <c r="K26" i="9"/>
  <c r="O26" i="9" s="1"/>
  <c r="M23" i="9"/>
  <c r="U20" i="9"/>
  <c r="K46" i="9"/>
  <c r="O46" i="9" s="1"/>
  <c r="M44" i="9"/>
  <c r="K41" i="9"/>
  <c r="O41" i="9" s="1"/>
  <c r="E44" i="9"/>
  <c r="E42" i="9"/>
  <c r="M35" i="9"/>
  <c r="E30" i="9"/>
  <c r="J30" i="9" s="1"/>
  <c r="AB28" i="9"/>
  <c r="AC28" i="9" s="1"/>
  <c r="K28" i="9"/>
  <c r="O28" i="9" s="1"/>
  <c r="M27" i="9"/>
  <c r="U26" i="9"/>
  <c r="U22" i="9"/>
  <c r="C22" i="9"/>
  <c r="G22" i="9" s="1"/>
  <c r="U18" i="9"/>
  <c r="V14" i="9"/>
  <c r="K14" i="9"/>
  <c r="O14" i="9" s="1"/>
  <c r="X10" i="9"/>
  <c r="C13" i="9"/>
  <c r="G13" i="9" s="1"/>
  <c r="C15" i="9"/>
  <c r="G15" i="9" s="1"/>
  <c r="C16" i="9"/>
  <c r="G16" i="9" s="1"/>
  <c r="M16" i="9"/>
  <c r="R16" i="9" s="1"/>
  <c r="K17" i="9"/>
  <c r="O17" i="9" s="1"/>
  <c r="P19" i="11"/>
  <c r="E21" i="9"/>
  <c r="C24" i="9"/>
  <c r="G24" i="9" s="1"/>
  <c r="Y25" i="9"/>
  <c r="Z25" i="9" s="1"/>
  <c r="AB27" i="9"/>
  <c r="K30" i="9"/>
  <c r="O30" i="9" s="1"/>
  <c r="D13" i="8"/>
  <c r="D18" i="8"/>
  <c r="D20" i="8"/>
  <c r="L20" i="8"/>
  <c r="D22" i="8"/>
  <c r="Q27" i="8"/>
  <c r="E34" i="8"/>
  <c r="E28" i="9"/>
  <c r="AH9" i="9"/>
  <c r="P38" i="9"/>
  <c r="H35" i="9"/>
  <c r="P26" i="9"/>
  <c r="P22" i="9"/>
  <c r="H21" i="9"/>
  <c r="P37" i="9"/>
  <c r="P45" i="9"/>
  <c r="P40" i="9"/>
  <c r="H39" i="9"/>
  <c r="H37" i="9"/>
  <c r="P33" i="9"/>
  <c r="P29" i="9"/>
  <c r="P23" i="9"/>
  <c r="P14" i="9"/>
  <c r="P44" i="9"/>
  <c r="H38" i="9"/>
  <c r="P27" i="9"/>
  <c r="H25" i="9"/>
  <c r="H22" i="9"/>
  <c r="P21" i="9"/>
  <c r="H40" i="9"/>
  <c r="P47" i="9"/>
  <c r="H45" i="9"/>
  <c r="P39" i="9"/>
  <c r="H16" i="9"/>
  <c r="P15" i="9"/>
  <c r="C10" i="9"/>
  <c r="G10" i="9" s="1"/>
  <c r="M10" i="9"/>
  <c r="Y10" i="9"/>
  <c r="U11" i="9"/>
  <c r="E12" i="9"/>
  <c r="J12" i="9" s="1"/>
  <c r="U13" i="9"/>
  <c r="E14" i="9"/>
  <c r="AB16" i="9"/>
  <c r="AC16" i="9" s="1"/>
  <c r="K18" i="9"/>
  <c r="O18" i="9" s="1"/>
  <c r="E19" i="9"/>
  <c r="H20" i="9"/>
  <c r="M22" i="9"/>
  <c r="R22" i="9" s="1"/>
  <c r="C28" i="9"/>
  <c r="G28" i="9" s="1"/>
  <c r="P30" i="9"/>
  <c r="K34" i="9"/>
  <c r="O34" i="9" s="1"/>
  <c r="M37" i="9"/>
  <c r="E40" i="9"/>
  <c r="H46" i="9"/>
  <c r="Z25" i="10"/>
  <c r="G26" i="10"/>
  <c r="Z27" i="10"/>
  <c r="E20" i="10"/>
  <c r="C10" i="10"/>
  <c r="I10" i="10"/>
  <c r="K10" i="10"/>
  <c r="M20" i="10"/>
  <c r="K19" i="10"/>
  <c r="K24" i="10" s="1"/>
  <c r="M24" i="10"/>
  <c r="J31" i="10"/>
  <c r="H32" i="10"/>
  <c r="J32" i="10" s="1"/>
  <c r="R31" i="10"/>
  <c r="P32" i="10"/>
  <c r="J38" i="10"/>
  <c r="R38" i="10"/>
  <c r="J39" i="10"/>
  <c r="R39" i="10"/>
  <c r="AC10" i="10"/>
  <c r="Z10" i="10"/>
  <c r="X10" i="10"/>
  <c r="Z8" i="11" s="1"/>
  <c r="AD8" i="11" s="1"/>
  <c r="V19" i="10"/>
  <c r="U11" i="10"/>
  <c r="C19" i="10"/>
  <c r="I19" i="10"/>
  <c r="E24" i="10"/>
  <c r="AC28" i="10"/>
  <c r="Z28" i="10"/>
  <c r="X28" i="10"/>
  <c r="AA28" i="10" s="1"/>
  <c r="P24" i="10"/>
  <c r="R19" i="10"/>
  <c r="R10" i="10"/>
  <c r="P20" i="10"/>
  <c r="Q38" i="10" s="1"/>
  <c r="AC11" i="10"/>
  <c r="Z11" i="10"/>
  <c r="X11" i="10"/>
  <c r="Y19" i="10"/>
  <c r="U16" i="10"/>
  <c r="U17" i="10" s="1"/>
  <c r="V17" i="10"/>
  <c r="H24" i="10"/>
  <c r="E32" i="10"/>
  <c r="I32" i="10" s="1"/>
  <c r="C31" i="10"/>
  <c r="G31" i="10" s="1"/>
  <c r="I31" i="10"/>
  <c r="M32" i="10"/>
  <c r="M34" i="10" s="1"/>
  <c r="C39" i="10"/>
  <c r="G39" i="10" s="1"/>
  <c r="I39" i="10"/>
  <c r="X16" i="10"/>
  <c r="Y17" i="10"/>
  <c r="AC16" i="10"/>
  <c r="U10" i="10"/>
  <c r="V21" i="10"/>
  <c r="V30" i="10" s="1"/>
  <c r="W40" i="7" s="1"/>
  <c r="U28" i="10"/>
  <c r="E34" i="10"/>
  <c r="I34" i="10" s="1"/>
  <c r="G28" i="10"/>
  <c r="Q28" i="10"/>
  <c r="AA23" i="10"/>
  <c r="AA25" i="10"/>
  <c r="K36" i="10"/>
  <c r="N59" i="7" s="1"/>
  <c r="W7" i="10"/>
  <c r="AB7" i="10" s="1"/>
  <c r="G30" i="10"/>
  <c r="H34" i="10"/>
  <c r="J34" i="10" s="1"/>
  <c r="Y21" i="9"/>
  <c r="N34" i="9"/>
  <c r="F38" i="9"/>
  <c r="N38" i="9"/>
  <c r="F39" i="9"/>
  <c r="N39" i="9"/>
  <c r="AI7" i="9"/>
  <c r="AI8" i="9" s="1"/>
  <c r="Z10" i="9"/>
  <c r="F12" i="9"/>
  <c r="N12" i="9"/>
  <c r="J20" i="9"/>
  <c r="R20" i="9"/>
  <c r="F22" i="9"/>
  <c r="N22" i="9"/>
  <c r="L31" i="9"/>
  <c r="L32" i="9"/>
  <c r="L36" i="9"/>
  <c r="L41" i="9"/>
  <c r="L42" i="9"/>
  <c r="L43" i="9"/>
  <c r="P7" i="9"/>
  <c r="Z11" i="9"/>
  <c r="F13" i="9"/>
  <c r="N13" i="9"/>
  <c r="I26" i="9"/>
  <c r="Q26" i="9"/>
  <c r="I28" i="9"/>
  <c r="Q28" i="9"/>
  <c r="F30" i="9"/>
  <c r="N30" i="9"/>
  <c r="I38" i="9"/>
  <c r="Q38" i="9"/>
  <c r="I39" i="9"/>
  <c r="Q39" i="9"/>
  <c r="I45" i="9"/>
  <c r="Q45" i="9"/>
  <c r="I46" i="9"/>
  <c r="Q46" i="9"/>
  <c r="Q21" i="9"/>
  <c r="I27" i="9"/>
  <c r="Q27" i="9"/>
  <c r="I22" i="9"/>
  <c r="Q22" i="9"/>
  <c r="AC11" i="9"/>
  <c r="L26" i="9"/>
  <c r="L28" i="9"/>
  <c r="I30" i="9"/>
  <c r="Q30" i="9"/>
  <c r="L34" i="9"/>
  <c r="L38" i="9"/>
  <c r="L39" i="9"/>
  <c r="L45" i="9"/>
  <c r="L46" i="9"/>
  <c r="I31" i="9"/>
  <c r="Q31" i="9"/>
  <c r="I32" i="9"/>
  <c r="Q32" i="9"/>
  <c r="I42" i="9"/>
  <c r="Q42" i="9"/>
  <c r="AC17" i="8"/>
  <c r="Y19" i="8"/>
  <c r="Z17" i="8"/>
  <c r="Z13" i="8"/>
  <c r="AC25" i="8"/>
  <c r="L27" i="8"/>
  <c r="I28" i="8"/>
  <c r="Q28" i="8"/>
  <c r="H34" i="8"/>
  <c r="H34" i="9" s="1"/>
  <c r="I34" i="9" s="1"/>
  <c r="P34" i="8"/>
  <c r="P34" i="9" s="1"/>
  <c r="Q34" i="9" s="1"/>
  <c r="N42" i="8"/>
  <c r="Q45" i="8"/>
  <c r="K7" i="8"/>
  <c r="I22" i="8"/>
  <c r="H24" i="8"/>
  <c r="H24" i="9" s="1"/>
  <c r="I24" i="9" s="1"/>
  <c r="P24" i="8"/>
  <c r="P24" i="9" s="1"/>
  <c r="Q24" i="9" s="1"/>
  <c r="D26" i="8"/>
  <c r="Q26" i="8"/>
  <c r="N27" i="8"/>
  <c r="I30" i="8"/>
  <c r="D31" i="8"/>
  <c r="Q31" i="8"/>
  <c r="I32" i="8"/>
  <c r="Q32" i="8"/>
  <c r="L38" i="8"/>
  <c r="I39" i="8"/>
  <c r="D42" i="8"/>
  <c r="I45" i="8"/>
  <c r="F26" i="8"/>
  <c r="F31" i="8"/>
  <c r="N38" i="8"/>
  <c r="D41" i="8"/>
  <c r="L41" i="8"/>
  <c r="F42" i="8"/>
  <c r="Q42" i="8"/>
  <c r="F46" i="8"/>
  <c r="AC19" i="8"/>
  <c r="L30" i="8"/>
  <c r="C34" i="8"/>
  <c r="K34" i="8"/>
  <c r="D38" i="8"/>
  <c r="L39" i="8"/>
  <c r="I46" i="8"/>
  <c r="L22" i="8"/>
  <c r="C24" i="8"/>
  <c r="C27" i="9" s="1"/>
  <c r="G27" i="9" s="1"/>
  <c r="K24" i="8"/>
  <c r="K27" i="9" s="1"/>
  <c r="O27" i="9" s="1"/>
  <c r="I26" i="8"/>
  <c r="F27" i="8"/>
  <c r="N30" i="8"/>
  <c r="I31" i="8"/>
  <c r="D32" i="8"/>
  <c r="L32" i="8"/>
  <c r="D34" i="8"/>
  <c r="L34" i="8"/>
  <c r="D36" i="8"/>
  <c r="L36" i="8"/>
  <c r="F38" i="8"/>
  <c r="Q38" i="8"/>
  <c r="I42" i="8"/>
  <c r="L45" i="8"/>
  <c r="N46" i="8"/>
  <c r="Z11" i="8"/>
  <c r="N22" i="8"/>
  <c r="F28" i="8"/>
  <c r="N28" i="8"/>
  <c r="N39" i="8"/>
  <c r="D43" i="8"/>
  <c r="L43" i="8"/>
  <c r="D45" i="8"/>
  <c r="AA11" i="8"/>
  <c r="E24" i="8"/>
  <c r="E24" i="9" s="1"/>
  <c r="J24" i="9" s="1"/>
  <c r="M24" i="8"/>
  <c r="M24" i="9" s="1"/>
  <c r="R24" i="9" s="1"/>
  <c r="L26" i="8"/>
  <c r="I27" i="8"/>
  <c r="D30" i="8"/>
  <c r="J11" i="7"/>
  <c r="H28" i="7"/>
  <c r="J26" i="7"/>
  <c r="J27" i="7"/>
  <c r="E20" i="7"/>
  <c r="F10" i="7" s="1"/>
  <c r="M20" i="7"/>
  <c r="N10" i="7" s="1"/>
  <c r="G12" i="7"/>
  <c r="O12" i="7"/>
  <c r="G22" i="7"/>
  <c r="O22" i="7"/>
  <c r="G39" i="7"/>
  <c r="O39" i="7"/>
  <c r="F42" i="7"/>
  <c r="N42" i="7"/>
  <c r="R27" i="7"/>
  <c r="G13" i="7"/>
  <c r="N13" i="7"/>
  <c r="O15" i="7"/>
  <c r="J30" i="7"/>
  <c r="H32" i="7"/>
  <c r="R30" i="7"/>
  <c r="P32" i="7"/>
  <c r="G46" i="7"/>
  <c r="O46" i="7"/>
  <c r="P28" i="7"/>
  <c r="R26" i="7"/>
  <c r="G11" i="7"/>
  <c r="O11" i="7"/>
  <c r="N12" i="7"/>
  <c r="N22" i="7"/>
  <c r="G26" i="7"/>
  <c r="C28" i="7"/>
  <c r="O26" i="7"/>
  <c r="K28" i="7"/>
  <c r="G27" i="7"/>
  <c r="O27" i="7"/>
  <c r="J31" i="7"/>
  <c r="R31" i="7"/>
  <c r="J38" i="7"/>
  <c r="R38" i="7"/>
  <c r="N39" i="7"/>
  <c r="O13" i="7"/>
  <c r="N38" i="7"/>
  <c r="J10" i="7"/>
  <c r="H20" i="7"/>
  <c r="I38" i="7" s="1"/>
  <c r="R10" i="7"/>
  <c r="P20" i="7"/>
  <c r="Q10" i="7" s="1"/>
  <c r="G15" i="7"/>
  <c r="J42" i="7"/>
  <c r="R42" i="7"/>
  <c r="F46" i="7"/>
  <c r="N46" i="7"/>
  <c r="J15" i="7"/>
  <c r="N11" i="7"/>
  <c r="R13" i="7"/>
  <c r="R15" i="7"/>
  <c r="E28" i="7"/>
  <c r="N26" i="7"/>
  <c r="M28" i="7"/>
  <c r="N27" i="7"/>
  <c r="C32" i="7"/>
  <c r="G30" i="7"/>
  <c r="K32" i="7"/>
  <c r="O30" i="7"/>
  <c r="J12" i="7"/>
  <c r="R12" i="7"/>
  <c r="J13" i="7"/>
  <c r="J22" i="7"/>
  <c r="R22" i="7"/>
  <c r="G31" i="7"/>
  <c r="O31" i="7"/>
  <c r="G38" i="7"/>
  <c r="O38" i="7"/>
  <c r="I39" i="7"/>
  <c r="J39" i="7"/>
  <c r="Q39" i="7"/>
  <c r="R39" i="7"/>
  <c r="R11" i="7"/>
  <c r="Q11" i="7"/>
  <c r="C20" i="7"/>
  <c r="D12" i="7" s="1"/>
  <c r="G10" i="7"/>
  <c r="K20" i="7"/>
  <c r="O10" i="7"/>
  <c r="E32" i="7"/>
  <c r="F32" i="7" s="1"/>
  <c r="N30" i="7"/>
  <c r="M32" i="7"/>
  <c r="N32" i="7" s="1"/>
  <c r="G42" i="7"/>
  <c r="D42" i="7"/>
  <c r="O42" i="7"/>
  <c r="J46" i="7"/>
  <c r="I46" i="7"/>
  <c r="R46" i="7"/>
  <c r="Q46" i="7"/>
  <c r="W41" i="7"/>
  <c r="W42" i="7" s="1"/>
  <c r="V38" i="7"/>
  <c r="AB30" i="7"/>
  <c r="AA17" i="7"/>
  <c r="AC21" i="7"/>
  <c r="AA13" i="7"/>
  <c r="AA15" i="7"/>
  <c r="AA16" i="7"/>
  <c r="X7" i="7"/>
  <c r="AC7" i="7" s="1"/>
  <c r="AB13" i="7"/>
  <c r="AD17" i="7"/>
  <c r="Y19" i="7"/>
  <c r="AA28" i="7"/>
  <c r="AD13" i="7"/>
  <c r="Z19" i="7"/>
  <c r="AD19" i="7" s="1"/>
  <c r="AA11" i="7"/>
  <c r="AE10" i="6"/>
  <c r="AB11" i="6"/>
  <c r="G15" i="6"/>
  <c r="O15" i="6"/>
  <c r="AC11" i="6"/>
  <c r="AB15" i="6"/>
  <c r="AI12" i="11" s="1"/>
  <c r="AB25" i="6"/>
  <c r="E33" i="6"/>
  <c r="AB16" i="6"/>
  <c r="T29" i="6"/>
  <c r="AB10" i="6"/>
  <c r="AB13" i="6"/>
  <c r="AI10" i="11" s="1"/>
  <c r="H32" i="5"/>
  <c r="J30" i="5"/>
  <c r="R39" i="5"/>
  <c r="Q39" i="5"/>
  <c r="P20" i="5"/>
  <c r="Q13" i="5" s="1"/>
  <c r="R13" i="5"/>
  <c r="G26" i="5"/>
  <c r="C28" i="5"/>
  <c r="O46" i="5"/>
  <c r="M32" i="5"/>
  <c r="O42" i="5"/>
  <c r="J39" i="5"/>
  <c r="J22" i="5"/>
  <c r="I20" i="5"/>
  <c r="R22" i="5"/>
  <c r="E28" i="5"/>
  <c r="M28" i="5"/>
  <c r="J31" i="5"/>
  <c r="R38" i="5"/>
  <c r="Q38" i="5"/>
  <c r="G46" i="5"/>
  <c r="J13" i="5"/>
  <c r="H20" i="5"/>
  <c r="I13" i="5" s="1"/>
  <c r="O27" i="5"/>
  <c r="G13" i="5"/>
  <c r="K20" i="5"/>
  <c r="L42" i="5" s="1"/>
  <c r="O13" i="5"/>
  <c r="E32" i="5"/>
  <c r="J38" i="5"/>
  <c r="I38" i="5"/>
  <c r="G42" i="5"/>
  <c r="O26" i="5"/>
  <c r="K28" i="5"/>
  <c r="L26" i="5"/>
  <c r="M20" i="5"/>
  <c r="D18" i="5"/>
  <c r="Q30" i="5"/>
  <c r="P32" i="5"/>
  <c r="R30" i="5"/>
  <c r="G27" i="5"/>
  <c r="R31" i="5"/>
  <c r="C20" i="5"/>
  <c r="D22" i="5" s="1"/>
  <c r="G10" i="5"/>
  <c r="D10" i="5"/>
  <c r="E20" i="5"/>
  <c r="G22" i="5"/>
  <c r="O22" i="5"/>
  <c r="H28" i="5"/>
  <c r="J26" i="5"/>
  <c r="I26" i="5"/>
  <c r="P28" i="5"/>
  <c r="R26" i="5"/>
  <c r="Q26" i="5"/>
  <c r="J27" i="5"/>
  <c r="I27" i="5"/>
  <c r="R27" i="5"/>
  <c r="Q27" i="5"/>
  <c r="D32" i="5"/>
  <c r="G32" i="5"/>
  <c r="O32" i="5"/>
  <c r="R22" i="4"/>
  <c r="O46" i="4"/>
  <c r="AA11" i="4"/>
  <c r="W17" i="4"/>
  <c r="G15" i="4"/>
  <c r="O15" i="4"/>
  <c r="O16" i="4"/>
  <c r="Z27" i="4"/>
  <c r="AA28" i="4"/>
  <c r="E32" i="4"/>
  <c r="M32" i="4"/>
  <c r="P20" i="4"/>
  <c r="Q22" i="4" s="1"/>
  <c r="R10" i="4"/>
  <c r="AC15" i="4"/>
  <c r="Z25" i="4"/>
  <c r="G38" i="4"/>
  <c r="G46" i="4"/>
  <c r="Z11" i="4"/>
  <c r="X17" i="4"/>
  <c r="AA13" i="4"/>
  <c r="Z13" i="4"/>
  <c r="G16" i="4"/>
  <c r="G17" i="4"/>
  <c r="O17" i="4"/>
  <c r="AC23" i="4"/>
  <c r="J26" i="4"/>
  <c r="H28" i="4"/>
  <c r="R26" i="4"/>
  <c r="P28" i="4"/>
  <c r="J27" i="4"/>
  <c r="R27" i="4"/>
  <c r="Z28" i="4"/>
  <c r="G31" i="4"/>
  <c r="D31" i="4"/>
  <c r="O38" i="4"/>
  <c r="G10" i="4"/>
  <c r="C20" i="4"/>
  <c r="D15" i="4" s="1"/>
  <c r="O10" i="4"/>
  <c r="K20" i="4"/>
  <c r="L15" i="4" s="1"/>
  <c r="J11" i="4"/>
  <c r="R11" i="4"/>
  <c r="Q11" i="4"/>
  <c r="Y17" i="4"/>
  <c r="AA14" i="4"/>
  <c r="Z14" i="4"/>
  <c r="G18" i="4"/>
  <c r="D18" i="4"/>
  <c r="O18" i="4"/>
  <c r="G19" i="4"/>
  <c r="D19" i="4"/>
  <c r="G22" i="4"/>
  <c r="O22" i="4"/>
  <c r="AC25" i="4"/>
  <c r="G14" i="4"/>
  <c r="D14" i="4"/>
  <c r="R18" i="4"/>
  <c r="Q18" i="4"/>
  <c r="G39" i="4"/>
  <c r="J12" i="4"/>
  <c r="R12" i="4"/>
  <c r="Q12" i="4"/>
  <c r="J13" i="4"/>
  <c r="R13" i="4"/>
  <c r="Q13" i="4"/>
  <c r="AA15" i="4"/>
  <c r="Z15" i="4"/>
  <c r="AA16" i="4"/>
  <c r="Z16" i="4"/>
  <c r="AC27" i="4"/>
  <c r="J30" i="4"/>
  <c r="H32" i="4"/>
  <c r="I30" i="4"/>
  <c r="R30" i="4"/>
  <c r="P32" i="4"/>
  <c r="Q30" i="4"/>
  <c r="H20" i="4"/>
  <c r="I12" i="4" s="1"/>
  <c r="J10" i="4"/>
  <c r="I10" i="4"/>
  <c r="O14" i="4"/>
  <c r="L14" i="4"/>
  <c r="J19" i="4"/>
  <c r="AA27" i="4"/>
  <c r="O39" i="4"/>
  <c r="E20" i="4"/>
  <c r="F38" i="4" s="1"/>
  <c r="M20" i="4"/>
  <c r="N30" i="4" s="1"/>
  <c r="AC11" i="4"/>
  <c r="J14" i="4"/>
  <c r="I14" i="4"/>
  <c r="R14" i="4"/>
  <c r="Q14" i="4"/>
  <c r="N18" i="4"/>
  <c r="F19" i="4"/>
  <c r="N22" i="4"/>
  <c r="C28" i="4"/>
  <c r="D26" i="4"/>
  <c r="G26" i="4"/>
  <c r="K28" i="4"/>
  <c r="L26" i="4"/>
  <c r="O26" i="4"/>
  <c r="D27" i="4"/>
  <c r="G27" i="4"/>
  <c r="O27" i="4"/>
  <c r="AC28" i="4"/>
  <c r="J31" i="4"/>
  <c r="I31" i="4"/>
  <c r="R31" i="4"/>
  <c r="Q31" i="4"/>
  <c r="J38" i="4"/>
  <c r="I38" i="4"/>
  <c r="R38" i="4"/>
  <c r="Q38" i="4"/>
  <c r="J39" i="4"/>
  <c r="I39" i="4"/>
  <c r="R39" i="4"/>
  <c r="Q39" i="4"/>
  <c r="J42" i="4"/>
  <c r="I42" i="4"/>
  <c r="R42" i="4"/>
  <c r="Q42" i="4"/>
  <c r="J46" i="4"/>
  <c r="I46" i="4"/>
  <c r="R46" i="4"/>
  <c r="Q46" i="4"/>
  <c r="V17" i="4"/>
  <c r="X17" i="6" s="1"/>
  <c r="AH14" i="11" s="1"/>
  <c r="J18" i="4"/>
  <c r="I18" i="4"/>
  <c r="O31" i="4"/>
  <c r="L31" i="4"/>
  <c r="G42" i="4"/>
  <c r="D42" i="4"/>
  <c r="D11" i="4"/>
  <c r="G11" i="4"/>
  <c r="L11" i="4"/>
  <c r="O11" i="4"/>
  <c r="AC13" i="4"/>
  <c r="AB17" i="4"/>
  <c r="I15" i="4"/>
  <c r="J15" i="4"/>
  <c r="Q15" i="4"/>
  <c r="R15" i="4"/>
  <c r="I16" i="4"/>
  <c r="J16" i="4"/>
  <c r="Q16" i="4"/>
  <c r="R16" i="4"/>
  <c r="Q19" i="4"/>
  <c r="AA23" i="4"/>
  <c r="N11" i="4"/>
  <c r="AC16" i="4"/>
  <c r="I20" i="4"/>
  <c r="J22" i="4"/>
  <c r="I22" i="4"/>
  <c r="O42" i="4"/>
  <c r="L42" i="4"/>
  <c r="V19" i="4"/>
  <c r="V21" i="4" s="1"/>
  <c r="V30" i="4" s="1"/>
  <c r="G12" i="4"/>
  <c r="D12" i="4"/>
  <c r="L12" i="4"/>
  <c r="O12" i="4"/>
  <c r="G13" i="4"/>
  <c r="D13" i="4"/>
  <c r="O13" i="4"/>
  <c r="L13" i="4"/>
  <c r="U17" i="4"/>
  <c r="AC14" i="4"/>
  <c r="I17" i="4"/>
  <c r="J17" i="4"/>
  <c r="Q17" i="4"/>
  <c r="R17" i="4"/>
  <c r="Z23" i="4"/>
  <c r="AA25" i="4"/>
  <c r="F26" i="4"/>
  <c r="E28" i="4"/>
  <c r="N26" i="4"/>
  <c r="M28" i="4"/>
  <c r="F27" i="4"/>
  <c r="N27" i="4"/>
  <c r="D30" i="4"/>
  <c r="C32" i="4"/>
  <c r="G30" i="4"/>
  <c r="K32" i="4"/>
  <c r="O30" i="4"/>
  <c r="L30" i="4"/>
  <c r="R18" i="3"/>
  <c r="C20" i="3"/>
  <c r="G10" i="3"/>
  <c r="V17" i="3"/>
  <c r="V19" i="3" s="1"/>
  <c r="V21" i="3" s="1"/>
  <c r="V30" i="3" s="1"/>
  <c r="G19" i="3"/>
  <c r="I20" i="3"/>
  <c r="J22" i="3"/>
  <c r="J12" i="3"/>
  <c r="G46" i="3"/>
  <c r="W17" i="3"/>
  <c r="W19" i="3" s="1"/>
  <c r="D17" i="3"/>
  <c r="G39" i="3"/>
  <c r="G42" i="3"/>
  <c r="AC11" i="3"/>
  <c r="Z13" i="3"/>
  <c r="AA13" i="3"/>
  <c r="O15" i="3"/>
  <c r="Z25" i="3"/>
  <c r="AA25" i="3"/>
  <c r="AC25" i="3"/>
  <c r="O31" i="3"/>
  <c r="O46" i="3"/>
  <c r="G15" i="3"/>
  <c r="O38" i="3"/>
  <c r="P20" i="3"/>
  <c r="U17" i="3"/>
  <c r="U19" i="3" s="1"/>
  <c r="U21" i="3" s="1"/>
  <c r="H20" i="3"/>
  <c r="H20" i="6" s="1"/>
  <c r="I20" i="6" s="1"/>
  <c r="Q12" i="3"/>
  <c r="R12" i="3"/>
  <c r="X17" i="3"/>
  <c r="AA17" i="3" s="1"/>
  <c r="O18" i="3"/>
  <c r="O19" i="3"/>
  <c r="Q22" i="3"/>
  <c r="R22" i="3"/>
  <c r="G38" i="3"/>
  <c r="D38" i="3"/>
  <c r="Q16" i="3"/>
  <c r="G31" i="3"/>
  <c r="O10" i="3"/>
  <c r="K20" i="3"/>
  <c r="L15" i="3" s="1"/>
  <c r="Y17" i="3"/>
  <c r="Y19" i="3" s="1"/>
  <c r="Y21" i="3" s="1"/>
  <c r="AA21" i="6" s="1"/>
  <c r="F38" i="3"/>
  <c r="O39" i="3"/>
  <c r="O42" i="3"/>
  <c r="Z27" i="3"/>
  <c r="E32" i="3"/>
  <c r="F32" i="3" s="1"/>
  <c r="D11" i="3"/>
  <c r="I13" i="3"/>
  <c r="Q13" i="3"/>
  <c r="I17" i="3"/>
  <c r="Q17" i="3"/>
  <c r="E20" i="3"/>
  <c r="F30" i="3" s="1"/>
  <c r="M20" i="3"/>
  <c r="N38" i="3" s="1"/>
  <c r="Q26" i="3"/>
  <c r="I27" i="3"/>
  <c r="Q27" i="3"/>
  <c r="H28" i="3"/>
  <c r="H28" i="6" s="1"/>
  <c r="I28" i="6" s="1"/>
  <c r="P28" i="3"/>
  <c r="Z14" i="3"/>
  <c r="H32" i="3"/>
  <c r="P32" i="3"/>
  <c r="I10" i="3"/>
  <c r="Q10" i="3"/>
  <c r="I19" i="3"/>
  <c r="Q19" i="3"/>
  <c r="F22" i="3"/>
  <c r="D26" i="3"/>
  <c r="I31" i="3"/>
  <c r="Q31" i="3"/>
  <c r="I38" i="3"/>
  <c r="Q38" i="3"/>
  <c r="I39" i="3"/>
  <c r="Q39" i="3"/>
  <c r="Q42" i="3"/>
  <c r="I46" i="3"/>
  <c r="Q46" i="3"/>
  <c r="J31" i="11" l="1"/>
  <c r="X19" i="9"/>
  <c r="AA19" i="9" s="1"/>
  <c r="AA19" i="8"/>
  <c r="X21" i="8"/>
  <c r="X21" i="9" s="1"/>
  <c r="X30" i="9" s="1"/>
  <c r="R31" i="11"/>
  <c r="U30" i="3"/>
  <c r="W21" i="6"/>
  <c r="I26" i="3"/>
  <c r="F19" i="3"/>
  <c r="F46" i="3"/>
  <c r="U19" i="4"/>
  <c r="U21" i="4" s="1"/>
  <c r="U30" i="4" s="1"/>
  <c r="AA30" i="4" s="1"/>
  <c r="W17" i="6"/>
  <c r="W19" i="6" s="1"/>
  <c r="F17" i="4"/>
  <c r="D38" i="4"/>
  <c r="G34" i="8"/>
  <c r="C42" i="9"/>
  <c r="G42" i="9" s="1"/>
  <c r="F24" i="9"/>
  <c r="J26" i="9"/>
  <c r="F26" i="9"/>
  <c r="R38" i="9"/>
  <c r="K19" i="11"/>
  <c r="O19" i="9"/>
  <c r="R12" i="9"/>
  <c r="G36" i="9"/>
  <c r="C58" i="7"/>
  <c r="J10" i="9"/>
  <c r="F10" i="9"/>
  <c r="I12" i="9"/>
  <c r="M27" i="11"/>
  <c r="R17" i="3"/>
  <c r="P17" i="6"/>
  <c r="K12" i="6"/>
  <c r="O12" i="3"/>
  <c r="M11" i="11"/>
  <c r="Z19" i="11"/>
  <c r="AC23" i="6"/>
  <c r="AH10" i="11"/>
  <c r="Y10" i="11"/>
  <c r="J38" i="3"/>
  <c r="H38" i="6"/>
  <c r="C27" i="6"/>
  <c r="G27" i="6" s="1"/>
  <c r="G27" i="3"/>
  <c r="G22" i="3"/>
  <c r="E22" i="6"/>
  <c r="R14" i="3"/>
  <c r="P14" i="6"/>
  <c r="AC27" i="6"/>
  <c r="Z21" i="11"/>
  <c r="AD21" i="11" s="1"/>
  <c r="AC16" i="6"/>
  <c r="Z13" i="11"/>
  <c r="AC13" i="11" s="1"/>
  <c r="I12" i="6"/>
  <c r="H12" i="11"/>
  <c r="K22" i="11"/>
  <c r="E16" i="11"/>
  <c r="AC13" i="6"/>
  <c r="AB10" i="11"/>
  <c r="AK10" i="11"/>
  <c r="M38" i="11"/>
  <c r="R26" i="3"/>
  <c r="P26" i="6"/>
  <c r="AH13" i="11"/>
  <c r="Y13" i="11"/>
  <c r="Z10" i="11"/>
  <c r="AA12" i="11"/>
  <c r="AE12" i="11" s="1"/>
  <c r="AE15" i="6"/>
  <c r="AB21" i="11"/>
  <c r="AK21" i="11"/>
  <c r="AB27" i="6"/>
  <c r="AI21" i="11" s="1"/>
  <c r="Z19" i="6"/>
  <c r="Z9" i="11"/>
  <c r="F18" i="3"/>
  <c r="I27" i="4"/>
  <c r="L27" i="5"/>
  <c r="M34" i="5"/>
  <c r="I12" i="7"/>
  <c r="U21" i="10"/>
  <c r="U30" i="10" s="1"/>
  <c r="F14" i="9"/>
  <c r="J14" i="9"/>
  <c r="R30" i="9"/>
  <c r="L27" i="9"/>
  <c r="L16" i="9"/>
  <c r="L30" i="9"/>
  <c r="L21" i="9"/>
  <c r="O20" i="9"/>
  <c r="L17" i="9"/>
  <c r="L22" i="9"/>
  <c r="L10" i="9"/>
  <c r="L19" i="9"/>
  <c r="L15" i="9"/>
  <c r="L13" i="9"/>
  <c r="L14" i="9"/>
  <c r="L12" i="9"/>
  <c r="L24" i="9"/>
  <c r="L20" i="9"/>
  <c r="L11" i="9"/>
  <c r="L18" i="9"/>
  <c r="N15" i="9"/>
  <c r="R15" i="9"/>
  <c r="F18" i="9"/>
  <c r="J18" i="9"/>
  <c r="J11" i="9"/>
  <c r="F11" i="9"/>
  <c r="J38" i="9"/>
  <c r="J16" i="9"/>
  <c r="F16" i="9"/>
  <c r="V19" i="9"/>
  <c r="U7" i="8"/>
  <c r="X7" i="8" s="1"/>
  <c r="C7" i="9"/>
  <c r="AC8" i="11"/>
  <c r="E27" i="11"/>
  <c r="T19" i="6"/>
  <c r="J17" i="3"/>
  <c r="H17" i="6"/>
  <c r="G12" i="3"/>
  <c r="C12" i="6"/>
  <c r="W9" i="11"/>
  <c r="R46" i="3"/>
  <c r="P46" i="6"/>
  <c r="R31" i="3"/>
  <c r="P32" i="6"/>
  <c r="K28" i="3"/>
  <c r="K26" i="6"/>
  <c r="O26" i="3"/>
  <c r="J14" i="3"/>
  <c r="H14" i="6"/>
  <c r="J19" i="3"/>
  <c r="H19" i="6"/>
  <c r="H19" i="11" s="1"/>
  <c r="W20" i="11"/>
  <c r="Z15" i="3"/>
  <c r="G39" i="6"/>
  <c r="C39" i="11"/>
  <c r="G22" i="6"/>
  <c r="C22" i="11"/>
  <c r="P11" i="6"/>
  <c r="P20" i="6" s="1"/>
  <c r="R11" i="3"/>
  <c r="E11" i="11"/>
  <c r="T26" i="6"/>
  <c r="E38" i="11"/>
  <c r="J26" i="3"/>
  <c r="H26" i="6"/>
  <c r="G16" i="3"/>
  <c r="C16" i="6"/>
  <c r="AC15" i="3"/>
  <c r="Y11" i="11"/>
  <c r="AH11" i="11"/>
  <c r="AA11" i="3"/>
  <c r="I42" i="3"/>
  <c r="N22" i="3"/>
  <c r="N46" i="3"/>
  <c r="D31" i="7"/>
  <c r="I42" i="7"/>
  <c r="I31" i="7"/>
  <c r="D26" i="7"/>
  <c r="I11" i="7"/>
  <c r="F42" i="9"/>
  <c r="J42" i="9"/>
  <c r="J27" i="9"/>
  <c r="F27" i="9"/>
  <c r="J17" i="9"/>
  <c r="F17" i="9"/>
  <c r="O36" i="9"/>
  <c r="R58" i="7" s="1"/>
  <c r="N58" i="7"/>
  <c r="M19" i="11"/>
  <c r="R19" i="9"/>
  <c r="V21" i="9"/>
  <c r="V30" i="9" s="1"/>
  <c r="F31" i="9"/>
  <c r="J31" i="9"/>
  <c r="Z14" i="9"/>
  <c r="AA14" i="9"/>
  <c r="AA13" i="11" s="1"/>
  <c r="AE13" i="11" s="1"/>
  <c r="F46" i="9"/>
  <c r="F20" i="9"/>
  <c r="O30" i="3"/>
  <c r="K30" i="6"/>
  <c r="K32" i="3"/>
  <c r="M26" i="6"/>
  <c r="M28" i="3"/>
  <c r="W22" i="11"/>
  <c r="R16" i="3"/>
  <c r="P16" i="6"/>
  <c r="O11" i="3"/>
  <c r="K11" i="6"/>
  <c r="J46" i="3"/>
  <c r="H46" i="6"/>
  <c r="J31" i="3"/>
  <c r="H32" i="6"/>
  <c r="J32" i="6" s="1"/>
  <c r="C28" i="3"/>
  <c r="C26" i="6"/>
  <c r="G26" i="3"/>
  <c r="M18" i="11"/>
  <c r="O14" i="3"/>
  <c r="K14" i="6"/>
  <c r="AC15" i="6"/>
  <c r="R18" i="6"/>
  <c r="P18" i="11"/>
  <c r="X12" i="11"/>
  <c r="AG12" i="11"/>
  <c r="J11" i="3"/>
  <c r="H11" i="6"/>
  <c r="M46" i="11"/>
  <c r="O32" i="6"/>
  <c r="AC23" i="3"/>
  <c r="AK9" i="11"/>
  <c r="AB9" i="11"/>
  <c r="P10" i="11"/>
  <c r="R10" i="6"/>
  <c r="W13" i="11"/>
  <c r="AG10" i="11"/>
  <c r="X10" i="11"/>
  <c r="O46" i="6"/>
  <c r="N16" i="3"/>
  <c r="AC17" i="4"/>
  <c r="AD17" i="6"/>
  <c r="AB17" i="3"/>
  <c r="AB19" i="3" s="1"/>
  <c r="Z17" i="4"/>
  <c r="AA17" i="6"/>
  <c r="L32" i="5"/>
  <c r="Q10" i="10"/>
  <c r="Q39" i="10"/>
  <c r="J28" i="9"/>
  <c r="F28" i="9"/>
  <c r="C19" i="11"/>
  <c r="G19" i="9"/>
  <c r="AA17" i="8"/>
  <c r="X17" i="9"/>
  <c r="I10" i="9"/>
  <c r="R39" i="9"/>
  <c r="N32" i="9"/>
  <c r="R32" i="9"/>
  <c r="F15" i="9"/>
  <c r="J15" i="9"/>
  <c r="Z27" i="9"/>
  <c r="G30" i="3"/>
  <c r="C30" i="6"/>
  <c r="T21" i="6" s="1"/>
  <c r="C32" i="3"/>
  <c r="E28" i="3"/>
  <c r="F28" i="3" s="1"/>
  <c r="E26" i="6"/>
  <c r="AE14" i="6"/>
  <c r="AA11" i="11"/>
  <c r="X19" i="6"/>
  <c r="Y9" i="11"/>
  <c r="AH9" i="11"/>
  <c r="J16" i="3"/>
  <c r="H16" i="6"/>
  <c r="G11" i="3"/>
  <c r="C11" i="6"/>
  <c r="R42" i="3"/>
  <c r="P42" i="6"/>
  <c r="E18" i="11"/>
  <c r="AE11" i="6"/>
  <c r="H10" i="11"/>
  <c r="I10" i="6"/>
  <c r="Y19" i="11"/>
  <c r="AH19" i="11"/>
  <c r="G14" i="3"/>
  <c r="C14" i="6"/>
  <c r="O18" i="6"/>
  <c r="K18" i="11"/>
  <c r="M15" i="11"/>
  <c r="K20" i="6"/>
  <c r="K10" i="11"/>
  <c r="T32" i="6"/>
  <c r="E46" i="11"/>
  <c r="G32" i="6"/>
  <c r="T22" i="6"/>
  <c r="AE23" i="6"/>
  <c r="AA19" i="11"/>
  <c r="AH12" i="11"/>
  <c r="Y12" i="11"/>
  <c r="M32" i="3"/>
  <c r="N32" i="3" s="1"/>
  <c r="M30" i="6"/>
  <c r="K16" i="6"/>
  <c r="O16" i="3"/>
  <c r="X22" i="11"/>
  <c r="AG22" i="11"/>
  <c r="I22" i="3"/>
  <c r="AI9" i="11"/>
  <c r="F34" i="8"/>
  <c r="E34" i="9"/>
  <c r="AC27" i="9"/>
  <c r="AK26" i="11"/>
  <c r="N42" i="9"/>
  <c r="R42" i="9"/>
  <c r="G43" i="9"/>
  <c r="C64" i="7"/>
  <c r="J39" i="9"/>
  <c r="R28" i="9"/>
  <c r="N28" i="9"/>
  <c r="Z13" i="9"/>
  <c r="Z12" i="11" s="1"/>
  <c r="AA13" i="9"/>
  <c r="AB21" i="8"/>
  <c r="AB19" i="9"/>
  <c r="AC19" i="9" s="1"/>
  <c r="K31" i="11"/>
  <c r="AC25" i="6"/>
  <c r="O42" i="6"/>
  <c r="Y21" i="11"/>
  <c r="AH21" i="11"/>
  <c r="P15" i="6"/>
  <c r="R15" i="3"/>
  <c r="G42" i="6"/>
  <c r="J42" i="3"/>
  <c r="H42" i="6"/>
  <c r="AE28" i="6"/>
  <c r="AA22" i="11"/>
  <c r="AE22" i="11" s="1"/>
  <c r="Y20" i="11"/>
  <c r="AH20" i="11"/>
  <c r="R10" i="3"/>
  <c r="M10" i="6"/>
  <c r="O10" i="6" s="1"/>
  <c r="R30" i="3"/>
  <c r="P30" i="6"/>
  <c r="AK11" i="11"/>
  <c r="AB11" i="11"/>
  <c r="G18" i="3"/>
  <c r="C18" i="6"/>
  <c r="E15" i="11"/>
  <c r="C10" i="11"/>
  <c r="M42" i="11"/>
  <c r="X11" i="11"/>
  <c r="AG11" i="11"/>
  <c r="G46" i="6"/>
  <c r="C46" i="11"/>
  <c r="E30" i="11"/>
  <c r="M13" i="11"/>
  <c r="N39" i="3"/>
  <c r="I12" i="3"/>
  <c r="X19" i="4"/>
  <c r="Z17" i="6"/>
  <c r="W19" i="4"/>
  <c r="W21" i="4" s="1"/>
  <c r="Y17" i="6"/>
  <c r="AG14" i="11" s="1"/>
  <c r="I22" i="6"/>
  <c r="I22" i="7"/>
  <c r="D30" i="7"/>
  <c r="Q38" i="7"/>
  <c r="D27" i="7"/>
  <c r="Q19" i="10"/>
  <c r="I17" i="9"/>
  <c r="I11" i="9"/>
  <c r="I18" i="9"/>
  <c r="I16" i="9"/>
  <c r="I19" i="9"/>
  <c r="I15" i="9"/>
  <c r="I13" i="9"/>
  <c r="I14" i="9"/>
  <c r="I20" i="9"/>
  <c r="R27" i="9"/>
  <c r="N27" i="9"/>
  <c r="J46" i="9"/>
  <c r="R34" i="9"/>
  <c r="R11" i="9"/>
  <c r="N11" i="9"/>
  <c r="U30" i="8"/>
  <c r="U21" i="9"/>
  <c r="AI8" i="11"/>
  <c r="F32" i="9"/>
  <c r="C31" i="11"/>
  <c r="Y22" i="11"/>
  <c r="AH22" i="11"/>
  <c r="W10" i="11"/>
  <c r="J22" i="6"/>
  <c r="H22" i="11"/>
  <c r="J15" i="3"/>
  <c r="H15" i="6"/>
  <c r="R39" i="3"/>
  <c r="P39" i="6"/>
  <c r="AB13" i="11"/>
  <c r="AK13" i="11"/>
  <c r="J10" i="3"/>
  <c r="E10" i="6"/>
  <c r="J30" i="3"/>
  <c r="H30" i="6"/>
  <c r="R17" i="6"/>
  <c r="M17" i="11"/>
  <c r="R13" i="3"/>
  <c r="P13" i="6"/>
  <c r="AA20" i="11"/>
  <c r="AA14" i="3"/>
  <c r="O38" i="6"/>
  <c r="E42" i="11"/>
  <c r="AB28" i="6"/>
  <c r="AI22" i="11" s="1"/>
  <c r="AK22" i="11"/>
  <c r="AB22" i="11"/>
  <c r="K17" i="6"/>
  <c r="O17" i="3"/>
  <c r="G38" i="6"/>
  <c r="C38" i="11"/>
  <c r="AA28" i="3"/>
  <c r="W12" i="11"/>
  <c r="E13" i="11"/>
  <c r="P22" i="11"/>
  <c r="N18" i="3"/>
  <c r="U19" i="10"/>
  <c r="E19" i="11"/>
  <c r="F19" i="9"/>
  <c r="J19" i="9"/>
  <c r="R10" i="9"/>
  <c r="N10" i="9"/>
  <c r="AA10" i="9"/>
  <c r="AA9" i="11" s="1"/>
  <c r="AC25" i="9"/>
  <c r="AK24" i="11"/>
  <c r="AC10" i="9"/>
  <c r="R14" i="9"/>
  <c r="N14" i="9"/>
  <c r="W30" i="9"/>
  <c r="K13" i="6"/>
  <c r="O13" i="3"/>
  <c r="X20" i="11"/>
  <c r="AG20" i="11"/>
  <c r="J18" i="3"/>
  <c r="H18" i="6"/>
  <c r="J39" i="3"/>
  <c r="H39" i="6"/>
  <c r="AG19" i="11"/>
  <c r="X19" i="11"/>
  <c r="AB12" i="11"/>
  <c r="AK12" i="11"/>
  <c r="O39" i="6"/>
  <c r="J17" i="6"/>
  <c r="E17" i="11"/>
  <c r="J13" i="3"/>
  <c r="H13" i="6"/>
  <c r="AG13" i="11"/>
  <c r="X13" i="11"/>
  <c r="Z11" i="11"/>
  <c r="AB14" i="6"/>
  <c r="AI11" i="11" s="1"/>
  <c r="AC14" i="6"/>
  <c r="M39" i="11"/>
  <c r="R27" i="3"/>
  <c r="P27" i="6"/>
  <c r="G17" i="3"/>
  <c r="C17" i="6"/>
  <c r="M14" i="11"/>
  <c r="AE25" i="6"/>
  <c r="Z22" i="11"/>
  <c r="AD22" i="11" s="1"/>
  <c r="AC28" i="6"/>
  <c r="L15" i="6"/>
  <c r="K15" i="11"/>
  <c r="R12" i="6"/>
  <c r="M12" i="11"/>
  <c r="X19" i="3"/>
  <c r="AA19" i="3" s="1"/>
  <c r="F22" i="4"/>
  <c r="I13" i="4"/>
  <c r="Q27" i="4"/>
  <c r="L22" i="5"/>
  <c r="L13" i="5"/>
  <c r="X38" i="7"/>
  <c r="D38" i="7"/>
  <c r="I10" i="7"/>
  <c r="D11" i="7"/>
  <c r="O34" i="8"/>
  <c r="K42" i="9"/>
  <c r="O42" i="9" s="1"/>
  <c r="N24" i="9"/>
  <c r="R26" i="9"/>
  <c r="N26" i="9"/>
  <c r="N31" i="9"/>
  <c r="R31" i="9"/>
  <c r="Q16" i="9"/>
  <c r="Q13" i="9"/>
  <c r="Q19" i="9"/>
  <c r="Q15" i="9"/>
  <c r="Q14" i="9"/>
  <c r="Q11" i="9"/>
  <c r="Q20" i="9"/>
  <c r="Q18" i="9"/>
  <c r="Q17" i="9"/>
  <c r="N46" i="9"/>
  <c r="N20" i="9"/>
  <c r="Z19" i="9"/>
  <c r="T6" i="8"/>
  <c r="B6" i="9"/>
  <c r="W8" i="11"/>
  <c r="AG21" i="11"/>
  <c r="X21" i="11"/>
  <c r="AB23" i="6"/>
  <c r="AI19" i="11" s="1"/>
  <c r="AB19" i="11"/>
  <c r="AK19" i="11"/>
  <c r="G13" i="3"/>
  <c r="C13" i="6"/>
  <c r="AE16" i="6"/>
  <c r="AA23" i="3"/>
  <c r="AE13" i="6"/>
  <c r="AA10" i="11"/>
  <c r="AE10" i="11" s="1"/>
  <c r="R38" i="3"/>
  <c r="P38" i="6"/>
  <c r="O27" i="3"/>
  <c r="K27" i="6"/>
  <c r="O22" i="3"/>
  <c r="M22" i="6"/>
  <c r="O22" i="6" s="1"/>
  <c r="AA21" i="11"/>
  <c r="AE21" i="11" s="1"/>
  <c r="AE27" i="6"/>
  <c r="AA16" i="3"/>
  <c r="Z16" i="3"/>
  <c r="P12" i="11"/>
  <c r="W30" i="6"/>
  <c r="W19" i="11"/>
  <c r="M16" i="11"/>
  <c r="AC13" i="3"/>
  <c r="T27" i="6"/>
  <c r="E39" i="11"/>
  <c r="J27" i="3"/>
  <c r="H27" i="6"/>
  <c r="E14" i="11"/>
  <c r="AC27" i="3"/>
  <c r="C15" i="11"/>
  <c r="J12" i="6"/>
  <c r="E12" i="11"/>
  <c r="X9" i="11"/>
  <c r="AG9" i="11"/>
  <c r="AC19" i="10"/>
  <c r="K41" i="10"/>
  <c r="O36" i="10"/>
  <c r="X19" i="10"/>
  <c r="AA19" i="10" s="1"/>
  <c r="AA11" i="10"/>
  <c r="R24" i="10"/>
  <c r="Q24" i="10"/>
  <c r="M36" i="10"/>
  <c r="R59" i="7" s="1"/>
  <c r="AC30" i="10"/>
  <c r="Z30" i="10"/>
  <c r="AA10" i="10"/>
  <c r="X21" i="10"/>
  <c r="K28" i="10"/>
  <c r="O24" i="10"/>
  <c r="N17" i="10"/>
  <c r="N14" i="10"/>
  <c r="N39" i="10"/>
  <c r="N38" i="10"/>
  <c r="N32" i="10"/>
  <c r="N31" i="10"/>
  <c r="N27" i="10"/>
  <c r="N20" i="10"/>
  <c r="N12" i="10"/>
  <c r="N43" i="10"/>
  <c r="N42" i="10"/>
  <c r="N24" i="10"/>
  <c r="N22" i="10"/>
  <c r="N21" i="10"/>
  <c r="N18" i="10"/>
  <c r="N15" i="10"/>
  <c r="N46" i="10"/>
  <c r="N36" i="10"/>
  <c r="N11" i="10"/>
  <c r="N23" i="10"/>
  <c r="N26" i="10"/>
  <c r="N41" i="10"/>
  <c r="N34" i="10"/>
  <c r="N28" i="10"/>
  <c r="N19" i="10"/>
  <c r="N16" i="10"/>
  <c r="N13" i="10"/>
  <c r="N10" i="10"/>
  <c r="N45" i="10"/>
  <c r="N30" i="10"/>
  <c r="Q22" i="10"/>
  <c r="Q15" i="10"/>
  <c r="Q46" i="10"/>
  <c r="Q11" i="10"/>
  <c r="Q26" i="10"/>
  <c r="Q13" i="10"/>
  <c r="Q30" i="10"/>
  <c r="R20" i="10"/>
  <c r="Q20" i="10"/>
  <c r="Q14" i="10"/>
  <c r="Q42" i="10"/>
  <c r="Q27" i="10"/>
  <c r="Q12" i="10"/>
  <c r="Y21" i="10"/>
  <c r="P34" i="10"/>
  <c r="P36" i="10" s="1"/>
  <c r="R32" i="10"/>
  <c r="Q32" i="10"/>
  <c r="K20" i="10"/>
  <c r="O10" i="10"/>
  <c r="AC17" i="10"/>
  <c r="Z17" i="10"/>
  <c r="H36" i="10"/>
  <c r="J24" i="10"/>
  <c r="E36" i="10"/>
  <c r="E59" i="7" s="1"/>
  <c r="I24" i="10"/>
  <c r="Q31" i="10"/>
  <c r="Z16" i="10"/>
  <c r="AI13" i="11" s="1"/>
  <c r="X17" i="10"/>
  <c r="AA17" i="10" s="1"/>
  <c r="AA16" i="10"/>
  <c r="C20" i="10"/>
  <c r="G10" i="10"/>
  <c r="C32" i="10"/>
  <c r="G19" i="10"/>
  <c r="C24" i="10"/>
  <c r="F42" i="10"/>
  <c r="F22" i="10"/>
  <c r="F20" i="10"/>
  <c r="F15" i="10"/>
  <c r="F46" i="10"/>
  <c r="F39" i="10"/>
  <c r="F38" i="10"/>
  <c r="F32" i="10"/>
  <c r="F31" i="10"/>
  <c r="F11" i="10"/>
  <c r="F43" i="10"/>
  <c r="F24" i="10"/>
  <c r="F16" i="10"/>
  <c r="F36" i="10"/>
  <c r="F26" i="10"/>
  <c r="F17" i="10"/>
  <c r="F13" i="10"/>
  <c r="F30" i="10"/>
  <c r="F28" i="10"/>
  <c r="F19" i="10"/>
  <c r="F41" i="10"/>
  <c r="F34" i="10"/>
  <c r="I20" i="10"/>
  <c r="F18" i="10"/>
  <c r="F14" i="10"/>
  <c r="F10" i="10"/>
  <c r="F45" i="10"/>
  <c r="F27" i="10"/>
  <c r="F12" i="10"/>
  <c r="Y30" i="9"/>
  <c r="Z21" i="9"/>
  <c r="Z20" i="11" s="1"/>
  <c r="AA21" i="9"/>
  <c r="R34" i="8"/>
  <c r="Q34" i="8"/>
  <c r="J34" i="8"/>
  <c r="I34" i="8"/>
  <c r="M36" i="8"/>
  <c r="M36" i="9" s="1"/>
  <c r="N24" i="8"/>
  <c r="R24" i="8"/>
  <c r="Q24" i="8"/>
  <c r="P36" i="8"/>
  <c r="P36" i="9" s="1"/>
  <c r="Q36" i="9" s="1"/>
  <c r="E36" i="8"/>
  <c r="E36" i="9" s="1"/>
  <c r="F24" i="8"/>
  <c r="J24" i="8"/>
  <c r="I24" i="8"/>
  <c r="H36" i="8"/>
  <c r="H36" i="9" s="1"/>
  <c r="I36" i="9" s="1"/>
  <c r="Y21" i="8"/>
  <c r="Z19" i="8"/>
  <c r="K36" i="8"/>
  <c r="K45" i="9" s="1"/>
  <c r="O45" i="9" s="1"/>
  <c r="O24" i="8"/>
  <c r="C36" i="8"/>
  <c r="C45" i="9" s="1"/>
  <c r="G45" i="9" s="1"/>
  <c r="G24" i="8"/>
  <c r="X30" i="8"/>
  <c r="K24" i="7"/>
  <c r="O20" i="7"/>
  <c r="L20" i="7"/>
  <c r="L31" i="7"/>
  <c r="L27" i="7"/>
  <c r="Z21" i="7"/>
  <c r="AK18" i="11" s="1"/>
  <c r="AA19" i="7"/>
  <c r="D10" i="7"/>
  <c r="Q12" i="7"/>
  <c r="D32" i="7"/>
  <c r="G32" i="7"/>
  <c r="J20" i="7"/>
  <c r="I20" i="7"/>
  <c r="H24" i="7"/>
  <c r="Q30" i="7"/>
  <c r="D13" i="7"/>
  <c r="D39" i="7"/>
  <c r="N31" i="7"/>
  <c r="Q26" i="7"/>
  <c r="R32" i="7"/>
  <c r="Q32" i="7"/>
  <c r="F31" i="7"/>
  <c r="C24" i="7"/>
  <c r="G20" i="7"/>
  <c r="D20" i="7"/>
  <c r="F27" i="7"/>
  <c r="F11" i="7"/>
  <c r="D15" i="7"/>
  <c r="F22" i="7"/>
  <c r="Q27" i="7"/>
  <c r="L22" i="7"/>
  <c r="I26" i="7"/>
  <c r="AB19" i="7"/>
  <c r="Y21" i="7"/>
  <c r="AC30" i="7"/>
  <c r="F30" i="7"/>
  <c r="F38" i="7"/>
  <c r="L38" i="7"/>
  <c r="Q22" i="7"/>
  <c r="N28" i="7"/>
  <c r="M34" i="7"/>
  <c r="N34" i="7" s="1"/>
  <c r="L13" i="7"/>
  <c r="Q31" i="7"/>
  <c r="L26" i="7"/>
  <c r="R28" i="7"/>
  <c r="Q28" i="7"/>
  <c r="P34" i="7"/>
  <c r="I30" i="7"/>
  <c r="M24" i="7"/>
  <c r="N20" i="7"/>
  <c r="L30" i="7"/>
  <c r="K34" i="7"/>
  <c r="O28" i="7"/>
  <c r="L28" i="7"/>
  <c r="F12" i="7"/>
  <c r="L46" i="7"/>
  <c r="J32" i="7"/>
  <c r="I32" i="7"/>
  <c r="D22" i="7"/>
  <c r="J28" i="7"/>
  <c r="I28" i="7"/>
  <c r="H34" i="7"/>
  <c r="L42" i="7"/>
  <c r="L10" i="7"/>
  <c r="L32" i="7"/>
  <c r="O32" i="7"/>
  <c r="F28" i="7"/>
  <c r="E34" i="7"/>
  <c r="F34" i="7" s="1"/>
  <c r="R20" i="7"/>
  <c r="Q20" i="7"/>
  <c r="P24" i="7"/>
  <c r="L11" i="7"/>
  <c r="E24" i="7"/>
  <c r="F20" i="7"/>
  <c r="F26" i="7"/>
  <c r="Q42" i="7"/>
  <c r="F39" i="7"/>
  <c r="C34" i="7"/>
  <c r="G28" i="7"/>
  <c r="D28" i="7"/>
  <c r="D46" i="7"/>
  <c r="L39" i="7"/>
  <c r="L12" i="7"/>
  <c r="I27" i="7"/>
  <c r="J28" i="5"/>
  <c r="I28" i="5"/>
  <c r="D16" i="5"/>
  <c r="D20" i="5"/>
  <c r="D14" i="5"/>
  <c r="D30" i="5"/>
  <c r="D11" i="5"/>
  <c r="D17" i="5"/>
  <c r="D15" i="5"/>
  <c r="D38" i="5"/>
  <c r="G20" i="5"/>
  <c r="C24" i="5"/>
  <c r="D12" i="5"/>
  <c r="N12" i="5"/>
  <c r="N10" i="5"/>
  <c r="N42" i="5"/>
  <c r="N39" i="5"/>
  <c r="N16" i="5"/>
  <c r="N28" i="5"/>
  <c r="N27" i="5"/>
  <c r="N26" i="5"/>
  <c r="N18" i="5"/>
  <c r="N14" i="5"/>
  <c r="N38" i="5"/>
  <c r="N46" i="5"/>
  <c r="N30" i="5"/>
  <c r="M24" i="5"/>
  <c r="M36" i="5" s="1"/>
  <c r="N22" i="5"/>
  <c r="N15" i="5"/>
  <c r="N19" i="5"/>
  <c r="N11" i="5"/>
  <c r="N17" i="5"/>
  <c r="N34" i="5"/>
  <c r="N32" i="5"/>
  <c r="N31" i="5"/>
  <c r="N20" i="5"/>
  <c r="N13" i="5"/>
  <c r="L18" i="5"/>
  <c r="D27" i="5"/>
  <c r="O28" i="5"/>
  <c r="K34" i="5"/>
  <c r="L28" i="5"/>
  <c r="L17" i="5"/>
  <c r="L31" i="5"/>
  <c r="L20" i="5"/>
  <c r="L19" i="5"/>
  <c r="L12" i="5"/>
  <c r="L10" i="5"/>
  <c r="L30" i="5"/>
  <c r="L39" i="5"/>
  <c r="L16" i="5"/>
  <c r="L14" i="5"/>
  <c r="O20" i="5"/>
  <c r="L11" i="5"/>
  <c r="L38" i="5"/>
  <c r="K24" i="5"/>
  <c r="L15" i="5"/>
  <c r="I11" i="5"/>
  <c r="I15" i="5"/>
  <c r="H24" i="5"/>
  <c r="J20" i="5"/>
  <c r="I16" i="5"/>
  <c r="I12" i="5"/>
  <c r="I10" i="5"/>
  <c r="I14" i="5"/>
  <c r="I46" i="5"/>
  <c r="E34" i="5"/>
  <c r="Q46" i="5"/>
  <c r="Q12" i="5"/>
  <c r="P24" i="5"/>
  <c r="Q11" i="5"/>
  <c r="R20" i="5"/>
  <c r="Q15" i="5"/>
  <c r="Q20" i="5"/>
  <c r="Q17" i="5"/>
  <c r="Q10" i="5"/>
  <c r="Q42" i="5"/>
  <c r="Q16" i="5"/>
  <c r="Q14" i="5"/>
  <c r="L46" i="5"/>
  <c r="D46" i="5"/>
  <c r="Q31" i="5"/>
  <c r="P34" i="5"/>
  <c r="R28" i="5"/>
  <c r="Q28" i="5"/>
  <c r="F45" i="5"/>
  <c r="F42" i="5"/>
  <c r="F14" i="5"/>
  <c r="E24" i="5"/>
  <c r="F46" i="5"/>
  <c r="F30" i="5"/>
  <c r="F43" i="5"/>
  <c r="F28" i="5"/>
  <c r="F27" i="5"/>
  <c r="F26" i="5"/>
  <c r="F11" i="5"/>
  <c r="F36" i="5"/>
  <c r="F31" i="5"/>
  <c r="F22" i="5"/>
  <c r="F17" i="5"/>
  <c r="F15" i="5"/>
  <c r="F38" i="5"/>
  <c r="F24" i="5"/>
  <c r="F12" i="5"/>
  <c r="F10" i="5"/>
  <c r="F41" i="5"/>
  <c r="F39" i="5"/>
  <c r="F34" i="5"/>
  <c r="F32" i="5"/>
  <c r="F20" i="5"/>
  <c r="F19" i="5"/>
  <c r="F18" i="5"/>
  <c r="F16" i="5"/>
  <c r="F13" i="5"/>
  <c r="R32" i="5"/>
  <c r="Q32" i="5"/>
  <c r="D42" i="5"/>
  <c r="D13" i="5"/>
  <c r="I22" i="5"/>
  <c r="D26" i="5"/>
  <c r="G28" i="5"/>
  <c r="C34" i="5"/>
  <c r="D28" i="5"/>
  <c r="H34" i="5"/>
  <c r="J32" i="5"/>
  <c r="I32" i="5"/>
  <c r="X21" i="4"/>
  <c r="Z21" i="6" s="1"/>
  <c r="AC21" i="6" s="1"/>
  <c r="G32" i="4"/>
  <c r="D32" i="4"/>
  <c r="R32" i="4"/>
  <c r="Q32" i="4"/>
  <c r="N15" i="4"/>
  <c r="N39" i="4"/>
  <c r="N14" i="4"/>
  <c r="F12" i="4"/>
  <c r="AB19" i="4"/>
  <c r="F15" i="4"/>
  <c r="O20" i="4"/>
  <c r="K24" i="4"/>
  <c r="L20" i="4"/>
  <c r="F39" i="4"/>
  <c r="F14" i="4"/>
  <c r="N32" i="4"/>
  <c r="M24" i="4"/>
  <c r="N20" i="4"/>
  <c r="L18" i="4"/>
  <c r="L10" i="4"/>
  <c r="N38" i="4"/>
  <c r="L19" i="4"/>
  <c r="F30" i="4"/>
  <c r="L28" i="4"/>
  <c r="O28" i="4"/>
  <c r="K34" i="4"/>
  <c r="F18" i="4"/>
  <c r="N10" i="4"/>
  <c r="J32" i="4"/>
  <c r="I32" i="4"/>
  <c r="F11" i="4"/>
  <c r="Q26" i="4"/>
  <c r="L17" i="4"/>
  <c r="F32" i="4"/>
  <c r="L46" i="4"/>
  <c r="M34" i="4"/>
  <c r="N34" i="4" s="1"/>
  <c r="N28" i="4"/>
  <c r="E24" i="4"/>
  <c r="F20" i="4"/>
  <c r="L22" i="4"/>
  <c r="G20" i="4"/>
  <c r="C24" i="4"/>
  <c r="D20" i="4"/>
  <c r="N46" i="4"/>
  <c r="N31" i="4"/>
  <c r="P34" i="4"/>
  <c r="R28" i="4"/>
  <c r="Q28" i="4"/>
  <c r="AA17" i="4"/>
  <c r="F10" i="4"/>
  <c r="D39" i="4"/>
  <c r="D10" i="4"/>
  <c r="F46" i="4"/>
  <c r="F31" i="4"/>
  <c r="D17" i="4"/>
  <c r="Q10" i="4"/>
  <c r="N13" i="4"/>
  <c r="O32" i="4"/>
  <c r="L32" i="4"/>
  <c r="E34" i="4"/>
  <c r="F34" i="4" s="1"/>
  <c r="F28" i="4"/>
  <c r="L27" i="4"/>
  <c r="D28" i="4"/>
  <c r="C34" i="4"/>
  <c r="G28" i="4"/>
  <c r="L39" i="4"/>
  <c r="J20" i="4"/>
  <c r="H24" i="4"/>
  <c r="N19" i="4"/>
  <c r="D22" i="4"/>
  <c r="N16" i="4"/>
  <c r="N42" i="4"/>
  <c r="I26" i="4"/>
  <c r="Y19" i="4"/>
  <c r="L16" i="4"/>
  <c r="F13" i="4"/>
  <c r="N17" i="4"/>
  <c r="F16" i="4"/>
  <c r="I11" i="4"/>
  <c r="L38" i="4"/>
  <c r="F42" i="4"/>
  <c r="H34" i="4"/>
  <c r="J28" i="4"/>
  <c r="I28" i="4"/>
  <c r="D46" i="4"/>
  <c r="Q20" i="4"/>
  <c r="R20" i="4"/>
  <c r="P24" i="4"/>
  <c r="N12" i="4"/>
  <c r="AA30" i="3"/>
  <c r="D20" i="3"/>
  <c r="G20" i="3"/>
  <c r="D12" i="3"/>
  <c r="C24" i="3"/>
  <c r="D22" i="3"/>
  <c r="D16" i="3"/>
  <c r="D14" i="3"/>
  <c r="D30" i="3"/>
  <c r="D18" i="3"/>
  <c r="X21" i="3"/>
  <c r="Z21" i="3" s="1"/>
  <c r="N12" i="3"/>
  <c r="M24" i="3"/>
  <c r="N11" i="3"/>
  <c r="N20" i="3"/>
  <c r="N15" i="3"/>
  <c r="N13" i="3"/>
  <c r="N27" i="3"/>
  <c r="N26" i="3"/>
  <c r="N17" i="3"/>
  <c r="N10" i="3"/>
  <c r="L42" i="3"/>
  <c r="N19" i="3"/>
  <c r="D31" i="3"/>
  <c r="AC19" i="3"/>
  <c r="N42" i="3"/>
  <c r="L32" i="3"/>
  <c r="R32" i="3"/>
  <c r="Q32" i="3"/>
  <c r="L11" i="3"/>
  <c r="L31" i="3"/>
  <c r="F12" i="3"/>
  <c r="E24" i="3"/>
  <c r="F11" i="3"/>
  <c r="F20" i="3"/>
  <c r="F15" i="3"/>
  <c r="F13" i="3"/>
  <c r="F17" i="3"/>
  <c r="F26" i="3"/>
  <c r="F27" i="3"/>
  <c r="F10" i="3"/>
  <c r="AC17" i="3"/>
  <c r="Z17" i="3"/>
  <c r="N31" i="3"/>
  <c r="Q20" i="3"/>
  <c r="Q15" i="3"/>
  <c r="Q30" i="3"/>
  <c r="Q18" i="3"/>
  <c r="Q14" i="3"/>
  <c r="P24" i="3"/>
  <c r="R20" i="3"/>
  <c r="Q11" i="3"/>
  <c r="L46" i="3"/>
  <c r="E34" i="3"/>
  <c r="F34" i="3" s="1"/>
  <c r="D39" i="3"/>
  <c r="D13" i="3"/>
  <c r="D19" i="3"/>
  <c r="L13" i="3"/>
  <c r="P34" i="3"/>
  <c r="R28" i="3"/>
  <c r="Q28" i="3"/>
  <c r="L39" i="3"/>
  <c r="L27" i="3"/>
  <c r="L38" i="3"/>
  <c r="D10" i="3"/>
  <c r="O20" i="3"/>
  <c r="L12" i="3"/>
  <c r="L20" i="3"/>
  <c r="K24" i="3"/>
  <c r="L22" i="3"/>
  <c r="L16" i="3"/>
  <c r="L18" i="3"/>
  <c r="L30" i="3"/>
  <c r="L14" i="3"/>
  <c r="L10" i="3"/>
  <c r="L19" i="3"/>
  <c r="L26" i="3"/>
  <c r="J32" i="3"/>
  <c r="I32" i="3"/>
  <c r="D42" i="3"/>
  <c r="H34" i="3"/>
  <c r="J28" i="3"/>
  <c r="I28" i="3"/>
  <c r="N30" i="3"/>
  <c r="N14" i="3"/>
  <c r="F16" i="3"/>
  <c r="I15" i="3"/>
  <c r="H24" i="3"/>
  <c r="H24" i="6" s="1"/>
  <c r="I30" i="3"/>
  <c r="I18" i="3"/>
  <c r="I14" i="3"/>
  <c r="I11" i="3"/>
  <c r="I16" i="3"/>
  <c r="J20" i="3"/>
  <c r="F42" i="3"/>
  <c r="D27" i="3"/>
  <c r="D46" i="3"/>
  <c r="F14" i="3"/>
  <c r="G32" i="3"/>
  <c r="Y30" i="3"/>
  <c r="AA30" i="6" s="1"/>
  <c r="D15" i="3"/>
  <c r="F39" i="3"/>
  <c r="L17" i="3"/>
  <c r="L28" i="3"/>
  <c r="F31" i="3"/>
  <c r="D32" i="3"/>
  <c r="AC12" i="11" l="1"/>
  <c r="AD12" i="11"/>
  <c r="Q20" i="6"/>
  <c r="Q18" i="6"/>
  <c r="Q10" i="6"/>
  <c r="Q22" i="6"/>
  <c r="P24" i="6"/>
  <c r="Q12" i="6"/>
  <c r="AE9" i="11"/>
  <c r="Z19" i="3"/>
  <c r="E36" i="5"/>
  <c r="E41" i="5" s="1"/>
  <c r="E43" i="5" s="1"/>
  <c r="O13" i="6"/>
  <c r="K13" i="11"/>
  <c r="L13" i="6"/>
  <c r="G38" i="11"/>
  <c r="H33" i="6"/>
  <c r="H30" i="11"/>
  <c r="I30" i="6"/>
  <c r="J30" i="6"/>
  <c r="J15" i="6"/>
  <c r="H15" i="11"/>
  <c r="I15" i="6"/>
  <c r="AB21" i="9"/>
  <c r="AB30" i="8"/>
  <c r="Y14" i="11"/>
  <c r="Y15" i="11" s="1"/>
  <c r="Y18" i="11" s="1"/>
  <c r="Y23" i="11" s="1"/>
  <c r="AC23" i="11" s="1"/>
  <c r="R42" i="6"/>
  <c r="P42" i="11"/>
  <c r="Q42" i="6"/>
  <c r="X21" i="6"/>
  <c r="AH15" i="11"/>
  <c r="AB17" i="6"/>
  <c r="AI14" i="11" s="1"/>
  <c r="AK14" i="11"/>
  <c r="AB14" i="11"/>
  <c r="AB15" i="11" s="1"/>
  <c r="X14" i="11"/>
  <c r="AA19" i="6"/>
  <c r="R18" i="11"/>
  <c r="C26" i="11"/>
  <c r="C28" i="6"/>
  <c r="G26" i="6"/>
  <c r="D26" i="6"/>
  <c r="P16" i="11"/>
  <c r="R16" i="6"/>
  <c r="Q16" i="6"/>
  <c r="AD10" i="11"/>
  <c r="AC10" i="11"/>
  <c r="J38" i="6"/>
  <c r="H38" i="11"/>
  <c r="I38" i="6"/>
  <c r="W24" i="11"/>
  <c r="K27" i="11"/>
  <c r="L27" i="6"/>
  <c r="J39" i="6"/>
  <c r="H39" i="11"/>
  <c r="I39" i="6"/>
  <c r="I32" i="6"/>
  <c r="AE11" i="11"/>
  <c r="C34" i="3"/>
  <c r="D34" i="3" s="1"/>
  <c r="D28" i="3"/>
  <c r="G28" i="3"/>
  <c r="G39" i="11"/>
  <c r="AD9" i="11"/>
  <c r="K12" i="11"/>
  <c r="O12" i="6"/>
  <c r="L12" i="6"/>
  <c r="J27" i="6"/>
  <c r="H27" i="11"/>
  <c r="I27" i="6"/>
  <c r="G13" i="6"/>
  <c r="C13" i="11"/>
  <c r="AF3" i="9"/>
  <c r="T6" i="9"/>
  <c r="E20" i="6"/>
  <c r="E10" i="11"/>
  <c r="F10" i="6"/>
  <c r="I20" i="11"/>
  <c r="O13" i="11"/>
  <c r="G10" i="6"/>
  <c r="P33" i="6"/>
  <c r="P30" i="11"/>
  <c r="R30" i="6"/>
  <c r="Q30" i="6"/>
  <c r="J42" i="6"/>
  <c r="H42" i="11"/>
  <c r="I42" i="6"/>
  <c r="L42" i="6"/>
  <c r="K24" i="6"/>
  <c r="L18" i="6"/>
  <c r="L38" i="6"/>
  <c r="L46" i="6"/>
  <c r="L20" i="6"/>
  <c r="L22" i="6"/>
  <c r="L32" i="6"/>
  <c r="L39" i="6"/>
  <c r="L10" i="6"/>
  <c r="C11" i="11"/>
  <c r="G19" i="11"/>
  <c r="K28" i="6"/>
  <c r="L28" i="6" s="1"/>
  <c r="L26" i="6"/>
  <c r="O26" i="6"/>
  <c r="C12" i="11"/>
  <c r="G12" i="6"/>
  <c r="D12" i="6"/>
  <c r="AC19" i="6"/>
  <c r="R14" i="6"/>
  <c r="P14" i="11"/>
  <c r="Q14" i="6"/>
  <c r="P17" i="11"/>
  <c r="Q17" i="6"/>
  <c r="X15" i="11"/>
  <c r="R38" i="6"/>
  <c r="P38" i="11"/>
  <c r="Q38" i="6"/>
  <c r="R12" i="11"/>
  <c r="J18" i="6"/>
  <c r="H18" i="11"/>
  <c r="I18" i="6"/>
  <c r="R22" i="6"/>
  <c r="K17" i="11"/>
  <c r="O17" i="6"/>
  <c r="L17" i="6"/>
  <c r="U30" i="9"/>
  <c r="AA30" i="9" s="1"/>
  <c r="AA30" i="8"/>
  <c r="J10" i="6"/>
  <c r="J26" i="6"/>
  <c r="E26" i="11"/>
  <c r="T13" i="6"/>
  <c r="F26" i="6"/>
  <c r="E28" i="6"/>
  <c r="AE17" i="6"/>
  <c r="AA14" i="11"/>
  <c r="AE14" i="11" s="1"/>
  <c r="AD19" i="6"/>
  <c r="AE19" i="6" s="1"/>
  <c r="M34" i="3"/>
  <c r="N34" i="3" s="1"/>
  <c r="N28" i="3"/>
  <c r="O28" i="3"/>
  <c r="K34" i="3"/>
  <c r="U7" i="9"/>
  <c r="X7" i="9" s="1"/>
  <c r="K7" i="9"/>
  <c r="AA30" i="10"/>
  <c r="V40" i="7"/>
  <c r="V41" i="7" s="1"/>
  <c r="V42" i="7" s="1"/>
  <c r="X42" i="7" s="1"/>
  <c r="P28" i="6"/>
  <c r="P26" i="11"/>
  <c r="Q26" i="6"/>
  <c r="N36" i="9"/>
  <c r="R36" i="9"/>
  <c r="Y19" i="6"/>
  <c r="AG15" i="11" s="1"/>
  <c r="AD11" i="11"/>
  <c r="AC11" i="11"/>
  <c r="AC22" i="11"/>
  <c r="R13" i="6"/>
  <c r="P13" i="11"/>
  <c r="Q13" i="6"/>
  <c r="W14" i="11"/>
  <c r="W15" i="11" s="1"/>
  <c r="W18" i="11" s="1"/>
  <c r="W23" i="11" s="1"/>
  <c r="W30" i="4"/>
  <c r="Y21" i="6"/>
  <c r="W21" i="3"/>
  <c r="W30" i="3" s="1"/>
  <c r="E32" i="11"/>
  <c r="C20" i="6"/>
  <c r="M20" i="6"/>
  <c r="N10" i="6" s="1"/>
  <c r="M10" i="11"/>
  <c r="R10" i="11" s="1"/>
  <c r="C42" i="11"/>
  <c r="J34" i="9"/>
  <c r="F34" i="9"/>
  <c r="J10" i="11"/>
  <c r="I16" i="6"/>
  <c r="H16" i="11"/>
  <c r="J16" i="6"/>
  <c r="P20" i="11"/>
  <c r="Q10" i="11" s="1"/>
  <c r="J11" i="6"/>
  <c r="H11" i="11"/>
  <c r="H20" i="11" s="1"/>
  <c r="I11" i="6"/>
  <c r="L14" i="6"/>
  <c r="K14" i="11"/>
  <c r="O14" i="6"/>
  <c r="J46" i="6"/>
  <c r="H46" i="11"/>
  <c r="I46" i="6"/>
  <c r="R26" i="6"/>
  <c r="M26" i="11"/>
  <c r="M28" i="6"/>
  <c r="G11" i="6"/>
  <c r="R32" i="6"/>
  <c r="Q32" i="6"/>
  <c r="H17" i="11"/>
  <c r="I17" i="6"/>
  <c r="E22" i="11"/>
  <c r="J22" i="11" s="1"/>
  <c r="F22" i="6"/>
  <c r="T11" i="6"/>
  <c r="J12" i="11"/>
  <c r="AE19" i="11"/>
  <c r="AC19" i="11"/>
  <c r="O15" i="11"/>
  <c r="G17" i="6"/>
  <c r="C17" i="11"/>
  <c r="AD13" i="11"/>
  <c r="Z14" i="11"/>
  <c r="Z15" i="11" s="1"/>
  <c r="AC17" i="6"/>
  <c r="G46" i="11"/>
  <c r="K16" i="11"/>
  <c r="O16" i="6"/>
  <c r="L16" i="6"/>
  <c r="O32" i="3"/>
  <c r="C16" i="11"/>
  <c r="G16" i="11" s="1"/>
  <c r="G16" i="6"/>
  <c r="J19" i="11"/>
  <c r="AC21" i="11"/>
  <c r="AD19" i="11"/>
  <c r="O27" i="6"/>
  <c r="F36" i="9"/>
  <c r="J36" i="9"/>
  <c r="E58" i="7"/>
  <c r="R39" i="6"/>
  <c r="P39" i="11"/>
  <c r="Q39" i="6"/>
  <c r="G18" i="6"/>
  <c r="C18" i="11"/>
  <c r="G18" i="11" s="1"/>
  <c r="O31" i="11"/>
  <c r="M30" i="11"/>
  <c r="N30" i="6"/>
  <c r="M33" i="6"/>
  <c r="C14" i="11"/>
  <c r="G14" i="6"/>
  <c r="D14" i="6"/>
  <c r="C30" i="11"/>
  <c r="G30" i="6"/>
  <c r="C33" i="6"/>
  <c r="D30" i="6"/>
  <c r="AC9" i="11"/>
  <c r="O18" i="11"/>
  <c r="K11" i="11"/>
  <c r="L11" i="6"/>
  <c r="K33" i="6"/>
  <c r="O30" i="6"/>
  <c r="L30" i="6"/>
  <c r="R11" i="6"/>
  <c r="P11" i="11"/>
  <c r="Q11" i="6"/>
  <c r="R46" i="6"/>
  <c r="P46" i="11"/>
  <c r="Q46" i="6"/>
  <c r="I24" i="6"/>
  <c r="G15" i="11"/>
  <c r="M22" i="11"/>
  <c r="R27" i="6"/>
  <c r="P27" i="11"/>
  <c r="Q27" i="6"/>
  <c r="J13" i="6"/>
  <c r="H13" i="11"/>
  <c r="I13" i="6"/>
  <c r="G31" i="11"/>
  <c r="R15" i="6"/>
  <c r="P15" i="11"/>
  <c r="Q15" i="6"/>
  <c r="AA17" i="9"/>
  <c r="Z17" i="9"/>
  <c r="I26" i="6"/>
  <c r="H26" i="11"/>
  <c r="G22" i="11"/>
  <c r="J14" i="6"/>
  <c r="H14" i="11"/>
  <c r="I14" i="6"/>
  <c r="C27" i="11"/>
  <c r="D27" i="6"/>
  <c r="O11" i="6"/>
  <c r="AB21" i="6"/>
  <c r="Q36" i="10"/>
  <c r="P41" i="10"/>
  <c r="P45" i="10"/>
  <c r="R36" i="10"/>
  <c r="G24" i="10"/>
  <c r="C36" i="10"/>
  <c r="C59" i="7" s="1"/>
  <c r="L41" i="10"/>
  <c r="L34" i="10"/>
  <c r="L30" i="10"/>
  <c r="O20" i="10"/>
  <c r="L19" i="10"/>
  <c r="L10" i="10"/>
  <c r="L45" i="10"/>
  <c r="L17" i="10"/>
  <c r="L14" i="10"/>
  <c r="L27" i="10"/>
  <c r="L12" i="10"/>
  <c r="L42" i="10"/>
  <c r="L39" i="10"/>
  <c r="L38" i="10"/>
  <c r="L32" i="10"/>
  <c r="L31" i="10"/>
  <c r="L20" i="10"/>
  <c r="L18" i="10"/>
  <c r="L15" i="10"/>
  <c r="L46" i="10"/>
  <c r="L43" i="10"/>
  <c r="L24" i="10"/>
  <c r="L22" i="10"/>
  <c r="L11" i="10"/>
  <c r="L36" i="10"/>
  <c r="L26" i="10"/>
  <c r="L28" i="10"/>
  <c r="K26" i="10"/>
  <c r="K26" i="11" s="1"/>
  <c r="L16" i="10"/>
  <c r="L13" i="10"/>
  <c r="K32" i="10"/>
  <c r="O28" i="10"/>
  <c r="G32" i="10"/>
  <c r="C34" i="10"/>
  <c r="G34" i="10" s="1"/>
  <c r="E45" i="10"/>
  <c r="I45" i="10" s="1"/>
  <c r="I36" i="10"/>
  <c r="E41" i="10"/>
  <c r="X30" i="10"/>
  <c r="AA21" i="10"/>
  <c r="R34" i="10"/>
  <c r="Q34" i="10"/>
  <c r="D41" i="10"/>
  <c r="D34" i="10"/>
  <c r="D27" i="10"/>
  <c r="D12" i="10"/>
  <c r="D10" i="10"/>
  <c r="D45" i="10"/>
  <c r="D42" i="10"/>
  <c r="D22" i="10"/>
  <c r="D15" i="10"/>
  <c r="D46" i="10"/>
  <c r="D38" i="10"/>
  <c r="D20" i="10"/>
  <c r="D11" i="10"/>
  <c r="D39" i="10"/>
  <c r="D32" i="10"/>
  <c r="D31" i="10"/>
  <c r="D16" i="10"/>
  <c r="D43" i="10"/>
  <c r="D26" i="10"/>
  <c r="D24" i="10"/>
  <c r="D36" i="10"/>
  <c r="D17" i="10"/>
  <c r="D13" i="10"/>
  <c r="D30" i="10"/>
  <c r="D28" i="10"/>
  <c r="G20" i="10"/>
  <c r="D19" i="10"/>
  <c r="D18" i="10"/>
  <c r="D14" i="10"/>
  <c r="H41" i="10"/>
  <c r="H45" i="10"/>
  <c r="J45" i="10" s="1"/>
  <c r="J36" i="10"/>
  <c r="Y30" i="10"/>
  <c r="AC21" i="10"/>
  <c r="Z21" i="10"/>
  <c r="K45" i="10"/>
  <c r="O45" i="10" s="1"/>
  <c r="O41" i="10"/>
  <c r="M45" i="10"/>
  <c r="M41" i="10"/>
  <c r="M43" i="10" s="1"/>
  <c r="Z19" i="10"/>
  <c r="Z30" i="9"/>
  <c r="Y30" i="8"/>
  <c r="Z21" i="8"/>
  <c r="AC21" i="8"/>
  <c r="AA21" i="8"/>
  <c r="H41" i="8"/>
  <c r="H41" i="9" s="1"/>
  <c r="I41" i="9" s="1"/>
  <c r="J36" i="8"/>
  <c r="I36" i="8"/>
  <c r="N36" i="8"/>
  <c r="M41" i="8"/>
  <c r="M41" i="9" s="1"/>
  <c r="G36" i="8"/>
  <c r="C41" i="8"/>
  <c r="F36" i="8"/>
  <c r="E41" i="8"/>
  <c r="E41" i="9" s="1"/>
  <c r="O36" i="8"/>
  <c r="K41" i="8"/>
  <c r="P41" i="8"/>
  <c r="P41" i="9" s="1"/>
  <c r="Q41" i="9" s="1"/>
  <c r="R36" i="8"/>
  <c r="Q36" i="8"/>
  <c r="L24" i="7"/>
  <c r="K36" i="7"/>
  <c r="O24" i="7"/>
  <c r="D34" i="7"/>
  <c r="G34" i="7"/>
  <c r="J34" i="7"/>
  <c r="I34" i="7"/>
  <c r="D24" i="7"/>
  <c r="C36" i="7"/>
  <c r="G24" i="7"/>
  <c r="R24" i="7"/>
  <c r="Q24" i="7"/>
  <c r="P36" i="7"/>
  <c r="R34" i="7"/>
  <c r="Q34" i="7"/>
  <c r="J24" i="7"/>
  <c r="I24" i="7"/>
  <c r="H36" i="7"/>
  <c r="L34" i="7"/>
  <c r="O34" i="7"/>
  <c r="AA21" i="7"/>
  <c r="Z30" i="7"/>
  <c r="AA30" i="7" s="1"/>
  <c r="AD21" i="7"/>
  <c r="F24" i="7"/>
  <c r="E36" i="7"/>
  <c r="N24" i="7"/>
  <c r="M36" i="7"/>
  <c r="AB21" i="7"/>
  <c r="Y30" i="7"/>
  <c r="R34" i="5"/>
  <c r="Q34" i="5"/>
  <c r="D34" i="5"/>
  <c r="G34" i="5"/>
  <c r="L34" i="5"/>
  <c r="O34" i="5"/>
  <c r="M41" i="5"/>
  <c r="K36" i="5"/>
  <c r="O24" i="5"/>
  <c r="L24" i="5"/>
  <c r="C36" i="5"/>
  <c r="G24" i="5"/>
  <c r="D24" i="5"/>
  <c r="R24" i="5"/>
  <c r="Q24" i="5"/>
  <c r="P36" i="5"/>
  <c r="J34" i="5"/>
  <c r="I34" i="5"/>
  <c r="J24" i="5"/>
  <c r="I24" i="5"/>
  <c r="H36" i="5"/>
  <c r="N24" i="5"/>
  <c r="N36" i="5"/>
  <c r="R34" i="4"/>
  <c r="Q34" i="4"/>
  <c r="F24" i="4"/>
  <c r="E36" i="4"/>
  <c r="H36" i="4"/>
  <c r="J24" i="4"/>
  <c r="I24" i="4"/>
  <c r="K36" i="4"/>
  <c r="O24" i="4"/>
  <c r="L24" i="4"/>
  <c r="J34" i="4"/>
  <c r="I34" i="4"/>
  <c r="Y21" i="4"/>
  <c r="Z19" i="4"/>
  <c r="G24" i="4"/>
  <c r="C36" i="4"/>
  <c r="D24" i="4"/>
  <c r="O34" i="4"/>
  <c r="L34" i="4"/>
  <c r="N24" i="4"/>
  <c r="M36" i="4"/>
  <c r="AC19" i="4"/>
  <c r="AB21" i="4"/>
  <c r="P36" i="4"/>
  <c r="R24" i="4"/>
  <c r="Q24" i="4"/>
  <c r="G34" i="4"/>
  <c r="D34" i="4"/>
  <c r="AA21" i="4"/>
  <c r="X30" i="4"/>
  <c r="Z30" i="6" s="1"/>
  <c r="Z24" i="11" s="1"/>
  <c r="AA19" i="4"/>
  <c r="L24" i="3"/>
  <c r="O24" i="3"/>
  <c r="K36" i="3"/>
  <c r="N24" i="3"/>
  <c r="M36" i="3"/>
  <c r="R34" i="3"/>
  <c r="Q34" i="3"/>
  <c r="G34" i="3"/>
  <c r="J34" i="3"/>
  <c r="I34" i="3"/>
  <c r="P36" i="3"/>
  <c r="Q24" i="3"/>
  <c r="R24" i="3"/>
  <c r="X30" i="3"/>
  <c r="Z30" i="3" s="1"/>
  <c r="AA21" i="3"/>
  <c r="D24" i="3"/>
  <c r="G24" i="3"/>
  <c r="H36" i="3"/>
  <c r="I24" i="3"/>
  <c r="J24" i="3"/>
  <c r="F24" i="3"/>
  <c r="E36" i="3"/>
  <c r="O26" i="11" l="1"/>
  <c r="L26" i="11"/>
  <c r="K28" i="11"/>
  <c r="AD23" i="11"/>
  <c r="H24" i="11"/>
  <c r="I31" i="11"/>
  <c r="I22" i="11"/>
  <c r="I10" i="11"/>
  <c r="I12" i="11"/>
  <c r="AC15" i="11"/>
  <c r="AB18" i="11"/>
  <c r="AD15" i="11"/>
  <c r="Z18" i="11"/>
  <c r="C36" i="3"/>
  <c r="J46" i="11"/>
  <c r="I46" i="11"/>
  <c r="D20" i="6"/>
  <c r="D42" i="6"/>
  <c r="D32" i="6"/>
  <c r="C24" i="6"/>
  <c r="D38" i="6"/>
  <c r="D46" i="6"/>
  <c r="D22" i="6"/>
  <c r="G20" i="6"/>
  <c r="D39" i="6"/>
  <c r="D10" i="6"/>
  <c r="D15" i="6"/>
  <c r="R13" i="11"/>
  <c r="Q13" i="11"/>
  <c r="E28" i="11"/>
  <c r="R17" i="11"/>
  <c r="Q17" i="11"/>
  <c r="D11" i="6"/>
  <c r="I33" i="6"/>
  <c r="J33" i="6"/>
  <c r="H34" i="6"/>
  <c r="AK23" i="11"/>
  <c r="G14" i="11"/>
  <c r="J17" i="11"/>
  <c r="I17" i="11"/>
  <c r="J14" i="11"/>
  <c r="I14" i="11"/>
  <c r="N22" i="6"/>
  <c r="K34" i="6"/>
  <c r="L33" i="6"/>
  <c r="O33" i="6"/>
  <c r="N33" i="6"/>
  <c r="R39" i="11"/>
  <c r="Q39" i="11"/>
  <c r="G17" i="11"/>
  <c r="D17" i="11"/>
  <c r="G12" i="11"/>
  <c r="G11" i="11"/>
  <c r="D13" i="6"/>
  <c r="O27" i="11"/>
  <c r="L27" i="11"/>
  <c r="D28" i="6"/>
  <c r="AB30" i="9"/>
  <c r="AC30" i="9" s="1"/>
  <c r="AC21" i="9"/>
  <c r="AI20" i="11" s="1"/>
  <c r="AK20" i="11"/>
  <c r="AB20" i="11"/>
  <c r="AB24" i="11"/>
  <c r="F41" i="9"/>
  <c r="J41" i="9"/>
  <c r="R46" i="11"/>
  <c r="Q46" i="11"/>
  <c r="C34" i="6"/>
  <c r="D33" i="6"/>
  <c r="G33" i="6"/>
  <c r="T23" i="6"/>
  <c r="O16" i="11"/>
  <c r="Q20" i="11"/>
  <c r="Q19" i="11"/>
  <c r="P24" i="11"/>
  <c r="Q31" i="11"/>
  <c r="R14" i="11"/>
  <c r="Q14" i="11"/>
  <c r="K36" i="6"/>
  <c r="L24" i="6"/>
  <c r="R30" i="11"/>
  <c r="P32" i="11"/>
  <c r="Q30" i="11"/>
  <c r="L12" i="11"/>
  <c r="O12" i="11"/>
  <c r="G26" i="11"/>
  <c r="C28" i="11"/>
  <c r="D26" i="11"/>
  <c r="AB30" i="6"/>
  <c r="J13" i="11"/>
  <c r="I13" i="11"/>
  <c r="O14" i="11"/>
  <c r="Q33" i="6"/>
  <c r="R33" i="6"/>
  <c r="E20" i="11"/>
  <c r="F10" i="11" s="1"/>
  <c r="J39" i="11"/>
  <c r="I39" i="11"/>
  <c r="Q18" i="11"/>
  <c r="X30" i="6"/>
  <c r="AH18" i="11"/>
  <c r="J15" i="11"/>
  <c r="I15" i="11"/>
  <c r="AI18" i="11"/>
  <c r="M32" i="11"/>
  <c r="O28" i="6"/>
  <c r="N28" i="6"/>
  <c r="M34" i="6"/>
  <c r="N34" i="6" s="1"/>
  <c r="O11" i="11"/>
  <c r="L11" i="11"/>
  <c r="G30" i="11"/>
  <c r="C32" i="11"/>
  <c r="F22" i="11"/>
  <c r="N26" i="6"/>
  <c r="J16" i="11"/>
  <c r="I16" i="11"/>
  <c r="G42" i="11"/>
  <c r="Y30" i="6"/>
  <c r="AG18" i="11"/>
  <c r="X18" i="11"/>
  <c r="X23" i="11" s="1"/>
  <c r="AE23" i="11" s="1"/>
  <c r="G13" i="11"/>
  <c r="O34" i="3"/>
  <c r="L34" i="3"/>
  <c r="O17" i="11"/>
  <c r="R38" i="11"/>
  <c r="Q38" i="11"/>
  <c r="O20" i="6"/>
  <c r="F20" i="6"/>
  <c r="E24" i="6"/>
  <c r="F16" i="6"/>
  <c r="F38" i="6"/>
  <c r="F15" i="6"/>
  <c r="F18" i="6"/>
  <c r="F32" i="6"/>
  <c r="F39" i="6"/>
  <c r="F11" i="6"/>
  <c r="F12" i="6"/>
  <c r="F17" i="6"/>
  <c r="F27" i="6"/>
  <c r="F46" i="6"/>
  <c r="F14" i="6"/>
  <c r="F30" i="6"/>
  <c r="F42" i="6"/>
  <c r="J20" i="6"/>
  <c r="F33" i="6"/>
  <c r="F13" i="6"/>
  <c r="Q12" i="11"/>
  <c r="R20" i="6"/>
  <c r="AD21" i="6"/>
  <c r="AB21" i="3"/>
  <c r="J26" i="11"/>
  <c r="H28" i="11"/>
  <c r="I26" i="11"/>
  <c r="R15" i="11"/>
  <c r="Q15" i="11"/>
  <c r="R11" i="11"/>
  <c r="Q11" i="11"/>
  <c r="N26" i="11"/>
  <c r="M28" i="11"/>
  <c r="G28" i="6"/>
  <c r="J28" i="6"/>
  <c r="F28" i="6"/>
  <c r="T20" i="6"/>
  <c r="E34" i="6"/>
  <c r="G10" i="11"/>
  <c r="O22" i="11"/>
  <c r="Q22" i="11"/>
  <c r="AK15" i="11"/>
  <c r="AB19" i="6"/>
  <c r="AI15" i="11" s="1"/>
  <c r="R42" i="11"/>
  <c r="Q42" i="11"/>
  <c r="AA15" i="11"/>
  <c r="G27" i="11"/>
  <c r="D27" i="11"/>
  <c r="R27" i="11"/>
  <c r="Q27" i="11"/>
  <c r="J11" i="11"/>
  <c r="I11" i="11"/>
  <c r="M20" i="11"/>
  <c r="N30" i="11" s="1"/>
  <c r="R26" i="11"/>
  <c r="P28" i="11"/>
  <c r="Q26" i="11"/>
  <c r="C20" i="11"/>
  <c r="D11" i="11" s="1"/>
  <c r="J42" i="11"/>
  <c r="I42" i="11"/>
  <c r="R22" i="11"/>
  <c r="J27" i="11"/>
  <c r="I27" i="11"/>
  <c r="O10" i="11"/>
  <c r="J38" i="11"/>
  <c r="I38" i="11"/>
  <c r="R16" i="11"/>
  <c r="Q16" i="11"/>
  <c r="N41" i="9"/>
  <c r="R41" i="9"/>
  <c r="N13" i="6"/>
  <c r="N38" i="6"/>
  <c r="N20" i="6"/>
  <c r="N14" i="6"/>
  <c r="N46" i="6"/>
  <c r="M24" i="6"/>
  <c r="O24" i="6" s="1"/>
  <c r="N16" i="6"/>
  <c r="N32" i="6"/>
  <c r="N15" i="6"/>
  <c r="N11" i="6"/>
  <c r="N42" i="6"/>
  <c r="N39" i="6"/>
  <c r="N12" i="6"/>
  <c r="N17" i="6"/>
  <c r="N27" i="6"/>
  <c r="N18" i="6"/>
  <c r="Q28" i="6"/>
  <c r="P34" i="6"/>
  <c r="R28" i="6"/>
  <c r="J18" i="11"/>
  <c r="I18" i="11"/>
  <c r="K20" i="11"/>
  <c r="L16" i="11" s="1"/>
  <c r="AD14" i="11"/>
  <c r="AC14" i="11"/>
  <c r="J30" i="11"/>
  <c r="H32" i="11"/>
  <c r="I30" i="11"/>
  <c r="P36" i="6"/>
  <c r="R24" i="6"/>
  <c r="Q24" i="6"/>
  <c r="K30" i="10"/>
  <c r="K30" i="11" s="1"/>
  <c r="O26" i="10"/>
  <c r="P43" i="10"/>
  <c r="R41" i="10"/>
  <c r="Q41" i="10"/>
  <c r="C41" i="10"/>
  <c r="C45" i="10"/>
  <c r="G45" i="10" s="1"/>
  <c r="G36" i="10"/>
  <c r="H43" i="10"/>
  <c r="J43" i="10" s="1"/>
  <c r="J41" i="10"/>
  <c r="O32" i="10"/>
  <c r="K38" i="10"/>
  <c r="K38" i="11" s="1"/>
  <c r="E43" i="10"/>
  <c r="I41" i="10"/>
  <c r="R45" i="10"/>
  <c r="Q45" i="10"/>
  <c r="Q41" i="8"/>
  <c r="P43" i="8"/>
  <c r="P43" i="9" s="1"/>
  <c r="Q43" i="9" s="1"/>
  <c r="R41" i="8"/>
  <c r="O41" i="8"/>
  <c r="K43" i="8"/>
  <c r="E43" i="8"/>
  <c r="E43" i="9" s="1"/>
  <c r="F41" i="8"/>
  <c r="I41" i="8"/>
  <c r="H43" i="8"/>
  <c r="H43" i="9" s="1"/>
  <c r="I43" i="9" s="1"/>
  <c r="J41" i="8"/>
  <c r="G41" i="8"/>
  <c r="C43" i="8"/>
  <c r="M43" i="8"/>
  <c r="M43" i="9" s="1"/>
  <c r="N41" i="8"/>
  <c r="Z30" i="8"/>
  <c r="AC30" i="8"/>
  <c r="E41" i="7"/>
  <c r="E57" i="7"/>
  <c r="E60" i="7" s="1"/>
  <c r="E61" i="7" s="1"/>
  <c r="F36" i="7"/>
  <c r="AD30" i="7"/>
  <c r="J36" i="7"/>
  <c r="I36" i="7"/>
  <c r="H41" i="7"/>
  <c r="L36" i="7"/>
  <c r="K41" i="7"/>
  <c r="N57" i="7"/>
  <c r="N60" i="7" s="1"/>
  <c r="O36" i="7"/>
  <c r="D36" i="7"/>
  <c r="C41" i="7"/>
  <c r="C57" i="7"/>
  <c r="C60" i="7" s="1"/>
  <c r="C61" i="7" s="1"/>
  <c r="G36" i="7"/>
  <c r="M41" i="7"/>
  <c r="R57" i="7"/>
  <c r="R60" i="7" s="1"/>
  <c r="N36" i="7"/>
  <c r="R36" i="7"/>
  <c r="Q36" i="7"/>
  <c r="P41" i="7"/>
  <c r="N45" i="5"/>
  <c r="J36" i="5"/>
  <c r="I36" i="5"/>
  <c r="H41" i="5"/>
  <c r="M43" i="5"/>
  <c r="N43" i="5" s="1"/>
  <c r="N41" i="5"/>
  <c r="C41" i="5"/>
  <c r="G36" i="5"/>
  <c r="D36" i="5"/>
  <c r="R36" i="5"/>
  <c r="Q36" i="5"/>
  <c r="P41" i="5"/>
  <c r="K41" i="5"/>
  <c r="O36" i="5"/>
  <c r="L36" i="5"/>
  <c r="R36" i="4"/>
  <c r="Q36" i="4"/>
  <c r="P41" i="4"/>
  <c r="G36" i="4"/>
  <c r="C41" i="4"/>
  <c r="D36" i="4"/>
  <c r="O36" i="4"/>
  <c r="K41" i="4"/>
  <c r="L36" i="4"/>
  <c r="F36" i="4"/>
  <c r="E41" i="4"/>
  <c r="AB30" i="4"/>
  <c r="AC21" i="4"/>
  <c r="N36" i="4"/>
  <c r="M41" i="4"/>
  <c r="Z21" i="4"/>
  <c r="Y30" i="4"/>
  <c r="Z30" i="4" s="1"/>
  <c r="J36" i="4"/>
  <c r="I36" i="4"/>
  <c r="H41" i="4"/>
  <c r="F36" i="3"/>
  <c r="E41" i="3"/>
  <c r="N36" i="3"/>
  <c r="M41" i="3"/>
  <c r="J36" i="3"/>
  <c r="I36" i="3"/>
  <c r="H41" i="3"/>
  <c r="R36" i="3"/>
  <c r="Q36" i="3"/>
  <c r="P41" i="3"/>
  <c r="O36" i="3"/>
  <c r="L36" i="3"/>
  <c r="K41" i="3"/>
  <c r="G36" i="3"/>
  <c r="D36" i="3"/>
  <c r="C41" i="3"/>
  <c r="C45" i="3" l="1"/>
  <c r="E45" i="3"/>
  <c r="P45" i="3"/>
  <c r="K45" i="3"/>
  <c r="M45" i="3"/>
  <c r="H34" i="11"/>
  <c r="J28" i="11"/>
  <c r="I28" i="11"/>
  <c r="F24" i="6"/>
  <c r="T12" i="6"/>
  <c r="E36" i="6"/>
  <c r="J24" i="6"/>
  <c r="K41" i="6"/>
  <c r="L36" i="6"/>
  <c r="R20" i="11"/>
  <c r="F26" i="11"/>
  <c r="J32" i="11"/>
  <c r="I32" i="11"/>
  <c r="Q34" i="6"/>
  <c r="R34" i="6"/>
  <c r="P34" i="11"/>
  <c r="R28" i="11"/>
  <c r="Q28" i="11"/>
  <c r="N28" i="11"/>
  <c r="M34" i="11"/>
  <c r="N34" i="11" s="1"/>
  <c r="AH23" i="11"/>
  <c r="Y24" i="11"/>
  <c r="AC30" i="6"/>
  <c r="L14" i="11"/>
  <c r="N22" i="11"/>
  <c r="F32" i="11"/>
  <c r="L34" i="6"/>
  <c r="O34" i="6"/>
  <c r="F28" i="11"/>
  <c r="E34" i="11"/>
  <c r="F34" i="11" s="1"/>
  <c r="F43" i="9"/>
  <c r="J43" i="9"/>
  <c r="E64" i="7"/>
  <c r="AB30" i="3"/>
  <c r="AC30" i="3" s="1"/>
  <c r="AC21" i="3"/>
  <c r="I34" i="6"/>
  <c r="J34" i="6"/>
  <c r="H36" i="6"/>
  <c r="Z23" i="11"/>
  <c r="AD18" i="11"/>
  <c r="I24" i="11"/>
  <c r="H36" i="11"/>
  <c r="N43" i="9"/>
  <c r="R43" i="9"/>
  <c r="I43" i="10"/>
  <c r="E65" i="7"/>
  <c r="N10" i="11"/>
  <c r="AE21" i="6"/>
  <c r="AD30" i="6"/>
  <c r="G32" i="11"/>
  <c r="D32" i="11"/>
  <c r="D13" i="11"/>
  <c r="G24" i="6"/>
  <c r="D24" i="6"/>
  <c r="C36" i="6"/>
  <c r="J20" i="11"/>
  <c r="O38" i="11"/>
  <c r="L38" i="11"/>
  <c r="M24" i="11"/>
  <c r="N20" i="11"/>
  <c r="N31" i="11"/>
  <c r="N39" i="11"/>
  <c r="N13" i="11"/>
  <c r="N18" i="11"/>
  <c r="N17" i="11"/>
  <c r="N16" i="11"/>
  <c r="N19" i="11"/>
  <c r="N15" i="11"/>
  <c r="N38" i="11"/>
  <c r="N42" i="11"/>
  <c r="N12" i="11"/>
  <c r="N46" i="11"/>
  <c r="N27" i="11"/>
  <c r="N14" i="11"/>
  <c r="N11" i="11"/>
  <c r="AE15" i="11"/>
  <c r="AA18" i="11"/>
  <c r="F34" i="6"/>
  <c r="T24" i="6"/>
  <c r="AG23" i="11"/>
  <c r="X24" i="11"/>
  <c r="D30" i="11"/>
  <c r="N32" i="11"/>
  <c r="AB23" i="11"/>
  <c r="AC18" i="11"/>
  <c r="K24" i="11"/>
  <c r="O20" i="11"/>
  <c r="L20" i="11"/>
  <c r="L10" i="11"/>
  <c r="L22" i="11"/>
  <c r="L15" i="11"/>
  <c r="L31" i="11"/>
  <c r="L18" i="11"/>
  <c r="L19" i="11"/>
  <c r="N24" i="6"/>
  <c r="M36" i="6"/>
  <c r="L13" i="11"/>
  <c r="L17" i="11"/>
  <c r="D42" i="11"/>
  <c r="AC24" i="11"/>
  <c r="AI23" i="11"/>
  <c r="R32" i="11"/>
  <c r="Q32" i="11"/>
  <c r="R24" i="11"/>
  <c r="Q24" i="11"/>
  <c r="P36" i="11"/>
  <c r="AC20" i="11"/>
  <c r="AD20" i="11"/>
  <c r="AE20" i="11"/>
  <c r="L28" i="11"/>
  <c r="O28" i="11"/>
  <c r="F20" i="11"/>
  <c r="E24" i="11"/>
  <c r="J24" i="11" s="1"/>
  <c r="F31" i="11"/>
  <c r="F12" i="11"/>
  <c r="F11" i="11"/>
  <c r="F17" i="11"/>
  <c r="F19" i="11"/>
  <c r="F15" i="11"/>
  <c r="F14" i="11"/>
  <c r="F13" i="11"/>
  <c r="F16" i="11"/>
  <c r="F30" i="11"/>
  <c r="F18" i="11"/>
  <c r="F39" i="11"/>
  <c r="F42" i="11"/>
  <c r="F38" i="11"/>
  <c r="F46" i="11"/>
  <c r="F27" i="11"/>
  <c r="D34" i="6"/>
  <c r="G34" i="6"/>
  <c r="O30" i="11"/>
  <c r="L30" i="11"/>
  <c r="K32" i="11"/>
  <c r="Q36" i="6"/>
  <c r="R36" i="6"/>
  <c r="P41" i="6"/>
  <c r="D20" i="11"/>
  <c r="C24" i="11"/>
  <c r="G20" i="11"/>
  <c r="D39" i="11"/>
  <c r="D19" i="11"/>
  <c r="D15" i="11"/>
  <c r="D22" i="11"/>
  <c r="D10" i="11"/>
  <c r="D46" i="11"/>
  <c r="D38" i="11"/>
  <c r="D31" i="11"/>
  <c r="D18" i="11"/>
  <c r="G28" i="11"/>
  <c r="D28" i="11"/>
  <c r="C34" i="11"/>
  <c r="D12" i="11"/>
  <c r="D14" i="11"/>
  <c r="R43" i="10"/>
  <c r="Q43" i="10"/>
  <c r="K34" i="10"/>
  <c r="O30" i="10"/>
  <c r="C43" i="10"/>
  <c r="G41" i="10"/>
  <c r="O38" i="10"/>
  <c r="K42" i="10"/>
  <c r="K42" i="11" s="1"/>
  <c r="E45" i="8"/>
  <c r="E45" i="9" s="1"/>
  <c r="F43" i="8"/>
  <c r="M45" i="8"/>
  <c r="M45" i="9" s="1"/>
  <c r="N43" i="8"/>
  <c r="K45" i="8"/>
  <c r="O45" i="8" s="1"/>
  <c r="O43" i="8"/>
  <c r="C45" i="8"/>
  <c r="G45" i="8" s="1"/>
  <c r="G43" i="8"/>
  <c r="R43" i="8"/>
  <c r="Q43" i="8"/>
  <c r="J43" i="8"/>
  <c r="I43" i="8"/>
  <c r="G45" i="7"/>
  <c r="D45" i="7"/>
  <c r="R45" i="7"/>
  <c r="Q45" i="7"/>
  <c r="F45" i="7"/>
  <c r="N45" i="7"/>
  <c r="O45" i="7"/>
  <c r="L45" i="7"/>
  <c r="J45" i="7"/>
  <c r="I45" i="7"/>
  <c r="D41" i="7"/>
  <c r="C43" i="7"/>
  <c r="G41" i="7"/>
  <c r="M43" i="7"/>
  <c r="N43" i="7" s="1"/>
  <c r="N41" i="7"/>
  <c r="P43" i="7"/>
  <c r="R41" i="7"/>
  <c r="Q41" i="7"/>
  <c r="L41" i="7"/>
  <c r="K43" i="7"/>
  <c r="O41" i="7"/>
  <c r="H43" i="7"/>
  <c r="J41" i="7"/>
  <c r="I41" i="7"/>
  <c r="E43" i="7"/>
  <c r="F41" i="7"/>
  <c r="L45" i="5"/>
  <c r="O45" i="5"/>
  <c r="D45" i="5"/>
  <c r="G45" i="5"/>
  <c r="Q45" i="5"/>
  <c r="R45" i="5"/>
  <c r="L41" i="5"/>
  <c r="K43" i="5"/>
  <c r="O41" i="5"/>
  <c r="D41" i="5"/>
  <c r="C43" i="5"/>
  <c r="G41" i="5"/>
  <c r="P43" i="5"/>
  <c r="R41" i="5"/>
  <c r="Q41" i="5"/>
  <c r="H43" i="5"/>
  <c r="J41" i="5"/>
  <c r="I41" i="5"/>
  <c r="I42" i="5" s="1"/>
  <c r="G45" i="4"/>
  <c r="D45" i="4"/>
  <c r="F45" i="4"/>
  <c r="R45" i="4"/>
  <c r="Q45" i="4"/>
  <c r="O45" i="4"/>
  <c r="L45" i="4"/>
  <c r="N45" i="4"/>
  <c r="K43" i="4"/>
  <c r="O41" i="4"/>
  <c r="L41" i="4"/>
  <c r="J41" i="4"/>
  <c r="I41" i="4"/>
  <c r="H43" i="4"/>
  <c r="AC30" i="4"/>
  <c r="F41" i="4"/>
  <c r="E43" i="4"/>
  <c r="F43" i="4" s="1"/>
  <c r="C43" i="4"/>
  <c r="G41" i="4"/>
  <c r="D41" i="4"/>
  <c r="N41" i="4"/>
  <c r="M43" i="4"/>
  <c r="N43" i="4" s="1"/>
  <c r="R41" i="4"/>
  <c r="Q41" i="4"/>
  <c r="P43" i="4"/>
  <c r="O41" i="3"/>
  <c r="L41" i="3"/>
  <c r="K43" i="3"/>
  <c r="M43" i="3"/>
  <c r="N43" i="3" s="1"/>
  <c r="N41" i="3"/>
  <c r="G41" i="3"/>
  <c r="D41" i="3"/>
  <c r="C43" i="3"/>
  <c r="J41" i="3"/>
  <c r="I41" i="3"/>
  <c r="H43" i="3"/>
  <c r="R41" i="3"/>
  <c r="Q41" i="3"/>
  <c r="P43" i="3"/>
  <c r="F41" i="3"/>
  <c r="E43" i="3"/>
  <c r="F43" i="3" s="1"/>
  <c r="G34" i="11" l="1"/>
  <c r="D34" i="11"/>
  <c r="AE30" i="6"/>
  <c r="AA24" i="11"/>
  <c r="G43" i="10"/>
  <c r="C65" i="7"/>
  <c r="N36" i="6"/>
  <c r="M41" i="6"/>
  <c r="O32" i="11"/>
  <c r="L32" i="11"/>
  <c r="K34" i="11"/>
  <c r="G36" i="6"/>
  <c r="D36" i="6"/>
  <c r="C41" i="6"/>
  <c r="R34" i="11"/>
  <c r="Q34" i="11"/>
  <c r="O41" i="6"/>
  <c r="K43" i="6"/>
  <c r="L41" i="6"/>
  <c r="J34" i="11"/>
  <c r="I34" i="11"/>
  <c r="R45" i="9"/>
  <c r="N45" i="9"/>
  <c r="L24" i="11"/>
  <c r="O24" i="11"/>
  <c r="O36" i="6"/>
  <c r="M45" i="6"/>
  <c r="N45" i="3"/>
  <c r="AA23" i="11"/>
  <c r="AE18" i="11"/>
  <c r="J36" i="6"/>
  <c r="I36" i="6"/>
  <c r="H41" i="6"/>
  <c r="K45" i="6"/>
  <c r="O45" i="3"/>
  <c r="L45" i="3"/>
  <c r="J45" i="9"/>
  <c r="F45" i="9"/>
  <c r="D24" i="11"/>
  <c r="G24" i="11"/>
  <c r="C36" i="11"/>
  <c r="T25" i="6"/>
  <c r="F36" i="6"/>
  <c r="E41" i="6"/>
  <c r="R45" i="3"/>
  <c r="P45" i="6"/>
  <c r="Q45" i="3"/>
  <c r="O42" i="11"/>
  <c r="L42" i="11"/>
  <c r="M36" i="11"/>
  <c r="N36" i="11" s="1"/>
  <c r="N24" i="11"/>
  <c r="E45" i="6"/>
  <c r="F45" i="3"/>
  <c r="P41" i="11"/>
  <c r="Q41" i="6"/>
  <c r="P43" i="6"/>
  <c r="Q43" i="6" s="1"/>
  <c r="E36" i="11"/>
  <c r="F24" i="11"/>
  <c r="Q36" i="11"/>
  <c r="J36" i="11"/>
  <c r="I36" i="11"/>
  <c r="H41" i="11"/>
  <c r="C45" i="6"/>
  <c r="D45" i="3"/>
  <c r="G45" i="3"/>
  <c r="K39" i="10"/>
  <c r="K39" i="11" s="1"/>
  <c r="O34" i="10"/>
  <c r="O42" i="10"/>
  <c r="K46" i="10"/>
  <c r="N45" i="8"/>
  <c r="R45" i="8"/>
  <c r="J45" i="8"/>
  <c r="F45" i="8"/>
  <c r="R43" i="7"/>
  <c r="Q43" i="7"/>
  <c r="J43" i="7"/>
  <c r="I43" i="7"/>
  <c r="O43" i="7"/>
  <c r="L43" i="7"/>
  <c r="G43" i="7"/>
  <c r="C63" i="7"/>
  <c r="D43" i="7"/>
  <c r="E63" i="7"/>
  <c r="F43" i="7"/>
  <c r="J43" i="5"/>
  <c r="I43" i="5"/>
  <c r="O43" i="5"/>
  <c r="L43" i="5"/>
  <c r="R43" i="5"/>
  <c r="Q43" i="5"/>
  <c r="G43" i="5"/>
  <c r="D43" i="5"/>
  <c r="J43" i="4"/>
  <c r="I43" i="4"/>
  <c r="G43" i="4"/>
  <c r="D43" i="4"/>
  <c r="R43" i="4"/>
  <c r="Q43" i="4"/>
  <c r="O43" i="4"/>
  <c r="L43" i="4"/>
  <c r="G43" i="3"/>
  <c r="D43" i="3"/>
  <c r="J43" i="3"/>
  <c r="I43" i="3"/>
  <c r="L43" i="3"/>
  <c r="O43" i="3"/>
  <c r="R43" i="3"/>
  <c r="Q43" i="3"/>
  <c r="H45" i="3" l="1"/>
  <c r="O34" i="11"/>
  <c r="L34" i="11"/>
  <c r="I41" i="6"/>
  <c r="H43" i="6"/>
  <c r="J41" i="6"/>
  <c r="O39" i="11"/>
  <c r="L39" i="11"/>
  <c r="I41" i="11"/>
  <c r="H43" i="11"/>
  <c r="M41" i="11"/>
  <c r="N41" i="6"/>
  <c r="M43" i="6"/>
  <c r="R41" i="6"/>
  <c r="R41" i="11"/>
  <c r="P43" i="11"/>
  <c r="Q41" i="11"/>
  <c r="T31" i="6"/>
  <c r="E45" i="11"/>
  <c r="F45" i="11" s="1"/>
  <c r="F45" i="6"/>
  <c r="F41" i="6"/>
  <c r="E43" i="6"/>
  <c r="T28" i="6"/>
  <c r="R45" i="6"/>
  <c r="P45" i="11"/>
  <c r="Q45" i="6"/>
  <c r="C43" i="6"/>
  <c r="G41" i="6"/>
  <c r="D41" i="6"/>
  <c r="R36" i="11"/>
  <c r="M45" i="11"/>
  <c r="N45" i="11" s="1"/>
  <c r="N45" i="6"/>
  <c r="O46" i="10"/>
  <c r="K46" i="11"/>
  <c r="O45" i="6"/>
  <c r="K45" i="11"/>
  <c r="L45" i="6"/>
  <c r="F36" i="11"/>
  <c r="E41" i="11"/>
  <c r="G36" i="11"/>
  <c r="D36" i="11"/>
  <c r="C41" i="11"/>
  <c r="K36" i="11"/>
  <c r="L43" i="6"/>
  <c r="G45" i="6"/>
  <c r="C45" i="11"/>
  <c r="D45" i="6"/>
  <c r="O39" i="10"/>
  <c r="K43" i="10"/>
  <c r="O43" i="10" s="1"/>
  <c r="C68" i="7"/>
  <c r="C66" i="7"/>
  <c r="E68" i="7"/>
  <c r="F68" i="7" s="1"/>
  <c r="K63" i="7"/>
  <c r="E66" i="7"/>
  <c r="I45" i="5"/>
  <c r="J45" i="5"/>
  <c r="J45" i="4"/>
  <c r="I45" i="4"/>
  <c r="T30" i="6" l="1"/>
  <c r="F43" i="6"/>
  <c r="N43" i="6"/>
  <c r="R43" i="6"/>
  <c r="O43" i="6"/>
  <c r="O45" i="11"/>
  <c r="L45" i="11"/>
  <c r="J43" i="6"/>
  <c r="I43" i="6"/>
  <c r="F41" i="11"/>
  <c r="E43" i="11"/>
  <c r="F43" i="11" s="1"/>
  <c r="O36" i="11"/>
  <c r="L36" i="11"/>
  <c r="K41" i="11"/>
  <c r="G43" i="6"/>
  <c r="D43" i="6"/>
  <c r="M43" i="11"/>
  <c r="N43" i="11" s="1"/>
  <c r="N41" i="11"/>
  <c r="G45" i="11"/>
  <c r="D45" i="11"/>
  <c r="G41" i="11"/>
  <c r="D41" i="11"/>
  <c r="C43" i="11"/>
  <c r="O46" i="11"/>
  <c r="L46" i="11"/>
  <c r="I43" i="11"/>
  <c r="R45" i="11"/>
  <c r="Q45" i="11"/>
  <c r="Q43" i="11"/>
  <c r="J41" i="11"/>
  <c r="J45" i="3"/>
  <c r="H45" i="6"/>
  <c r="I45" i="3"/>
  <c r="R43" i="11" l="1"/>
  <c r="O41" i="11"/>
  <c r="L41" i="11"/>
  <c r="K43" i="11"/>
  <c r="G43" i="11"/>
  <c r="D43" i="11"/>
  <c r="J45" i="6"/>
  <c r="H45" i="11"/>
  <c r="I45" i="6"/>
  <c r="J43" i="11"/>
  <c r="J45" i="11" l="1"/>
  <c r="I45" i="11"/>
  <c r="O43" i="11"/>
  <c r="L43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G.</author>
  </authors>
  <commentList>
    <comment ref="H38" authorId="0" shapeId="0" xr:uid="{EE903565-98D5-4B49-95C8-BBF749607E47}">
      <text>
        <r>
          <rPr>
            <b/>
            <sz val="9"/>
            <color indexed="81"/>
            <rFont val="Tahoma"/>
            <family val="2"/>
          </rPr>
          <t>Robert G.:</t>
        </r>
        <r>
          <rPr>
            <sz val="9"/>
            <color indexed="81"/>
            <rFont val="Tahoma"/>
            <family val="2"/>
          </rPr>
          <t xml:space="preserve">
se resta el metodo de participacion para efectos comparables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03F89939-5EE2-4A77-8E82-9FBB46528E0A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6"/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<sst xmlns="http://schemas.openxmlformats.org/spreadsheetml/2006/main" count="1422" uniqueCount="589">
  <si>
    <t>Periodo ant</t>
  </si>
  <si>
    <t>Periodo Act</t>
  </si>
  <si>
    <t>MES</t>
  </si>
  <si>
    <t>AÑO</t>
  </si>
  <si>
    <t>TRM</t>
  </si>
  <si>
    <t>NOVIEMBRE</t>
  </si>
  <si>
    <t>PPTO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</si>
  <si>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</si>
  <si>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</si>
  <si>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</si>
  <si>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</si>
  <si>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</si>
  <si>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</si>
  <si>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</si>
  <si>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</si>
  <si>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</si>
  <si>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</si>
  <si>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DICIEMBRE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</si>
  <si>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</si>
  <si>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</si>
  <si>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</si>
  <si>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</si>
  <si>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</si>
  <si>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</si>
  <si>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</si>
  <si>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</si>
  <si>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</si>
  <si>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</si>
  <si>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</si>
  <si>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</si>
  <si>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</si>
  <si>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</si>
  <si>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</si>
  <si>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</si>
  <si>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</si>
  <si>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</si>
  <si>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</si>
  <si>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</si>
  <si>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</si>
  <si>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</si>
  <si>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</si>
  <si>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</si>
  <si>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</si>
  <si>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</si>
  <si>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</si>
  <si>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</si>
  <si>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</si>
  <si>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</si>
  <si>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</si>
  <si>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</si>
  <si>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</si>
  <si>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</si>
  <si>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</si>
  <si>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</si>
  <si>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</si>
  <si>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</si>
  <si>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</si>
  <si>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</si>
  <si>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</si>
  <si>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</si>
  <si>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</si>
  <si>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ok</t>
  </si>
  <si>
    <t>MUSICAR COLOMBIA</t>
  </si>
  <si>
    <t>Ppto 2022</t>
  </si>
  <si>
    <t>Real 2022</t>
  </si>
  <si>
    <t>Real 2021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</si>
  <si>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</si>
  <si>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</si>
  <si>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</si>
  <si>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</si>
  <si>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</si>
  <si>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</si>
  <si>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</si>
  <si>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</si>
  <si>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</si>
  <si>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</si>
  <si>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</si>
  <si>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</si>
  <si>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</si>
  <si>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Visual Experience</t>
  </si>
  <si>
    <t>4155951800,4155952000,4135950600,4135950700</t>
  </si>
  <si>
    <t>Olfa Experience</t>
  </si>
  <si>
    <t>4170252500</t>
  </si>
  <si>
    <t>Locutor virtual</t>
  </si>
  <si>
    <t xml:space="preserve"> 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</si>
  <si>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</si>
  <si>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</si>
  <si>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</si>
  <si>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</si>
  <si>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</si>
  <si>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</si>
  <si>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</si>
  <si>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</si>
  <si>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</si>
  <si>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</si>
  <si>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</si>
  <si>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</si>
  <si>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</si>
  <si>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</si>
  <si>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</si>
  <si>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</si>
  <si>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</si>
  <si>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</si>
  <si>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</si>
  <si>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</si>
  <si>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</si>
  <si>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</si>
  <si>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real 2022</t>
  </si>
  <si>
    <t>FLUJO DE CAJA LIBRE</t>
  </si>
  <si>
    <t>REAL</t>
  </si>
  <si>
    <t>Salvador</t>
  </si>
  <si>
    <t>Venezuela</t>
  </si>
  <si>
    <t>Musicar internacionall</t>
  </si>
  <si>
    <t>Total</t>
  </si>
  <si>
    <t>&lt;------- el valor total del ppto y del real se digita en la pagina de indicadores</t>
  </si>
  <si>
    <t>Sin Venezuela</t>
  </si>
  <si>
    <t>UTILIDAD OPERACIONAL EXTERIOR</t>
  </si>
  <si>
    <t>Ppto</t>
  </si>
  <si>
    <t>Real</t>
  </si>
  <si>
    <t>Ppto acum</t>
  </si>
  <si>
    <t>Real Acum</t>
  </si>
  <si>
    <t>Venzueal</t>
  </si>
  <si>
    <t>Musicar internacional</t>
  </si>
  <si>
    <t>se digita en la pagina de indicadores</t>
  </si>
  <si>
    <t>vr sin venezuela</t>
  </si>
  <si>
    <t>UTILIDAD NETA EXTERIOR</t>
  </si>
  <si>
    <t>Venezulea</t>
  </si>
  <si>
    <t>TOTAL UTILIDAD NETA EXTERIOR</t>
  </si>
  <si>
    <t>Uitlidad neta sin venezuela</t>
  </si>
  <si>
    <t>MUSICAR S.A. VENEZUELA</t>
  </si>
  <si>
    <t>Cifras en miles de Bolivares Fuertes</t>
  </si>
  <si>
    <t>real 2021</t>
  </si>
  <si>
    <t>Fact.Olfa experience</t>
  </si>
  <si>
    <t>TRM 2022</t>
  </si>
  <si>
    <t>Dólar implicito tomado dolar today</t>
  </si>
  <si>
    <t>TRM 2021</t>
  </si>
  <si>
    <t>Cifras en Dólares Americanos</t>
  </si>
  <si>
    <t>Cifras en Dolares americanos</t>
  </si>
  <si>
    <t>Año 2021</t>
  </si>
  <si>
    <t>Año 2022</t>
  </si>
  <si>
    <t>Utild vene en Bolivares</t>
  </si>
  <si>
    <t>utilidad venez en usd</t>
  </si>
  <si>
    <t>Cierre</t>
  </si>
  <si>
    <t>promedio</t>
  </si>
  <si>
    <t>Prom año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</si>
  <si>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</si>
  <si>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</si>
  <si>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</si>
  <si>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</si>
  <si>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</si>
  <si>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acumulado</t>
  </si>
  <si>
    <t>4155900000,4155900100,4155900500,4155900600,4170250000,4170250100,4170250200,4170251500,4170251600,4170251700,4170251900,4170251800,4170252000,4170253000,4170253500,4170252100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</si>
  <si>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</si>
  <si>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</si>
  <si>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</si>
  <si>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</si>
  <si>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</t>
  </si>
  <si>
    <t xml:space="preserve">   Facturación Service &amp; Equipment Experience (Red-Audio)</t>
  </si>
  <si>
    <t>4170250500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</si>
  <si>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</si>
  <si>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</si>
  <si>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</si>
  <si>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</si>
  <si>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</si>
  <si>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>4155951000</t>
  </si>
  <si>
    <t xml:space="preserve">   Facturación Servicio Satelital</t>
  </si>
  <si>
    <t>4155951500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</si>
  <si>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</si>
  <si>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</si>
  <si>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</si>
  <si>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</si>
  <si>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</si>
  <si>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</si>
  <si>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</si>
  <si>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</si>
  <si>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</si>
  <si>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</si>
  <si>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</si>
  <si>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</si>
  <si>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</si>
  <si>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</si>
  <si>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</si>
  <si>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</si>
  <si>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</si>
  <si>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</si>
  <si>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</si>
  <si>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</si>
  <si>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</si>
  <si>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</si>
  <si>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</si>
  <si>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</si>
  <si>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</si>
  <si>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</si>
  <si>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</si>
  <si>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</si>
  <si>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</si>
  <si>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</si>
  <si>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</si>
  <si>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</si>
  <si>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</si>
  <si>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</si>
  <si>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</si>
  <si>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</si>
  <si>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</si>
  <si>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</si>
  <si>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</si>
  <si>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</si>
  <si>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</si>
  <si>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</si>
  <si>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</si>
  <si>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</si>
  <si>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</si>
  <si>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</si>
  <si>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</si>
  <si>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</si>
  <si>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</si>
  <si>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</si>
  <si>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</si>
  <si>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</si>
  <si>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</si>
  <si>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</si>
  <si>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</si>
  <si>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</si>
  <si>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</si>
  <si>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</si>
  <si>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</si>
  <si>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</si>
  <si>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</si>
  <si>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</si>
  <si>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</si>
  <si>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</si>
  <si>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</si>
  <si>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</si>
  <si>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</si>
  <si>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</si>
  <si>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</si>
  <si>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</si>
  <si>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</si>
  <si>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</si>
  <si>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</si>
  <si>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</si>
  <si>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</si>
  <si>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</si>
  <si>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</si>
  <si>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</si>
  <si>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</si>
  <si>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</si>
  <si>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</si>
  <si>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</si>
  <si>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</si>
  <si>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</si>
  <si>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</si>
  <si>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</si>
  <si>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</si>
  <si>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</si>
  <si>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</si>
  <si>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</si>
  <si>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</si>
  <si>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</si>
  <si>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</si>
  <si>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</si>
  <si>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</si>
  <si>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</si>
  <si>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</si>
  <si>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</si>
  <si>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</si>
  <si>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</si>
  <si>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</si>
  <si>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</si>
  <si>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</si>
  <si>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</si>
  <si>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</si>
  <si>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</si>
  <si>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</si>
  <si>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</si>
  <si>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</si>
  <si>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</si>
  <si>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</si>
  <si>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</si>
  <si>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</si>
  <si>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</si>
  <si>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</si>
  <si>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</si>
  <si>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</si>
  <si>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</si>
  <si>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</si>
  <si>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</si>
  <si>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</si>
  <si>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</si>
  <si>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</si>
  <si>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</si>
  <si>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</si>
  <si>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</si>
  <si>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</si>
  <si>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</si>
  <si>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</si>
  <si>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</si>
  <si>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</si>
  <si>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</si>
  <si>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</si>
  <si>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</si>
  <si>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</si>
  <si>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</si>
  <si>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</si>
  <si>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</si>
  <si>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</si>
  <si>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</si>
  <si>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</si>
  <si>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</si>
  <si>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</si>
  <si>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</si>
  <si>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</si>
  <si>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</si>
  <si>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</si>
  <si>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</si>
  <si>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</si>
  <si>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</si>
  <si>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</si>
  <si>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</si>
  <si>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</si>
  <si>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</si>
  <si>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</si>
  <si>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</si>
  <si>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</si>
  <si>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</si>
  <si>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</si>
  <si>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</si>
  <si>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</si>
  <si>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</si>
  <si>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</si>
  <si>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</si>
  <si>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</si>
  <si>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</si>
  <si>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</si>
  <si>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</si>
  <si>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</si>
  <si>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</si>
  <si>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</si>
  <si>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</si>
  <si>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</si>
  <si>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</si>
  <si>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</si>
  <si>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</si>
  <si>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</si>
  <si>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</si>
  <si>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</si>
  <si>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</si>
  <si>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</si>
  <si>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</si>
  <si>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</si>
  <si>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</si>
  <si>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</si>
  <si>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</si>
  <si>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</si>
  <si>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</si>
  <si>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</si>
  <si>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</si>
  <si>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</si>
  <si>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</si>
  <si>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</si>
  <si>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</si>
  <si>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</si>
  <si>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</si>
  <si>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</si>
  <si>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</si>
  <si>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</si>
  <si>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</si>
  <si>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</si>
  <si>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</si>
  <si>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</si>
  <si>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</si>
  <si>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</si>
  <si>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</si>
  <si>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</si>
  <si>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</si>
  <si>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</si>
  <si>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</si>
  <si>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</si>
  <si>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</si>
  <si>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</si>
  <si>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</si>
  <si>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</si>
  <si>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</si>
  <si>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</si>
  <si>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</si>
  <si>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</si>
  <si>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</si>
  <si>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</si>
  <si>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</si>
  <si>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</si>
  <si>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</si>
  <si>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</si>
  <si>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</si>
  <si>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</si>
  <si>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</si>
  <si>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</si>
  <si>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</si>
  <si>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</si>
  <si>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</si>
  <si>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</si>
  <si>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</si>
  <si>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</si>
  <si>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</si>
  <si>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</si>
  <si>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</si>
  <si>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</si>
  <si>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</si>
  <si>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</si>
  <si>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</si>
  <si>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</si>
  <si>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</si>
  <si>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</si>
  <si>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</si>
  <si>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</si>
  <si>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</si>
  <si>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</si>
  <si>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</si>
  <si>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</si>
  <si>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</si>
  <si>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</si>
  <si>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</si>
  <si>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</si>
  <si>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</si>
  <si>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</si>
  <si>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</si>
  <si>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</si>
  <si>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</si>
  <si>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</si>
  <si>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</si>
  <si>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</si>
  <si>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</si>
  <si>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</si>
  <si>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</si>
  <si>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</si>
  <si>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</si>
  <si>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</si>
  <si>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</si>
  <si>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</si>
  <si>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</si>
  <si>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</si>
  <si>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</si>
  <si>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</si>
  <si>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</si>
  <si>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</si>
  <si>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</si>
  <si>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</si>
  <si>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</si>
  <si>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</si>
  <si>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</si>
  <si>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</si>
  <si>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</si>
  <si>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</si>
  <si>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</si>
  <si>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</si>
  <si>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</si>
  <si>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</si>
  <si>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</si>
  <si>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</si>
  <si>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</si>
  <si>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</si>
  <si>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</si>
  <si>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</si>
  <si>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</si>
  <si>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</si>
  <si>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</si>
  <si>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</si>
  <si>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</si>
  <si>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</si>
  <si>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</si>
  <si>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</si>
  <si>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</si>
  <si>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</si>
  <si>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</si>
  <si>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</si>
  <si>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</si>
  <si>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</si>
  <si>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</si>
  <si>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</si>
  <si>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</si>
  <si>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</si>
  <si>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</si>
  <si>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</si>
  <si>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</si>
  <si>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</si>
  <si>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</si>
  <si>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</si>
  <si>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</si>
  <si>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</si>
  <si>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</si>
  <si>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</si>
  <si>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</si>
  <si>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</si>
  <si>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</si>
  <si>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</si>
  <si>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</si>
  <si>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</si>
  <si>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</si>
  <si>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</si>
  <si>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</si>
  <si>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</si>
  <si>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</si>
  <si>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</si>
  <si>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</si>
  <si>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</si>
  <si>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</si>
  <si>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</si>
  <si>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</si>
  <si>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</si>
  <si>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</si>
  <si>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</si>
  <si>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</si>
  <si>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</si>
  <si>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</si>
  <si>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</si>
  <si>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</si>
  <si>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</si>
  <si>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</si>
  <si>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</si>
  <si>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</si>
  <si>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</si>
  <si>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</si>
  <si>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</si>
  <si>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</si>
  <si>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</si>
  <si>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</si>
  <si>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</si>
  <si>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</si>
  <si>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</si>
  <si>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</si>
  <si>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</si>
  <si>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</si>
  <si>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</si>
  <si>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</si>
  <si>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</si>
  <si>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</si>
  <si>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</si>
  <si>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</si>
  <si>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</si>
  <si>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</si>
  <si>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</si>
  <si>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</si>
  <si>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</si>
  <si>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</si>
  <si>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</si>
  <si>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</si>
  <si>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</si>
  <si>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</si>
  <si>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</si>
  <si>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</si>
  <si>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</si>
  <si>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</si>
  <si>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</si>
  <si>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</si>
  <si>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</si>
  <si>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</si>
  <si>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</si>
  <si>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7105</t>
  </si>
  <si>
    <t>PRESTAMOS ENTIDADES FINANCIERAS LP</t>
  </si>
  <si>
    <t>CARTAS DE CREDITO ( INVERSIONES)</t>
  </si>
  <si>
    <t>PRESTAMOS DE ENTIDADES FINANCIERAS CORTO PLAZO (CREDITOS TESORERIA)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</si>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</sst>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(* #,##0_);_(* \(#,##0\);_(* &quot;-&quot;??_);_(@_)"/>
    <numFmt numFmtId="167" formatCode="#,##0;[Red]\-#,##0;&quot;-&quot;"/>
    <numFmt numFmtId="168" formatCode="mmmm/yyyy"/>
    <numFmt numFmtId="169" formatCode="[$-F800]dddd\,\ mmmm\ dd\,\ yyyy"/>
    <numFmt numFmtId="170" formatCode="0.0%"/>
    <numFmt numFmtId="171" formatCode="0_);\(0\)"/>
    <numFmt numFmtId="172" formatCode="_(* #,##0.000000000000_);_(* \(#,##0.000000000000\);_(* &quot;-&quot;??_);_(@_)"/>
    <numFmt numFmtId="173" formatCode="_(* #,##0.00000000_);_(* \(#,##0.00000000\);_(* &quot;-&quot;??_);_(@_)"/>
    <numFmt numFmtId="174" formatCode="_-* #,##0_-;\-* #,##0_-;_-* &quot;-&quot;????????_-;_-@_-"/>
    <numFmt numFmtId="175" formatCode="_(* #,##0.00000_);_(* \(#,##0.00000\);_(* &quot;-&quot;????????_);_(@_)"/>
  </numFmts>
  <fonts count="25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0"/>
      <color rgb="FF3366FF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2" tint="-0.749992370372631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41" fontId="1" fillId="0" borderId="0" applyFont="0" applyFill="0" applyBorder="0" applyAlignment="0" applyProtection="0"/>
  </cellStyleXfs>
  <cellXfs count="131">
    <xf numFmtId="0" fontId="0" fillId="0" borderId="0" xfId="0"/>
    <xf numFmtId="0" fontId="2" fillId="0" borderId="0" xfId="1" applyFont="1"/>
    <xf numFmtId="0" fontId="3" fillId="0" borderId="0" xfId="1" applyFont="1"/>
    <xf numFmtId="0" fontId="3" fillId="0" borderId="0" xfId="1" applyFont="1" applyAlignment="1">
      <alignment horizontal="left"/>
    </xf>
    <xf numFmtId="164" fontId="4" fillId="0" borderId="0" xfId="1" applyNumberFormat="1" applyFont="1"/>
    <xf numFmtId="1" fontId="2" fillId="0" borderId="0" xfId="1" applyNumberFormat="1" applyFont="1"/>
    <xf numFmtId="165" fontId="2" fillId="0" borderId="0" xfId="2" applyNumberFormat="1" applyFont="1" applyAlignment="1">
      <alignment horizontal="right" vertical="center" wrapText="1"/>
    </xf>
    <xf numFmtId="164" fontId="2" fillId="0" borderId="0" xfId="1" applyNumberFormat="1" applyFont="1"/>
    <xf numFmtId="43" fontId="2" fillId="0" borderId="0" xfId="3" applyFont="1" applyFill="1" applyBorder="1"/>
    <xf numFmtId="0" fontId="6" fillId="0" borderId="0" xfId="1" applyFont="1" applyAlignment="1">
      <alignment horizontal="center" wrapText="1"/>
    </xf>
    <xf numFmtId="0" fontId="6" fillId="0" borderId="0" xfId="1" applyFont="1" applyAlignment="1">
      <alignment vertical="center"/>
    </xf>
    <xf numFmtId="166" fontId="6" fillId="0" borderId="0" xfId="3" applyNumberFormat="1" applyFont="1" applyFill="1" applyBorder="1" applyAlignment="1">
      <alignment horizontal="center" wrapText="1"/>
    </xf>
    <xf numFmtId="0" fontId="6" fillId="0" borderId="0" xfId="1" applyFont="1"/>
    <xf numFmtId="166" fontId="6" fillId="0" borderId="0" xfId="3" applyNumberFormat="1" applyFont="1" applyFill="1" applyBorder="1"/>
    <xf numFmtId="0" fontId="6" fillId="0" borderId="0" xfId="1" applyFont="1" applyAlignment="1">
      <alignment horizontal="center"/>
    </xf>
    <xf numFmtId="0" fontId="7" fillId="0" borderId="0" xfId="1" applyFont="1"/>
    <xf numFmtId="166" fontId="6" fillId="0" borderId="0" xfId="3" applyNumberFormat="1" applyFont="1" applyFill="1" applyBorder="1" applyAlignment="1">
      <alignment horizontal="center"/>
    </xf>
    <xf numFmtId="0" fontId="8" fillId="0" borderId="0" xfId="1" applyFont="1"/>
    <xf numFmtId="0" fontId="6" fillId="0" borderId="0" xfId="1" applyFont="1" applyAlignment="1">
      <alignment horizontal="left"/>
    </xf>
    <xf numFmtId="0" fontId="9" fillId="0" borderId="0" xfId="1" applyFont="1" applyAlignment="1">
      <alignment horizontal="left"/>
    </xf>
    <xf numFmtId="0" fontId="3" fillId="0" borderId="1" xfId="1" applyFont="1" applyBorder="1" applyAlignment="1">
      <alignment horizontal="centerContinuous"/>
    </xf>
    <xf numFmtId="0" fontId="6" fillId="0" borderId="0" xfId="1" applyFont="1" applyAlignment="1">
      <alignment horizontal="right"/>
    </xf>
    <xf numFmtId="0" fontId="6" fillId="0" borderId="0" xfId="1" applyFont="1" applyAlignment="1">
      <alignment wrapText="1"/>
    </xf>
    <xf numFmtId="166" fontId="6" fillId="0" borderId="0" xfId="3" applyNumberFormat="1" applyFont="1" applyFill="1" applyBorder="1" applyAlignment="1"/>
    <xf numFmtId="0" fontId="6" fillId="0" borderId="1" xfId="1" applyFont="1" applyBorder="1"/>
    <xf numFmtId="0" fontId="6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1" xfId="1" applyFont="1" applyBorder="1" applyAlignment="1">
      <alignment horizontal="center"/>
    </xf>
    <xf numFmtId="3" fontId="6" fillId="0" borderId="0" xfId="1" applyNumberFormat="1" applyFont="1" applyAlignment="1">
      <alignment horizontal="right"/>
    </xf>
    <xf numFmtId="9" fontId="6" fillId="0" borderId="0" xfId="4" applyFont="1" applyFill="1" applyBorder="1" applyAlignment="1">
      <alignment horizontal="right"/>
    </xf>
    <xf numFmtId="9" fontId="3" fillId="0" borderId="0" xfId="4" applyFont="1" applyFill="1" applyBorder="1" applyAlignment="1">
      <alignment horizontal="right"/>
    </xf>
    <xf numFmtId="166" fontId="6" fillId="0" borderId="0" xfId="3" applyNumberFormat="1" applyFont="1" applyFill="1" applyBorder="1" applyAlignment="1">
      <alignment horizontal="right"/>
    </xf>
    <xf numFmtId="9" fontId="6" fillId="0" borderId="0" xfId="4" applyFont="1" applyFill="1" applyBorder="1" applyAlignment="1">
      <alignment horizontal="center"/>
    </xf>
    <xf numFmtId="3" fontId="6" fillId="0" borderId="0" xfId="1" applyNumberFormat="1" applyFont="1"/>
    <xf numFmtId="167" fontId="3" fillId="0" borderId="0" xfId="4" applyNumberFormat="1" applyFont="1" applyFill="1" applyBorder="1" applyAlignment="1">
      <alignment horizontal="right"/>
    </xf>
    <xf numFmtId="0" fontId="10" fillId="0" borderId="0" xfId="1" applyFont="1" applyAlignment="1">
      <alignment horizontal="left"/>
    </xf>
    <xf numFmtId="3" fontId="10" fillId="0" borderId="0" xfId="1" applyNumberFormat="1" applyFont="1" applyAlignment="1">
      <alignment horizontal="right"/>
    </xf>
    <xf numFmtId="9" fontId="10" fillId="0" borderId="0" xfId="4" applyFont="1" applyFill="1" applyBorder="1" applyAlignment="1">
      <alignment horizontal="right"/>
    </xf>
    <xf numFmtId="9" fontId="9" fillId="0" borderId="0" xfId="4" applyFont="1" applyFill="1" applyBorder="1" applyAlignment="1">
      <alignment horizontal="right"/>
    </xf>
    <xf numFmtId="167" fontId="6" fillId="0" borderId="0" xfId="1" applyNumberFormat="1" applyFont="1" applyAlignment="1">
      <alignment horizontal="left"/>
    </xf>
    <xf numFmtId="166" fontId="10" fillId="0" borderId="0" xfId="3" applyNumberFormat="1" applyFont="1" applyFill="1" applyBorder="1" applyAlignment="1">
      <alignment horizontal="right"/>
    </xf>
    <xf numFmtId="9" fontId="10" fillId="0" borderId="0" xfId="4" applyFont="1" applyFill="1" applyBorder="1" applyAlignment="1">
      <alignment horizontal="center"/>
    </xf>
    <xf numFmtId="0" fontId="13" fillId="0" borderId="0" xfId="1" applyFont="1" applyAlignment="1">
      <alignment horizont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center" wrapText="1"/>
    </xf>
    <xf numFmtId="166" fontId="3" fillId="0" borderId="0" xfId="3" applyNumberFormat="1" applyFont="1" applyFill="1" applyBorder="1" applyAlignment="1">
      <alignment horizontal="center" wrapText="1"/>
    </xf>
    <xf numFmtId="0" fontId="13" fillId="0" borderId="0" xfId="1" applyFont="1"/>
    <xf numFmtId="166" fontId="3" fillId="0" borderId="0" xfId="3" applyNumberFormat="1" applyFont="1" applyFill="1" applyBorder="1"/>
    <xf numFmtId="0" fontId="3" fillId="0" borderId="0" xfId="1" applyFont="1" applyAlignment="1">
      <alignment horizontal="center"/>
    </xf>
    <xf numFmtId="3" fontId="3" fillId="0" borderId="0" xfId="1" applyNumberFormat="1" applyFont="1"/>
    <xf numFmtId="168" fontId="3" fillId="0" borderId="0" xfId="1" applyNumberFormat="1" applyFont="1" applyAlignment="1">
      <alignment horizontal="centerContinuous"/>
    </xf>
    <xf numFmtId="168" fontId="3" fillId="0" borderId="0" xfId="1" applyNumberFormat="1" applyFont="1" applyAlignment="1">
      <alignment horizontal="center"/>
    </xf>
    <xf numFmtId="166" fontId="3" fillId="0" borderId="0" xfId="3" applyNumberFormat="1" applyFont="1" applyFill="1" applyBorder="1" applyAlignment="1">
      <alignment horizontal="center"/>
    </xf>
    <xf numFmtId="169" fontId="3" fillId="0" borderId="0" xfId="1" applyNumberFormat="1" applyFont="1" applyAlignment="1">
      <alignment horizontal="centerContinuous"/>
    </xf>
    <xf numFmtId="0" fontId="13" fillId="0" borderId="0" xfId="1" applyFont="1" applyAlignment="1">
      <alignment horizontal="right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right" wrapText="1"/>
    </xf>
    <xf numFmtId="166" fontId="3" fillId="0" borderId="0" xfId="3" applyNumberFormat="1" applyFont="1" applyFill="1" applyBorder="1" applyAlignment="1">
      <alignment horizontal="right"/>
    </xf>
    <xf numFmtId="3" fontId="13" fillId="0" borderId="0" xfId="1" quotePrefix="1" applyNumberFormat="1" applyFont="1"/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right"/>
    </xf>
    <xf numFmtId="3" fontId="3" fillId="0" borderId="0" xfId="1" applyNumberFormat="1" applyFont="1" applyAlignment="1">
      <alignment horizontal="right"/>
    </xf>
    <xf numFmtId="166" fontId="3" fillId="0" borderId="0" xfId="3" applyNumberFormat="1" applyFont="1" applyFill="1" applyBorder="1" applyAlignment="1"/>
    <xf numFmtId="9" fontId="3" fillId="0" borderId="0" xfId="4" applyFont="1" applyFill="1" applyBorder="1" applyAlignment="1">
      <alignment horizontal="center"/>
    </xf>
    <xf numFmtId="49" fontId="13" fillId="0" borderId="0" xfId="1" applyNumberFormat="1" applyFont="1"/>
    <xf numFmtId="3" fontId="9" fillId="0" borderId="0" xfId="1" applyNumberFormat="1" applyFont="1" applyAlignment="1">
      <alignment horizontal="right"/>
    </xf>
    <xf numFmtId="49" fontId="13" fillId="0" borderId="0" xfId="5" applyNumberFormat="1" applyFont="1"/>
    <xf numFmtId="166" fontId="9" fillId="0" borderId="0" xfId="3" applyNumberFormat="1" applyFont="1" applyFill="1" applyBorder="1" applyAlignment="1">
      <alignment horizontal="right"/>
    </xf>
    <xf numFmtId="9" fontId="9" fillId="0" borderId="0" xfId="4" applyFont="1" applyFill="1" applyBorder="1" applyAlignment="1">
      <alignment horizontal="center"/>
    </xf>
    <xf numFmtId="3" fontId="3" fillId="0" borderId="0" xfId="1" applyNumberFormat="1" applyFont="1" applyAlignment="1">
      <alignment horizontal="center"/>
    </xf>
    <xf numFmtId="166" fontId="9" fillId="0" borderId="0" xfId="1" applyNumberFormat="1" applyFont="1"/>
    <xf numFmtId="3" fontId="13" fillId="0" borderId="0" xfId="1" applyNumberFormat="1" applyFont="1"/>
    <xf numFmtId="0" fontId="15" fillId="0" borderId="0" xfId="1" applyFont="1" applyAlignment="1">
      <alignment horizontal="center" wrapText="1"/>
    </xf>
    <xf numFmtId="0" fontId="15" fillId="0" borderId="0" xfId="1" applyFont="1"/>
    <xf numFmtId="0" fontId="9" fillId="0" borderId="0" xfId="1" applyFont="1"/>
    <xf numFmtId="49" fontId="15" fillId="0" borderId="0" xfId="1" applyNumberFormat="1" applyFont="1"/>
    <xf numFmtId="166" fontId="9" fillId="0" borderId="0" xfId="3" applyNumberFormat="1" applyFont="1" applyFill="1" applyBorder="1"/>
    <xf numFmtId="0" fontId="8" fillId="0" borderId="0" xfId="1" applyFont="1" applyAlignment="1">
      <alignment horizontal="center" wrapText="1"/>
    </xf>
    <xf numFmtId="43" fontId="6" fillId="0" borderId="0" xfId="1" applyNumberFormat="1" applyFont="1"/>
    <xf numFmtId="170" fontId="6" fillId="0" borderId="0" xfId="4" applyNumberFormat="1" applyFont="1" applyFill="1" applyBorder="1"/>
    <xf numFmtId="17" fontId="6" fillId="0" borderId="0" xfId="1" applyNumberFormat="1" applyFont="1"/>
    <xf numFmtId="0" fontId="6" fillId="0" borderId="2" xfId="1" applyFont="1" applyBorder="1" applyAlignment="1">
      <alignment horizontal="centerContinuous"/>
    </xf>
    <xf numFmtId="0" fontId="6" fillId="0" borderId="2" xfId="1" applyFont="1" applyBorder="1"/>
    <xf numFmtId="0" fontId="6" fillId="0" borderId="2" xfId="1" applyFont="1" applyBorder="1" applyAlignment="1">
      <alignment horizontal="right"/>
    </xf>
    <xf numFmtId="171" fontId="6" fillId="0" borderId="0" xfId="3" applyNumberFormat="1" applyFont="1" applyFill="1" applyBorder="1" applyAlignment="1">
      <alignment horizontal="right"/>
    </xf>
    <xf numFmtId="0" fontId="16" fillId="0" borderId="0" xfId="1" applyFont="1"/>
    <xf numFmtId="17" fontId="3" fillId="0" borderId="0" xfId="1" applyNumberFormat="1" applyFont="1"/>
    <xf numFmtId="0" fontId="6" fillId="0" borderId="0" xfId="1" applyFont="1" applyAlignment="1">
      <alignment horizontal="centerContinuous"/>
    </xf>
    <xf numFmtId="1" fontId="3" fillId="0" borderId="0" xfId="1" applyNumberFormat="1" applyFont="1" applyAlignment="1">
      <alignment horizontal="left"/>
    </xf>
    <xf numFmtId="49" fontId="3" fillId="0" borderId="0" xfId="1" applyNumberFormat="1" applyFont="1"/>
    <xf numFmtId="9" fontId="3" fillId="0" borderId="0" xfId="4" applyFont="1" applyFill="1" applyBorder="1" applyAlignment="1"/>
    <xf numFmtId="170" fontId="3" fillId="0" borderId="0" xfId="4" applyNumberFormat="1" applyFont="1" applyFill="1" applyBorder="1" applyAlignment="1"/>
    <xf numFmtId="3" fontId="9" fillId="0" borderId="0" xfId="1" applyNumberFormat="1" applyFont="1"/>
    <xf numFmtId="166" fontId="3" fillId="0" borderId="0" xfId="3" applyNumberFormat="1" applyFont="1" applyFill="1" applyBorder="1" applyAlignment="1">
      <alignment horizontal="left"/>
    </xf>
    <xf numFmtId="0" fontId="6" fillId="0" borderId="1" xfId="1" applyFont="1" applyBorder="1" applyAlignment="1">
      <alignment horizontal="centerContinuous"/>
    </xf>
    <xf numFmtId="43" fontId="3" fillId="0" borderId="0" xfId="1" applyNumberFormat="1" applyFont="1"/>
    <xf numFmtId="172" fontId="3" fillId="0" borderId="0" xfId="3" applyNumberFormat="1" applyFont="1" applyFill="1" applyBorder="1"/>
    <xf numFmtId="1" fontId="3" fillId="0" borderId="0" xfId="1" applyNumberFormat="1" applyFont="1"/>
    <xf numFmtId="0" fontId="17" fillId="0" borderId="0" xfId="1" applyFont="1"/>
    <xf numFmtId="43" fontId="17" fillId="0" borderId="0" xfId="3" applyFont="1"/>
    <xf numFmtId="0" fontId="1" fillId="0" borderId="0" xfId="1"/>
    <xf numFmtId="0" fontId="17" fillId="0" borderId="0" xfId="1" applyFont="1" applyAlignment="1">
      <alignment wrapText="1"/>
    </xf>
    <xf numFmtId="173" fontId="18" fillId="0" borderId="0" xfId="3" applyNumberFormat="1" applyFont="1"/>
    <xf numFmtId="174" fontId="1" fillId="0" borderId="0" xfId="1" applyNumberFormat="1"/>
    <xf numFmtId="166" fontId="0" fillId="0" borderId="0" xfId="3" applyNumberFormat="1" applyFont="1"/>
    <xf numFmtId="43" fontId="18" fillId="0" borderId="0" xfId="3" applyFont="1"/>
    <xf numFmtId="166" fontId="17" fillId="0" borderId="0" xfId="3" applyNumberFormat="1" applyFont="1"/>
    <xf numFmtId="175" fontId="17" fillId="0" borderId="0" xfId="1" applyNumberFormat="1" applyFont="1"/>
    <xf numFmtId="0" fontId="3" fillId="0" borderId="0" xfId="1" applyFont="1" applyAlignment="1">
      <alignment horizontal="centerContinuous"/>
    </xf>
    <xf numFmtId="2" fontId="3" fillId="0" borderId="0" xfId="1" applyNumberFormat="1" applyFont="1" applyAlignment="1">
      <alignment horizontal="center"/>
    </xf>
    <xf numFmtId="0" fontId="6" fillId="0" borderId="1" xfId="1" applyFont="1" applyBorder="1" applyAlignment="1">
      <alignment horizontal="right"/>
    </xf>
    <xf numFmtId="3" fontId="8" fillId="0" borderId="0" xfId="1" applyNumberFormat="1" applyFont="1" applyAlignment="1">
      <alignment horizontal="right"/>
    </xf>
    <xf numFmtId="49" fontId="19" fillId="0" borderId="0" xfId="1" applyNumberFormat="1" applyFont="1"/>
    <xf numFmtId="0" fontId="20" fillId="0" borderId="0" xfId="5" applyFont="1" applyAlignment="1">
      <alignment vertical="center"/>
    </xf>
    <xf numFmtId="0" fontId="19" fillId="0" borderId="0" xfId="1" applyFont="1"/>
    <xf numFmtId="0" fontId="21" fillId="0" borderId="0" xfId="1" applyFont="1"/>
    <xf numFmtId="41" fontId="19" fillId="0" borderId="0" xfId="6" applyFont="1"/>
    <xf numFmtId="49" fontId="22" fillId="0" borderId="0" xfId="5" applyNumberFormat="1" applyFont="1"/>
    <xf numFmtId="49" fontId="20" fillId="0" borderId="0" xfId="5" applyNumberFormat="1" applyFont="1"/>
    <xf numFmtId="0" fontId="23" fillId="0" borderId="0" xfId="5" applyFont="1" applyAlignment="1">
      <alignment vertical="center"/>
    </xf>
    <xf numFmtId="166" fontId="19" fillId="0" borderId="0" xfId="3" applyNumberFormat="1" applyFont="1"/>
    <xf numFmtId="166" fontId="19" fillId="0" borderId="0" xfId="1" applyNumberFormat="1" applyFont="1"/>
    <xf numFmtId="49" fontId="19" fillId="2" borderId="0" xfId="1" applyNumberFormat="1" applyFont="1" applyFill="1"/>
    <xf numFmtId="3" fontId="19" fillId="0" borderId="0" xfId="1" applyNumberFormat="1" applyFont="1"/>
    <xf numFmtId="43" fontId="19" fillId="0" borderId="0" xfId="1" applyNumberFormat="1" applyFont="1"/>
    <xf numFmtId="41" fontId="19" fillId="0" borderId="0" xfId="1" applyNumberFormat="1" applyFont="1"/>
    <xf numFmtId="49" fontId="24" fillId="0" borderId="0" xfId="5" applyNumberFormat="1" applyFont="1"/>
    <xf numFmtId="0" fontId="21" fillId="2" borderId="0" xfId="1" applyFont="1" applyFill="1"/>
    <xf numFmtId="0" fontId="19" fillId="2" borderId="0" xfId="1" applyFont="1" applyFill="1"/>
    <xf numFmtId="0" fontId="22" fillId="0" borderId="0" xfId="1" applyFont="1" applyAlignment="1">
      <alignment vertical="center"/>
    </xf>
    <xf numFmtId="0" fontId="22" fillId="0" borderId="0" xfId="1" applyFont="1" applyAlignment="1">
      <alignment horizontal="left" vertical="center"/>
    </xf>
  </cellXfs>
  <cellStyles count="7">
    <cellStyle name="Millares [0] 2" xfId="6" xr:uid="{C9740897-EB70-49DE-96FA-E52905B9C018}"/>
    <cellStyle name="Millares 2" xfId="3" xr:uid="{A41EE261-A350-4A82-9F7B-F3010E050709}"/>
    <cellStyle name="Normal" xfId="0" builtinId="0"/>
    <cellStyle name="Normal 2" xfId="1" xr:uid="{7D76185D-873E-48B8-A116-C640FDCBFB6F}"/>
    <cellStyle name="Normal 2 2" xfId="5" xr:uid="{973E8ECD-A68F-414A-8E53-63B8DEE22715}"/>
    <cellStyle name="Normal 3" xfId="2" xr:uid="{0B77D0FE-1385-4472-8EE2-9BF4B739AD45}"/>
    <cellStyle name="Porcentaje 2" xfId="4" xr:uid="{C2F35694-8D08-4AA6-B35E-31A5CF49682B}"/>
  </cellStyles>
  <dxfs count="69"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616560</xdr:colOff>
      <xdr:row>8</xdr:row>
      <xdr:rowOff>113769</xdr:rowOff>
    </xdr:from>
    <xdr:to>
      <xdr:col>41</xdr:col>
      <xdr:colOff>700620</xdr:colOff>
      <xdr:row>16</xdr:row>
      <xdr:rowOff>30613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BBD96F-430C-4E23-A7D9-415B97F15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67885" y="1694919"/>
          <a:ext cx="3132060" cy="1212244"/>
        </a:xfrm>
        <a:prstGeom prst="rect">
          <a:avLst/>
        </a:prstGeom>
      </xdr:spPr>
    </xdr:pic>
    <xdr:clientData/>
  </xdr:twoCellAnchor>
  <xdr:twoCellAnchor editAs="oneCell">
    <xdr:from>
      <xdr:col>42</xdr:col>
      <xdr:colOff>98689</xdr:colOff>
      <xdr:row>9</xdr:row>
      <xdr:rowOff>77674</xdr:rowOff>
    </xdr:from>
    <xdr:to>
      <xdr:col>46</xdr:col>
      <xdr:colOff>381000</xdr:colOff>
      <xdr:row>18</xdr:row>
      <xdr:rowOff>22294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C88A63A-1AA5-4614-8A13-05B409B4E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560014" y="1820749"/>
          <a:ext cx="3330311" cy="1401945"/>
        </a:xfrm>
        <a:prstGeom prst="rect">
          <a:avLst/>
        </a:prstGeom>
      </xdr:spPr>
    </xdr:pic>
    <xdr:clientData/>
  </xdr:twoCellAnchor>
  <xdr:twoCellAnchor editAs="oneCell">
    <xdr:from>
      <xdr:col>46</xdr:col>
      <xdr:colOff>542925</xdr:colOff>
      <xdr:row>9</xdr:row>
      <xdr:rowOff>133352</xdr:rowOff>
    </xdr:from>
    <xdr:to>
      <xdr:col>50</xdr:col>
      <xdr:colOff>466725</xdr:colOff>
      <xdr:row>17</xdr:row>
      <xdr:rowOff>72987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399E54F-FDE4-4EA0-BA51-824659338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052250" y="1876427"/>
          <a:ext cx="2971800" cy="1235035"/>
        </a:xfrm>
        <a:prstGeom prst="rect">
          <a:avLst/>
        </a:prstGeom>
      </xdr:spPr>
    </xdr:pic>
    <xdr:clientData/>
  </xdr:twoCellAnchor>
  <xdr:twoCellAnchor editAs="oneCell">
    <xdr:from>
      <xdr:col>51</xdr:col>
      <xdr:colOff>104775</xdr:colOff>
      <xdr:row>9</xdr:row>
      <xdr:rowOff>138504</xdr:rowOff>
    </xdr:from>
    <xdr:to>
      <xdr:col>55</xdr:col>
      <xdr:colOff>209550</xdr:colOff>
      <xdr:row>18</xdr:row>
      <xdr:rowOff>14848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84F92CD-81AA-4383-A724-53EFC2FC8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424100" y="1881579"/>
          <a:ext cx="3152775" cy="1333669"/>
        </a:xfrm>
        <a:prstGeom prst="rect">
          <a:avLst/>
        </a:prstGeom>
      </xdr:spPr>
    </xdr:pic>
    <xdr:clientData/>
  </xdr:twoCellAnchor>
  <xdr:twoCellAnchor editAs="oneCell">
    <xdr:from>
      <xdr:col>51</xdr:col>
      <xdr:colOff>95250</xdr:colOff>
      <xdr:row>1</xdr:row>
      <xdr:rowOff>133351</xdr:rowOff>
    </xdr:from>
    <xdr:to>
      <xdr:col>55</xdr:col>
      <xdr:colOff>180975</xdr:colOff>
      <xdr:row>9</xdr:row>
      <xdr:rowOff>52822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63D7A62-1B34-49D7-8FE5-E254CFD23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414575" y="371476"/>
          <a:ext cx="3133725" cy="1424421"/>
        </a:xfrm>
        <a:prstGeom prst="rect">
          <a:avLst/>
        </a:prstGeom>
      </xdr:spPr>
    </xdr:pic>
    <xdr:clientData/>
  </xdr:twoCellAnchor>
  <xdr:twoCellAnchor editAs="oneCell">
    <xdr:from>
      <xdr:col>46</xdr:col>
      <xdr:colOff>457200</xdr:colOff>
      <xdr:row>1</xdr:row>
      <xdr:rowOff>104776</xdr:rowOff>
    </xdr:from>
    <xdr:to>
      <xdr:col>50</xdr:col>
      <xdr:colOff>406347</xdr:colOff>
      <xdr:row>8</xdr:row>
      <xdr:rowOff>76200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7019486-DE4F-478E-AE04-46B3E86EE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966525" y="342901"/>
          <a:ext cx="2997147" cy="1314449"/>
        </a:xfrm>
        <a:prstGeom prst="rect">
          <a:avLst/>
        </a:prstGeom>
      </xdr:spPr>
    </xdr:pic>
    <xdr:clientData/>
  </xdr:twoCellAnchor>
  <xdr:twoCellAnchor editAs="oneCell">
    <xdr:from>
      <xdr:col>42</xdr:col>
      <xdr:colOff>80376</xdr:colOff>
      <xdr:row>1</xdr:row>
      <xdr:rowOff>57151</xdr:rowOff>
    </xdr:from>
    <xdr:to>
      <xdr:col>46</xdr:col>
      <xdr:colOff>200025</xdr:colOff>
      <xdr:row>8</xdr:row>
      <xdr:rowOff>74692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D3A72C-CDA1-4822-80FF-17C0B7986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541701" y="295276"/>
          <a:ext cx="3167649" cy="1360566"/>
        </a:xfrm>
        <a:prstGeom prst="rect">
          <a:avLst/>
        </a:prstGeom>
      </xdr:spPr>
    </xdr:pic>
    <xdr:clientData/>
  </xdr:twoCellAnchor>
  <xdr:twoCellAnchor editAs="oneCell">
    <xdr:from>
      <xdr:col>37</xdr:col>
      <xdr:colOff>669835</xdr:colOff>
      <xdr:row>0</xdr:row>
      <xdr:rowOff>221719</xdr:rowOff>
    </xdr:from>
    <xdr:to>
      <xdr:col>41</xdr:col>
      <xdr:colOff>589049</xdr:colOff>
      <xdr:row>7</xdr:row>
      <xdr:rowOff>122285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62609D3-E603-4C3B-B97D-75236C13E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321160" y="221719"/>
          <a:ext cx="2967214" cy="1310266"/>
        </a:xfrm>
        <a:prstGeom prst="rect">
          <a:avLst/>
        </a:prstGeom>
      </xdr:spPr>
    </xdr:pic>
    <xdr:clientData/>
  </xdr:twoCellAnchor>
  <xdr:twoCellAnchor editAs="oneCell">
    <xdr:from>
      <xdr:col>37</xdr:col>
      <xdr:colOff>742950</xdr:colOff>
      <xdr:row>17</xdr:row>
      <xdr:rowOff>153795</xdr:rowOff>
    </xdr:from>
    <xdr:to>
      <xdr:col>41</xdr:col>
      <xdr:colOff>666750</xdr:colOff>
      <xdr:row>25</xdr:row>
      <xdr:rowOff>134194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87E1F61-527B-44CF-8865-A513542F9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394275" y="3192270"/>
          <a:ext cx="2971800" cy="1275799"/>
        </a:xfrm>
        <a:prstGeom prst="rect">
          <a:avLst/>
        </a:prstGeom>
      </xdr:spPr>
    </xdr:pic>
    <xdr:clientData/>
  </xdr:twoCellAnchor>
  <xdr:twoCellAnchor editAs="oneCell">
    <xdr:from>
      <xdr:col>42</xdr:col>
      <xdr:colOff>209410</xdr:colOff>
      <xdr:row>18</xdr:row>
      <xdr:rowOff>19051</xdr:rowOff>
    </xdr:from>
    <xdr:to>
      <xdr:col>46</xdr:col>
      <xdr:colOff>200025</xdr:colOff>
      <xdr:row>26</xdr:row>
      <xdr:rowOff>48569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DD95A96-5ACE-4D3F-9D0E-EE1988C06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670735" y="3219451"/>
          <a:ext cx="3038615" cy="1324918"/>
        </a:xfrm>
        <a:prstGeom prst="rect">
          <a:avLst/>
        </a:prstGeom>
      </xdr:spPr>
    </xdr:pic>
    <xdr:clientData/>
  </xdr:twoCellAnchor>
  <xdr:twoCellAnchor editAs="oneCell">
    <xdr:from>
      <xdr:col>46</xdr:col>
      <xdr:colOff>620869</xdr:colOff>
      <xdr:row>18</xdr:row>
      <xdr:rowOff>133350</xdr:rowOff>
    </xdr:from>
    <xdr:to>
      <xdr:col>50</xdr:col>
      <xdr:colOff>352425</xdr:colOff>
      <xdr:row>26</xdr:row>
      <xdr:rowOff>105239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3DAA873-FA27-46BB-9FCB-EED7891B0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130194" y="3333750"/>
          <a:ext cx="2779556" cy="1267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Vision%20Tecnologica\UnoBiable\UnoBiable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definedNames>
      <definedName name="Consulta"/>
    </definedNames>
    <sheetDataSet>
      <sheetData sheetId="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E9530FBC-283C-441C-A087-CCEE170BD268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47.442095023151" createdVersion="3" refreshedVersion="6" minRefreshableVersion="3" recordCount="3" xr:uid="{2911281A-87FB-4C4A-9290-BCAE23E71662}">
  <cacheSource type="external" connectionId="3"/>
  <cacheFields count="33">
    <cacheField name="PERIODO" numFmtId="0">
      <sharedItems containsSemiMixedTypes="0" containsString="0" containsNumber="1" containsInteger="1" minValue="201909" maxValue="201909" count="1">
        <n v="201909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pto Flujo de Efectivo" numFmtId="0">
      <sharedItems count="3">
        <s v="4102"/>
        <s v="7102"/>
        <s v="7105"/>
      </sharedItems>
    </cacheField>
    <cacheField name="Nombre Cpto Flujo Efectivo" numFmtId="0">
      <sharedItems count="3">
        <s v="INTERESES LARGO PLAZO"/>
        <s v="PAGO CUOTA CORRIENTE"/>
        <s v="PRESTAMOS ENTIDADES FINANCIERAS LP"/>
      </sharedItems>
    </cacheField>
    <cacheField name="Cpto Mayor Flujo Efectivo" numFmtId="0">
      <sharedItems count="2">
        <s v="4"/>
        <s v="7"/>
      </sharedItems>
    </cacheField>
    <cacheField name="CPTO_FE_N1" numFmtId="0">
      <sharedItems count="2">
        <s v="4"/>
        <s v="7"/>
      </sharedItems>
    </cacheField>
    <cacheField name="Nombre Cpto FE N1" numFmtId="0">
      <sharedItems count="2">
        <s v="MOVIMIENTO FINANCIERO"/>
        <s v="ACTIVIDADES DE FINANCIACION"/>
      </sharedItems>
    </cacheField>
    <cacheField name="CPTO_FE_N2" numFmtId="0">
      <sharedItems count="3">
        <s v="4102"/>
        <s v="7102"/>
        <s v="7105"/>
      </sharedItems>
    </cacheField>
    <cacheField name="Nombre Cpto FE N2" numFmtId="0">
      <sharedItems count="3">
        <s v="INTERESES LARGO PLAZO"/>
        <s v="PAGO CUOTA CORRIENTE"/>
        <s v="PRESTAMOS ENTIDADES FINANCIERAS LP"/>
      </sharedItems>
    </cacheField>
    <cacheField name="CPTO_FE_N3" numFmtId="0">
      <sharedItems count="3">
        <s v="4102"/>
        <s v="7102"/>
        <s v="7105"/>
      </sharedItems>
    </cacheField>
    <cacheField name="Nombre Cpto FE N3" numFmtId="0">
      <sharedItems count="3">
        <s v="INTERESES LARGO PLAZO"/>
        <s v="PAGO CUOTA CORRIENTE"/>
        <s v="PRESTAMOS ENTIDADES FINANCIERAS LP"/>
      </sharedItems>
    </cacheField>
    <cacheField name="CPTO_FE_N4" numFmtId="0">
      <sharedItems count="3">
        <s v="4102"/>
        <s v="7102"/>
        <s v="7105"/>
      </sharedItems>
    </cacheField>
    <cacheField name="Nombre Cpto FE N4" numFmtId="0">
      <sharedItems count="3">
        <s v="INTERESES LARGO PLAZO"/>
        <s v="PAGO CUOTA CORRIENTE"/>
        <s v="PRESTAMOS ENTIDADES FINANCIERAS LP"/>
      </sharedItems>
    </cacheField>
    <cacheField name="CPTO_FE_N5" numFmtId="0">
      <sharedItems count="3">
        <s v="4102"/>
        <s v="7102"/>
        <s v="7105"/>
      </sharedItems>
    </cacheField>
    <cacheField name="Nombre Cpto FE N5" numFmtId="0">
      <sharedItems count="3">
        <s v="INTERESES LARGO PLAZO"/>
        <s v="PAGO CUOTA CORRIENTE"/>
        <s v="PRESTAMOS ENTIDADES FINANCIERAS LP"/>
      </sharedItems>
    </cacheField>
    <cacheField name="CPTO_FE_N6" numFmtId="0">
      <sharedItems count="3">
        <s v="4102"/>
        <s v="7102"/>
        <s v="7105"/>
      </sharedItems>
    </cacheField>
    <cacheField name="Nombre Cpto FE N6" numFmtId="0">
      <sharedItems count="3">
        <s v="INTERESES LARGO PLAZO"/>
        <s v="PAGO CUOTA CORRIENTE"/>
        <s v="PRESTAMOS ENTIDADES FINANCIERAS LP"/>
      </sharedItems>
    </cacheField>
    <cacheField name="CPTO_FE_N7" numFmtId="0">
      <sharedItems count="3">
        <s v="4102"/>
        <s v="7102"/>
        <s v="7105"/>
      </sharedItems>
    </cacheField>
    <cacheField name="Nombre Cpto FE N7" numFmtId="0">
      <sharedItems count="3">
        <s v="INTERESES LARGO PLAZO"/>
        <s v="PAGO CUOTA CORRIENTE"/>
        <s v="PRESTAMOS ENTIDADES FINANCIERAS LP"/>
      </sharedItems>
    </cacheField>
    <cacheField name="CPTO_FE_N8" numFmtId="0">
      <sharedItems count="3">
        <s v="4102"/>
        <s v="7102"/>
        <s v="7105"/>
      </sharedItems>
    </cacheField>
    <cacheField name="Nombre Cpto FE N8" numFmtId="0">
      <sharedItems count="3">
        <s v="INTERESES LARGO PLAZO"/>
        <s v="PAGO CUOTA CORRIENTE"/>
        <s v="PRESTAMOS ENTIDADES FINANCIERAS LP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19" maxValue="2019" count="1">
        <n v="2019"/>
      </sharedItems>
    </cacheField>
    <cacheField name="Valor Presupuesto" numFmtId="0">
      <sharedItems containsSemiMixedTypes="0" containsString="0" containsNumber="1" containsInteger="1" minValue="15856000" maxValue="89381000" count="3">
        <n v="15856000"/>
        <n v="89381000"/>
        <n v="42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B8EFE549-8C35-4ACB-81D8-43F7C543CA3B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FA2C32-75B3-4679-8C2A-05DA567C7167}" name="UnoBiable: SmartZoom 001 en ctas" cacheId="14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0">
      <pivotArea outline="0" collapsedLevelsAreSubtotals="1" fieldPosition="0"/>
    </format>
    <format dxfId="1">
      <pivotArea type="all" dataOnly="0" outline="0" fieldPosition="0"/>
    </format>
    <format dxfId="2">
      <pivotArea outline="0" collapsedLevelsAreSubtotals="1" fieldPosition="0"/>
    </format>
    <format dxfId="3">
      <pivotArea type="origin" dataOnly="0" labelOnly="1" outline="0" fieldPosition="0"/>
    </format>
    <format dxfId="4">
      <pivotArea field="31" type="button" dataOnly="0" labelOnly="1" outline="0" axis="axisRow" fieldPosition="0"/>
    </format>
    <format dxfId="5">
      <pivotArea field="32" type="button" dataOnly="0" labelOnly="1" outline="0" axis="axisRow" fieldPosition="1"/>
    </format>
    <format dxfId="6">
      <pivotArea dataOnly="0" labelOnly="1" outline="0" fieldPosition="0">
        <references count="1">
          <reference field="31" count="0"/>
        </references>
      </pivotArea>
    </format>
    <format dxfId="7">
      <pivotArea dataOnly="0" labelOnly="1" grandRow="1" outline="0" fieldPosition="0"/>
    </format>
    <format dxfId="8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9">
      <pivotArea type="topRight" dataOnly="0" labelOnly="1" outline="0" fieldPosition="0"/>
    </format>
    <format dxfId="10">
      <pivotArea type="all" dataOnly="0" outline="0" fieldPosition="0"/>
    </format>
    <format dxfId="11">
      <pivotArea outline="0" collapsedLevelsAreSubtotals="1" fieldPosition="0"/>
    </format>
    <format dxfId="12">
      <pivotArea type="origin" dataOnly="0" labelOnly="1" outline="0" fieldPosition="0"/>
    </format>
    <format dxfId="13">
      <pivotArea field="31" type="button" dataOnly="0" labelOnly="1" outline="0" axis="axisRow" fieldPosition="0"/>
    </format>
    <format dxfId="14">
      <pivotArea field="32" type="button" dataOnly="0" labelOnly="1" outline="0" axis="axisRow" fieldPosition="1"/>
    </format>
    <format dxfId="15">
      <pivotArea dataOnly="0" labelOnly="1" outline="0" fieldPosition="0">
        <references count="1">
          <reference field="31" count="0"/>
        </references>
      </pivotArea>
    </format>
    <format dxfId="16">
      <pivotArea dataOnly="0" labelOnly="1" grandRow="1" outline="0" fieldPosition="0"/>
    </format>
    <format dxfId="17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18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FEF083-5488-41CF-9759-1C26F0C8C402}" name="UnoBiable: SmartZoom 002 en ctas" cacheId="15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2">
        <item x="0"/>
        <item t="default"/>
      </items>
    </pivotField>
    <pivotField compact="0" outline="0" showAll="0"/>
    <pivotField compact="0" outline="0" showAll="0">
      <items count="2">
        <item x="0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3">
        <item x="0"/>
        <item x="1"/>
        <item x="2"/>
      </items>
    </pivotField>
    <pivotField axis="axisRow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2"/>
      <x v="2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19">
      <pivotArea outline="0" collapsedLevelsAreSubtotals="1" fieldPosition="0"/>
    </format>
    <format dxfId="20">
      <pivotArea type="all" dataOnly="0" outline="0" fieldPosition="0"/>
    </format>
    <format dxfId="21">
      <pivotArea outline="0" collapsedLevelsAreSubtotals="1" fieldPosition="0"/>
    </format>
    <format dxfId="22">
      <pivotArea type="origin" dataOnly="0" labelOnly="1" outline="0" fieldPosition="0"/>
    </format>
    <format dxfId="23">
      <pivotArea field="5" type="button" dataOnly="0" labelOnly="1" outline="0" axis="axisRow" fieldPosition="0"/>
    </format>
    <format dxfId="24">
      <pivotArea field="6" type="button" dataOnly="0" labelOnly="1" outline="0" axis="axisRow" fieldPosition="1"/>
    </format>
    <format dxfId="25">
      <pivotArea dataOnly="0" labelOnly="1" outline="0" fieldPosition="0">
        <references count="1">
          <reference field="5" count="0"/>
        </references>
      </pivotArea>
    </format>
    <format dxfId="26">
      <pivotArea dataOnly="0" labelOnly="1" grandRow="1" outline="0" fieldPosition="0"/>
    </format>
    <format dxfId="27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28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29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30">
      <pivotArea type="topRight" dataOnly="0" labelOnly="1" outline="0" fieldPosition="0"/>
    </format>
    <format dxfId="31">
      <pivotArea type="all" dataOnly="0" outline="0" fieldPosition="0"/>
    </format>
    <format dxfId="32">
      <pivotArea outline="0" collapsedLevelsAreSubtotals="1" fieldPosition="0"/>
    </format>
    <format dxfId="33">
      <pivotArea type="origin" dataOnly="0" labelOnly="1" outline="0" fieldPosition="0"/>
    </format>
    <format dxfId="34">
      <pivotArea field="5" type="button" dataOnly="0" labelOnly="1" outline="0" axis="axisRow" fieldPosition="0"/>
    </format>
    <format dxfId="35">
      <pivotArea field="6" type="button" dataOnly="0" labelOnly="1" outline="0" axis="axisRow" fieldPosition="1"/>
    </format>
    <format dxfId="36">
      <pivotArea dataOnly="0" labelOnly="1" outline="0" fieldPosition="0">
        <references count="1">
          <reference field="5" count="0"/>
        </references>
      </pivotArea>
    </format>
    <format dxfId="37">
      <pivotArea dataOnly="0" labelOnly="1" grandRow="1" outline="0" fieldPosition="0"/>
    </format>
    <format dxfId="38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39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40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41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65227B-4CE4-49EA-B680-228D5D7FA3BF}" name="UnoBiable: SmartZoom 000 en ctas" cacheId="13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42">
      <pivotArea type="all" dataOnly="0" outline="0" fieldPosition="0"/>
    </format>
    <format dxfId="43">
      <pivotArea outline="0" collapsedLevelsAreSubtotals="1" fieldPosition="0"/>
    </format>
    <format dxfId="44">
      <pivotArea type="origin" dataOnly="0" labelOnly="1" outline="0" fieldPosition="0"/>
    </format>
    <format dxfId="45">
      <pivotArea field="4" type="button" dataOnly="0" labelOnly="1" outline="0" axis="axisRow" fieldPosition="0"/>
    </format>
    <format dxfId="46">
      <pivotArea dataOnly="0" labelOnly="1" outline="0" fieldPosition="0">
        <references count="1">
          <reference field="4" count="0"/>
        </references>
      </pivotArea>
    </format>
    <format dxfId="47">
      <pivotArea dataOnly="0" labelOnly="1" grandRow="1" outline="0" fieldPosition="0"/>
    </format>
    <format dxfId="48">
      <pivotArea type="topRight" dataOnly="0" labelOnly="1" outline="0" fieldPosition="0"/>
    </format>
    <format dxfId="49">
      <pivotArea type="all" dataOnly="0" outline="0" fieldPosition="0"/>
    </format>
    <format dxfId="50">
      <pivotArea outline="0" collapsedLevelsAreSubtotals="1" fieldPosition="0"/>
    </format>
    <format dxfId="51">
      <pivotArea type="origin" dataOnly="0" labelOnly="1" outline="0" fieldPosition="0"/>
    </format>
    <format dxfId="52">
      <pivotArea field="4" type="button" dataOnly="0" labelOnly="1" outline="0" axis="axisRow" fieldPosition="0"/>
    </format>
    <format dxfId="53">
      <pivotArea dataOnly="0" labelOnly="1" outline="0" fieldPosition="0">
        <references count="1">
          <reference field="4" count="0"/>
        </references>
      </pivotArea>
    </format>
    <format dxfId="54">
      <pivotArea dataOnly="0" labelOnly="1" grandRow="1" outline="0" fieldPosition="0"/>
    </format>
    <format dxfId="55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96B74-5549-4668-B826-C1DE6DBE7E14}">
  <dimension ref="A2:D33"/>
  <sheetViews>
    <sheetView showGridLines="0" workbookViewId="0"/>
  </sheetViews>
  <sheetFormatPr baseColWidth="10" defaultRowHeight="12.75" x14ac:dyDescent="0.2"/>
  <cols>
    <col min="1" max="1" width="12.5703125" style="1" customWidth="1"/>
    <col min="2" max="2" width="16.5703125" style="1" customWidth="1"/>
    <col min="3" max="3" width="5" style="1" bestFit="1" customWidth="1"/>
    <col min="4" max="16384" width="11.42578125" style="1"/>
  </cols>
  <sheetData>
    <row r="2" spans="1:4" x14ac:dyDescent="0.2">
      <c r="A2" s="1" t="s">
        <v>0</v>
      </c>
      <c r="B2" s="1" t="s">
        <v>1</v>
      </c>
    </row>
    <row r="3" spans="1:4" x14ac:dyDescent="0.2">
      <c r="A3" s="2">
        <v>202101</v>
      </c>
      <c r="B3" s="3">
        <v>202201</v>
      </c>
      <c r="C3" s="3"/>
    </row>
    <row r="4" spans="1:4" x14ac:dyDescent="0.2">
      <c r="A4" s="2">
        <v>202111</v>
      </c>
      <c r="B4" s="3">
        <v>202211</v>
      </c>
      <c r="C4" s="3"/>
    </row>
    <row r="5" spans="1:4" x14ac:dyDescent="0.2">
      <c r="A5" s="2"/>
      <c r="B5" s="3">
        <f>+B4-1</f>
        <v>202210</v>
      </c>
      <c r="C5" s="3"/>
    </row>
    <row r="7" spans="1:4" x14ac:dyDescent="0.2">
      <c r="B7" s="1" t="s">
        <v>2</v>
      </c>
      <c r="C7" s="1" t="s">
        <v>3</v>
      </c>
      <c r="D7" s="1" t="s">
        <v>4</v>
      </c>
    </row>
    <row r="8" spans="1:4" x14ac:dyDescent="0.2">
      <c r="A8" s="1" t="e" cm="1">
        <f t="array" ref="A8">bus</f>
        <v>#NAME?</v>
      </c>
      <c r="B8" s="4" t="s">
        <v>5</v>
      </c>
      <c r="C8" s="5">
        <v>2022</v>
      </c>
      <c r="D8" s="6">
        <v>4809.51</v>
      </c>
    </row>
    <row r="9" spans="1:4" x14ac:dyDescent="0.2">
      <c r="B9" s="7" t="str">
        <f>+B8</f>
        <v>NOVIEMBRE</v>
      </c>
      <c r="C9" s="5">
        <f>+C8-1</f>
        <v>2021</v>
      </c>
      <c r="D9" s="8">
        <v>4010.98</v>
      </c>
    </row>
    <row r="10" spans="1:4" x14ac:dyDescent="0.2">
      <c r="B10" s="1" t="s">
        <v>6</v>
      </c>
      <c r="D10" s="8">
        <v>3400</v>
      </c>
    </row>
    <row r="22" spans="2:3" x14ac:dyDescent="0.2">
      <c r="B22" s="1" t="s">
        <v>7</v>
      </c>
      <c r="C22" s="1">
        <v>1</v>
      </c>
    </row>
    <row r="23" spans="2:3" x14ac:dyDescent="0.2">
      <c r="B23" s="1" t="s">
        <v>8</v>
      </c>
      <c r="C23" s="1">
        <v>2</v>
      </c>
    </row>
    <row r="24" spans="2:3" x14ac:dyDescent="0.2">
      <c r="B24" s="1" t="s">
        <v>9</v>
      </c>
      <c r="C24" s="1">
        <v>3</v>
      </c>
    </row>
    <row r="25" spans="2:3" x14ac:dyDescent="0.2">
      <c r="B25" s="1" t="s">
        <v>10</v>
      </c>
      <c r="C25" s="1">
        <v>4</v>
      </c>
    </row>
    <row r="26" spans="2:3" x14ac:dyDescent="0.2">
      <c r="B26" s="1" t="s">
        <v>11</v>
      </c>
      <c r="C26" s="1">
        <v>5</v>
      </c>
    </row>
    <row r="27" spans="2:3" x14ac:dyDescent="0.2">
      <c r="B27" s="1" t="s">
        <v>12</v>
      </c>
      <c r="C27" s="1">
        <v>6</v>
      </c>
    </row>
    <row r="28" spans="2:3" x14ac:dyDescent="0.2">
      <c r="B28" s="1" t="s">
        <v>13</v>
      </c>
      <c r="C28" s="1">
        <v>7</v>
      </c>
    </row>
    <row r="29" spans="2:3" x14ac:dyDescent="0.2">
      <c r="B29" s="1" t="s">
        <v>14</v>
      </c>
      <c r="C29" s="1">
        <v>8</v>
      </c>
    </row>
    <row r="30" spans="2:3" x14ac:dyDescent="0.2">
      <c r="B30" s="1" t="s">
        <v>15</v>
      </c>
      <c r="C30" s="1">
        <v>9</v>
      </c>
    </row>
    <row r="31" spans="2:3" x14ac:dyDescent="0.2">
      <c r="B31" s="1" t="s">
        <v>16</v>
      </c>
      <c r="C31" s="1">
        <v>10</v>
      </c>
    </row>
    <row r="32" spans="2:3" x14ac:dyDescent="0.2">
      <c r="B32" s="1" t="s">
        <v>5</v>
      </c>
      <c r="C32" s="1">
        <v>11</v>
      </c>
    </row>
    <row r="33" spans="2:3" x14ac:dyDescent="0.2">
      <c r="B33" s="1" t="s">
        <v>17</v>
      </c>
      <c r="C33" s="1">
        <v>12</v>
      </c>
    </row>
  </sheetData>
  <dataValidations count="1">
    <dataValidation type="list" allowBlank="1" showInputMessage="1" showErrorMessage="1" sqref="B8" xr:uid="{6822E010-0A2B-4A85-9CBE-03C5724C70C2}">
      <formula1>$B$22:$B$33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051F6-5FDA-45D4-AC16-862DB781B55C}">
  <dimension ref="A1:AK46"/>
  <sheetViews>
    <sheetView showGridLines="0" topLeftCell="A4" workbookViewId="0">
      <selection activeCell="T3" sqref="T3"/>
    </sheetView>
  </sheetViews>
  <sheetFormatPr baseColWidth="10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61" bestFit="1" customWidth="1"/>
    <col min="20" max="21" width="11.42578125" style="61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48" customFormat="1" x14ac:dyDescent="0.2">
      <c r="B1" s="43"/>
      <c r="S1" s="61"/>
      <c r="T1" s="61"/>
      <c r="U1" s="61"/>
    </row>
    <row r="2" spans="1:37" x14ac:dyDescent="0.2">
      <c r="A2" s="48"/>
      <c r="Y2" s="48"/>
      <c r="Z2" s="48"/>
      <c r="AA2" s="48"/>
      <c r="AB2" s="48"/>
    </row>
    <row r="3" spans="1:37" ht="18" x14ac:dyDescent="0.25">
      <c r="B3" s="15" t="s">
        <v>149</v>
      </c>
      <c r="T3" s="111"/>
      <c r="V3" s="2" t="str">
        <f>+B3</f>
        <v>MUSICAR S.A. COLOMBIA CONSOLIDADO USD</v>
      </c>
    </row>
    <row r="4" spans="1:37" x14ac:dyDescent="0.2">
      <c r="B4" s="2" t="s">
        <v>19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V4" s="48"/>
      <c r="W4" s="48"/>
      <c r="X4" s="48"/>
      <c r="Y4" s="48"/>
      <c r="Z4" s="48"/>
      <c r="AA4" s="48"/>
      <c r="AB4" s="48"/>
      <c r="AC4" s="48"/>
      <c r="AD4" s="48"/>
      <c r="AE4" s="48"/>
    </row>
    <row r="5" spans="1:37" x14ac:dyDescent="0.2">
      <c r="B5" s="3" t="s">
        <v>93</v>
      </c>
      <c r="V5" s="48"/>
      <c r="W5" s="2">
        <f>+'COLOMB$ '!U6:W6</f>
        <v>0</v>
      </c>
      <c r="Z5" s="2">
        <f>+'COLOMB$ '!X6:AB6</f>
        <v>0</v>
      </c>
      <c r="AC5" s="2" t="s">
        <v>25</v>
      </c>
      <c r="AD5" s="2" t="s">
        <v>23</v>
      </c>
      <c r="AE5" s="2" t="s">
        <v>24</v>
      </c>
    </row>
    <row r="6" spans="1:37" ht="15.75" customHeight="1" thickBot="1" x14ac:dyDescent="0.25">
      <c r="B6" s="19" t="str">
        <f>+'COL. CONS.$'!B6</f>
        <v>NOVIEMBRE De 2022</v>
      </c>
      <c r="C6" s="86"/>
      <c r="K6" s="20" t="s">
        <v>22</v>
      </c>
      <c r="L6" s="20"/>
      <c r="M6" s="20"/>
      <c r="N6" s="20"/>
      <c r="O6" s="20"/>
      <c r="P6" s="20"/>
      <c r="Q6" s="20"/>
      <c r="R6" s="20"/>
      <c r="V6" s="3" t="s">
        <v>93</v>
      </c>
      <c r="W6" s="48" t="str">
        <f>+C8</f>
        <v>Valor</v>
      </c>
      <c r="X6" s="48" t="str">
        <f>+E8</f>
        <v>Valor</v>
      </c>
      <c r="Y6" s="48" t="str">
        <f>+O8</f>
        <v>%</v>
      </c>
      <c r="Z6" s="48" t="str">
        <f>+W6</f>
        <v>Valor</v>
      </c>
      <c r="AA6" s="48" t="str">
        <f>+X6</f>
        <v>Valor</v>
      </c>
      <c r="AB6" s="48" t="str">
        <f>+G8</f>
        <v>%</v>
      </c>
      <c r="AC6" s="48" t="s">
        <v>25</v>
      </c>
      <c r="AD6" s="48" t="s">
        <v>23</v>
      </c>
      <c r="AE6" s="48" t="s">
        <v>24</v>
      </c>
    </row>
    <row r="7" spans="1:37" x14ac:dyDescent="0.2">
      <c r="B7" s="55"/>
      <c r="C7" s="55"/>
      <c r="D7" s="55" t="s">
        <v>63</v>
      </c>
      <c r="E7" s="55"/>
      <c r="F7" s="55" t="s">
        <v>64</v>
      </c>
      <c r="G7" s="56" t="s">
        <v>23</v>
      </c>
      <c r="H7" s="55"/>
      <c r="I7" s="55" t="s">
        <v>65</v>
      </c>
      <c r="J7" s="56" t="s">
        <v>24</v>
      </c>
      <c r="K7" s="56"/>
      <c r="L7" s="55" t="str">
        <f>+D7</f>
        <v>Ppto 2022</v>
      </c>
      <c r="M7" s="56"/>
      <c r="N7" s="55" t="str">
        <f>+F7</f>
        <v>Real 2022</v>
      </c>
      <c r="O7" s="56" t="s">
        <v>23</v>
      </c>
      <c r="P7" s="56" t="str">
        <f>+I7</f>
        <v>Real 2021</v>
      </c>
      <c r="Q7" s="56"/>
      <c r="R7" s="56" t="s">
        <v>24</v>
      </c>
      <c r="V7" s="3" t="str">
        <f>+'COLOMB$ '!T4</f>
        <v xml:space="preserve">Flujo de Caja </v>
      </c>
      <c r="W7" s="48" t="s">
        <v>27</v>
      </c>
      <c r="X7" s="48" t="s">
        <v>27</v>
      </c>
      <c r="Y7" s="48" t="s">
        <v>27</v>
      </c>
      <c r="Z7" s="2" t="s">
        <v>150</v>
      </c>
      <c r="AC7" s="48" t="s">
        <v>27</v>
      </c>
      <c r="AD7" s="48" t="s">
        <v>29</v>
      </c>
      <c r="AE7" s="48" t="s">
        <v>29</v>
      </c>
    </row>
    <row r="8" spans="1:37" ht="13.5" thickBot="1" x14ac:dyDescent="0.25">
      <c r="B8" s="59" t="s">
        <v>26</v>
      </c>
      <c r="C8" s="60" t="s">
        <v>27</v>
      </c>
      <c r="D8" s="60" t="s">
        <v>28</v>
      </c>
      <c r="E8" s="60" t="s">
        <v>27</v>
      </c>
      <c r="F8" s="60" t="s">
        <v>28</v>
      </c>
      <c r="G8" s="60" t="s">
        <v>29</v>
      </c>
      <c r="H8" s="60" t="s">
        <v>27</v>
      </c>
      <c r="I8" s="60" t="s">
        <v>28</v>
      </c>
      <c r="J8" s="60" t="s">
        <v>29</v>
      </c>
      <c r="K8" s="60" t="s">
        <v>27</v>
      </c>
      <c r="L8" s="60" t="s">
        <v>28</v>
      </c>
      <c r="M8" s="60" t="s">
        <v>27</v>
      </c>
      <c r="N8" s="60" t="s">
        <v>28</v>
      </c>
      <c r="O8" s="60" t="s">
        <v>29</v>
      </c>
      <c r="P8" s="60" t="s">
        <v>27</v>
      </c>
      <c r="Q8" s="60" t="s">
        <v>28</v>
      </c>
      <c r="R8" s="60" t="s">
        <v>29</v>
      </c>
      <c r="V8" s="3" t="s">
        <v>30</v>
      </c>
      <c r="W8" s="61">
        <f>'COLOMBIA USD'!W10+'EL SALVADOR USD'!V10+'VENEZUELA USD'!W9+'PANAMA USD'!U10</f>
        <v>47145.074918077778</v>
      </c>
      <c r="X8" s="61">
        <f>'COLOMBIA USD'!Y10+'EL SALVADOR USD'!X10+'VENEZUELA USD'!X9+'PANAMA USD'!W10</f>
        <v>245531.053264838</v>
      </c>
      <c r="Y8" s="61">
        <f>'COLOMBIA USD'!X10+'EL SALVADOR USD'!W10+'VENEZUELA USD'!Y9+'PANAMA USD'!V10</f>
        <v>48528.530829648014</v>
      </c>
      <c r="Z8" s="61">
        <f>'COLOMBIA USD'!Z10+'EL SALVADOR USD'!Y10+'VENEZUELA USD'!Z9+'PANAMA USD'!X10</f>
        <v>173872.23529411765</v>
      </c>
      <c r="AA8" s="61">
        <f>'COLOMBIA USD'!AD10+'EL SALVADOR USD'!AC10+'VENEZUELA USD'!AA9+'PANAMA USD'!AB10</f>
        <v>172010.74807508392</v>
      </c>
      <c r="AB8" s="61">
        <f>'COLOMBIA USD'!AA10+'EL SALVADOR USD'!Z10+'VENEZUELA USD'!AB9+'PANAMA USD'!Y10</f>
        <v>132119.45749982848</v>
      </c>
      <c r="AC8" s="57">
        <f>+AB8-Z8</f>
        <v>-41752.77779428917</v>
      </c>
      <c r="AD8" s="63">
        <f>IF(Z8=0,"",(AB8-Z8)/ABS(Z8)+1)</f>
        <v>0.75986518075378007</v>
      </c>
      <c r="AE8" s="63">
        <f>IF(X8=0,"",(AB8-AA8)/ABS(AA8))</f>
        <v>-0.23191161611507324</v>
      </c>
      <c r="AF8" s="49"/>
      <c r="AG8" s="49">
        <f>+'COLOMBIA USD'!Y10+'EL SALVADOR USD'!X10+'VENEZUELA USD'!X9+'PANAMA USD'!W10</f>
        <v>245531.053264838</v>
      </c>
      <c r="AH8" s="49">
        <f>+'COLOMBIA USD'!X10+'EL SALVADOR USD'!W10+'VENEZUELA USD'!Y9+'PANAMA USD'!V10</f>
        <v>48528.530829648014</v>
      </c>
      <c r="AI8" s="49">
        <f>+'COLOMBIA USD'!Z10+'EL SALVADOR USD'!Y10+'VENEZUELA USD'!Z9+'PANAMA USD'!X10</f>
        <v>173872.23529411765</v>
      </c>
      <c r="AJ8" s="49">
        <f>+'COLOMBIA USD'!AD10+'EL SALVADOR USD'!AC10+'VENEZUELA USD'!AA9+'PANAMA USD'!AB10</f>
        <v>172010.74807508392</v>
      </c>
      <c r="AK8" s="49">
        <f>+'COLOMBIA USD'!AA10+'EL SALVADOR USD'!Z10+'VENEZUELA USD'!AB9+'PANAMA USD'!Y10</f>
        <v>132119.45749982848</v>
      </c>
    </row>
    <row r="9" spans="1:37" x14ac:dyDescent="0.2">
      <c r="B9" s="3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V9" s="3" t="s">
        <v>31</v>
      </c>
      <c r="W9" s="61">
        <f>'COLOMBIA USD'!W11+'EL SALVADOR USD'!V11+'VENEZUELA USD'!W10+'PANAMA USD'!U11</f>
        <v>334445.93839725613</v>
      </c>
      <c r="X9" s="61">
        <f>'COLOMBIA USD'!Y11+'EL SALVADOR USD'!X11+'VENEZUELA USD'!X10+'PANAMA USD'!W11</f>
        <v>249791.43287795995</v>
      </c>
      <c r="Y9" s="61">
        <f>'COLOMBIA USD'!X11+'EL SALVADOR USD'!W11+'VENEZUELA USD'!Y10+'PANAMA USD'!V11</f>
        <v>216796.66665023135</v>
      </c>
      <c r="Z9" s="61">
        <f>'COLOMBIA USD'!Z11+'EL SALVADOR USD'!Y11+'VENEZUELA USD'!Z10+'PANAMA USD'!X11</f>
        <v>3414129.8186668307</v>
      </c>
      <c r="AA9" s="61">
        <f>'COLOMBIA USD'!AD11+'EL SALVADOR USD'!AC11+'VENEZUELA USD'!AA10+'PANAMA USD'!AB11</f>
        <v>2756326.6225455408</v>
      </c>
      <c r="AB9" s="61">
        <f>'COLOMBIA USD'!AA11+'EL SALVADOR USD'!Z11+'VENEZUELA USD'!AB10+'PANAMA USD'!Y11</f>
        <v>2438835.1778541859</v>
      </c>
      <c r="AC9" s="57">
        <f>+AB9-Z9</f>
        <v>-975294.64081264473</v>
      </c>
      <c r="AD9" s="63">
        <f>IF(Z9=0,"",(AB9-Z9)/ABS(Z9)+1)</f>
        <v>0.71433580659991325</v>
      </c>
      <c r="AE9" s="63">
        <f>IF(AA9=0,"",(AB9-AA9)/ABS(AA9))</f>
        <v>-0.11518643766468543</v>
      </c>
      <c r="AF9" s="49"/>
      <c r="AG9" s="49">
        <f>+'COLOMBIA USD'!Y11+'EL SALVADOR USD'!X11+'VENEZUELA USD'!X10+'PANAMA USD'!W11</f>
        <v>249791.43287795995</v>
      </c>
      <c r="AH9" s="49">
        <f>+'COLOMBIA USD'!X11+'EL SALVADOR USD'!W11+'VENEZUELA USD'!Y10+'PANAMA USD'!V11</f>
        <v>216796.66665023135</v>
      </c>
      <c r="AI9" s="49">
        <f>+'COLOMBIA USD'!AB11+'EL SALVADOR USD'!AA11+'VENEZUELA USD'!AC10+'PANAMA USD'!Z11</f>
        <v>-992236.2931268363</v>
      </c>
      <c r="AK9" s="49">
        <f>+'COLOMBIA USD'!AA11+'EL SALVADOR USD'!Z11+'VENEZUELA USD'!AB10+'PANAMA USD'!Y11</f>
        <v>2438835.1778541859</v>
      </c>
    </row>
    <row r="10" spans="1:37" x14ac:dyDescent="0.2">
      <c r="B10" s="3" t="s">
        <v>68</v>
      </c>
      <c r="C10" s="61">
        <f>+'COLOMBIA USD'!C10+'EL SALVADOR USD'!C10+'VENEZUELA USD'!C10+'PANAMA USD'!C10</f>
        <v>120521.11764705883</v>
      </c>
      <c r="D10" s="30">
        <f t="shared" ref="D10:D15" si="0">+C10/$C$20</f>
        <v>0.44902062158772471</v>
      </c>
      <c r="E10" s="61">
        <f>+'COLOMBIA USD'!E10+'EL SALVADOR USD'!E10+'VENEZUELA USD'!E10+'PANAMA USD'!E10</f>
        <v>83083.480530735527</v>
      </c>
      <c r="F10" s="30">
        <f t="shared" ref="F10:F20" si="1">+E10/$E$20</f>
        <v>0.42686656997621597</v>
      </c>
      <c r="G10" s="30">
        <f t="shared" ref="G10:G20" si="2">IF(C10=0,"",(E10-C10)/ABS(C10)+1)</f>
        <v>0.68936865300272199</v>
      </c>
      <c r="H10" s="61">
        <f>+'COLOMBIA USD'!H10+'EL SALVADOR USD'!H10+'VENEZUELA USD'!H10+'PANAMA USD'!H10</f>
        <v>102503.88841453107</v>
      </c>
      <c r="I10" s="30">
        <f t="shared" ref="I10:I18" si="3">+H10/$H$20</f>
        <v>0.38908187213975931</v>
      </c>
      <c r="J10" s="30">
        <f t="shared" ref="J10:J20" si="4">IF(H10=0,"",(E10-H10)/ABS(H10))</f>
        <v>-0.18946020667292546</v>
      </c>
      <c r="K10" s="61">
        <f>+'COLOMBIA USD'!K10+'EL SALVADOR USD'!K10+'VENEZUELA USD'!K10+'PANAMA USD'!K10</f>
        <v>1271063.8235294118</v>
      </c>
      <c r="L10" s="30">
        <f t="shared" ref="L10:L46" si="5">+K10/$K$20</f>
        <v>0.4450451401528796</v>
      </c>
      <c r="M10" s="61">
        <f>+'COLOMBIA USD'!M10+'EL SALVADOR USD'!M10+'VENEZUELA USD'!M10+'PANAMA USD'!M10</f>
        <v>903015.27633563173</v>
      </c>
      <c r="N10" s="30">
        <f t="shared" ref="N10:N20" si="6">+M10/$M$20</f>
        <v>0.44818697204310765</v>
      </c>
      <c r="O10" s="30">
        <f t="shared" ref="O10:O18" si="7">IF(K10=0,"",(M10-K10)/ABS(K10)+1)</f>
        <v>0.71044054564325054</v>
      </c>
      <c r="P10" s="61">
        <f>+'COLOMBIA USD'!P10+'EL SALVADOR USD'!P10+'VENEZUELA USD'!P10+'PANAMA USD'!P10</f>
        <v>1054072.812378048</v>
      </c>
      <c r="Q10" s="30">
        <f t="shared" ref="Q10:Q46" si="8">+P10/$P$20</f>
        <v>0.46690773818402642</v>
      </c>
      <c r="R10" s="30">
        <f t="shared" ref="R10:R18" si="9">IF(P10=0,"",(M10-P10)/ABS(P10))</f>
        <v>-0.1433084453640559</v>
      </c>
      <c r="V10" s="3" t="s">
        <v>32</v>
      </c>
      <c r="W10" s="61">
        <f>'COLOMBIA USD'!W13+'EL SALVADOR USD'!V13+'VENEZUELA USD'!W11+'PANAMA USD'!U13</f>
        <v>30317.260440053884</v>
      </c>
      <c r="X10" s="61">
        <f>'COLOMBIA USD'!Y13+'EL SALVADOR USD'!X13+'VENEZUELA USD'!X11+'PANAMA USD'!W13</f>
        <v>81580.997172760777</v>
      </c>
      <c r="Y10" s="61">
        <f>'COLOMBIA USD'!X13+'EL SALVADOR USD'!W13+'VENEZUELA USD'!Y11+'PANAMA USD'!V13</f>
        <v>55337.528520246808</v>
      </c>
      <c r="Z10" s="61">
        <f>'COLOMBIA USD'!Z13+'EL SALVADOR USD'!Y13+'VENEZUELA USD'!Z11+'PANAMA USD'!X13</f>
        <v>466578.54984728631</v>
      </c>
      <c r="AA10" s="61" t="e">
        <f>'COLOMBIA USD'!AD13+'EL SALVADOR USD'!AC13+'VENEZUELA USD'!AA11+'PANAMA USD'!AB13</f>
        <v>#VALUE!</v>
      </c>
      <c r="AB10" s="61">
        <f>'COLOMBIA USD'!AA13+'EL SALVADOR USD'!Z13+'VENEZUELA USD'!AB11+'PANAMA USD'!Y13</f>
        <v>310787.81969244423</v>
      </c>
      <c r="AC10" s="57">
        <f>+Z10-AB10</f>
        <v>155790.73015484208</v>
      </c>
      <c r="AD10" s="63">
        <f>IF(Z10=0,"",(AB10-Z10)/ABS(Z10)+1)</f>
        <v>0.66609967345084076</v>
      </c>
      <c r="AE10" s="63" t="e">
        <f t="shared" ref="AE10:AE22" si="10">IF(AA10=0,"",(AB10-AA10)/ABS(AA10))</f>
        <v>#VALUE!</v>
      </c>
      <c r="AF10" s="49"/>
      <c r="AG10" s="49">
        <f>+'COLOMBIA USD'!Y13+'EL SALVADOR USD'!X13+'VENEZUELA USD'!X11+'PANAMA USD'!W13</f>
        <v>81580.997172760777</v>
      </c>
      <c r="AH10" s="49">
        <f>+'COLOMBIA USD'!X13+'EL SALVADOR USD'!W13+'VENEZUELA USD'!Y11+'PANAMA USD'!V13</f>
        <v>55337.528520246808</v>
      </c>
      <c r="AI10" s="49">
        <f>+'COLOMBIA USD'!AB13+'EL SALVADOR USD'!AA13+'VENEZUELA USD'!AC11+'PANAMA USD'!Z13</f>
        <v>135453.75281150322</v>
      </c>
      <c r="AK10" s="49">
        <f>+'COLOMBIA USD'!AA13+'EL SALVADOR USD'!Z13+'VENEZUELA USD'!AB11+'PANAMA USD'!Y13</f>
        <v>310787.81969244423</v>
      </c>
    </row>
    <row r="11" spans="1:37" x14ac:dyDescent="0.2">
      <c r="B11" s="3" t="s">
        <v>70</v>
      </c>
      <c r="C11" s="61">
        <f>+'COLOMBIA USD'!C11+'EL SALVADOR USD'!C11+'VENEZUELA USD'!C11+'PANAMA USD'!C11</f>
        <v>15009.68</v>
      </c>
      <c r="D11" s="30">
        <f t="shared" si="0"/>
        <v>5.5920953730031343E-2</v>
      </c>
      <c r="E11" s="61">
        <f>+'COLOMBIA USD'!E11+'EL SALVADOR USD'!E11+'VENEZUELA USD'!E11+'PANAMA USD'!E11</f>
        <v>5667.4657996693913</v>
      </c>
      <c r="F11" s="30">
        <f t="shared" si="1"/>
        <v>2.9118323773971146E-2</v>
      </c>
      <c r="G11" s="30">
        <f t="shared" si="2"/>
        <v>0.3775873835864183</v>
      </c>
      <c r="H11" s="61">
        <f>+'COLOMBIA USD'!H11+'EL SALVADOR USD'!H11+'VENEZUELA USD'!H11+'PANAMA USD'!H11</f>
        <v>28883.855948808679</v>
      </c>
      <c r="I11" s="30">
        <f t="shared" si="3"/>
        <v>0.1096366676523509</v>
      </c>
      <c r="J11" s="30">
        <f t="shared" si="4"/>
        <v>-0.80378430740985796</v>
      </c>
      <c r="K11" s="61">
        <f>+'COLOMBIA USD'!K11+'EL SALVADOR USD'!K11+'VENEZUELA USD'!K11+'PANAMA USD'!K11</f>
        <v>153302.09411764704</v>
      </c>
      <c r="L11" s="30">
        <f t="shared" si="5"/>
        <v>5.367657445624676E-2</v>
      </c>
      <c r="M11" s="61">
        <f>+'COLOMBIA USD'!M11+'EL SALVADOR USD'!M11+'VENEZUELA USD'!M11+'PANAMA USD'!M11</f>
        <v>90577.335044726817</v>
      </c>
      <c r="N11" s="30">
        <f t="shared" si="6"/>
        <v>4.4955586680841098E-2</v>
      </c>
      <c r="O11" s="30">
        <f t="shared" si="7"/>
        <v>0.59084212493024391</v>
      </c>
      <c r="P11" s="61">
        <f>+'COLOMBIA USD'!P11+'EL SALVADOR USD'!P11+'VENEZUELA USD'!P11+'PANAMA USD'!P11</f>
        <v>111165.0733720085</v>
      </c>
      <c r="Q11" s="30">
        <f t="shared" si="8"/>
        <v>4.9241221634478784E-2</v>
      </c>
      <c r="R11" s="30">
        <f t="shared" si="9"/>
        <v>-0.18519970079438366</v>
      </c>
      <c r="V11" s="3" t="s">
        <v>33</v>
      </c>
      <c r="W11" s="61">
        <f>'COLOMBIA USD'!W14+'EL SALVADOR USD'!V14+'VENEZUELA USD'!W12+'PANAMA USD'!U14</f>
        <v>2455.8823529411766</v>
      </c>
      <c r="X11" s="61">
        <f>'COLOMBIA USD'!Y14+'EL SALVADOR USD'!X14+'VENEZUELA USD'!X12+'PANAMA USD'!W14</f>
        <v>2204.9479179651858</v>
      </c>
      <c r="Y11" s="61">
        <f>'COLOMBIA USD'!X14+'EL SALVADOR USD'!W14+'VENEZUELA USD'!Y12+'PANAMA USD'!V14</f>
        <v>2398.8413331087781</v>
      </c>
      <c r="Z11" s="61">
        <f>'COLOMBIA USD'!Z14+'EL SALVADOR USD'!Y14+'VENEZUELA USD'!Z12+'PANAMA USD'!X14</f>
        <v>27023.529411764706</v>
      </c>
      <c r="AA11" s="61">
        <f>'COLOMBIA USD'!AD14+'EL SALVADOR USD'!AC14+'VENEZUELA USD'!AA12+'PANAMA USD'!AB14</f>
        <v>20518.42841400356</v>
      </c>
      <c r="AB11" s="61">
        <f>'COLOMBIA USD'!AA14+'EL SALVADOR USD'!Z14+'VENEZUELA USD'!AB12+'PANAMA USD'!Y14</f>
        <v>23872.455892596125</v>
      </c>
      <c r="AC11" s="57">
        <f>+Z11-AB11</f>
        <v>3151.0735191685817</v>
      </c>
      <c r="AD11" s="63">
        <f t="shared" ref="AD11:AD22" si="11">IF(Z11=0,"",(AB11-Z11)/ABS(Z11)+1)</f>
        <v>0.88339518975649567</v>
      </c>
      <c r="AE11" s="63">
        <f t="shared" si="10"/>
        <v>0.1634641509046319</v>
      </c>
      <c r="AF11" s="49"/>
      <c r="AG11" s="49">
        <f>+'COLOMBIA USD'!Y14+'EL SALVADOR USD'!X14+'VENEZUELA USD'!X12+'PANAMA USD'!W14</f>
        <v>2204.9479179651858</v>
      </c>
      <c r="AH11" s="49">
        <f>+'COLOMBIA USD'!X14+'EL SALVADOR USD'!W14+'VENEZUELA USD'!Y12+'PANAMA USD'!V14</f>
        <v>2398.8413331087781</v>
      </c>
      <c r="AI11" s="49">
        <f>+'COLOMBIA USD'!AB14+'EL SALVADOR USD'!AA14+'VENEZUELA USD'!AC12+'PANAMA USD'!Z14</f>
        <v>3151.0735191685817</v>
      </c>
      <c r="AK11" s="49">
        <f>+'COLOMBIA USD'!AA14+'EL SALVADOR USD'!Z14+'VENEZUELA USD'!AB12+'PANAMA USD'!Y14</f>
        <v>23872.455892596125</v>
      </c>
    </row>
    <row r="12" spans="1:37" x14ac:dyDescent="0.2">
      <c r="B12" s="3" t="s">
        <v>72</v>
      </c>
      <c r="C12" s="61">
        <f>+'COLOMBIA USD'!C12+'EL SALVADOR USD'!C12+'VENEZUELA USD'!C12+'PANAMA USD'!C12</f>
        <v>21367.901764705886</v>
      </c>
      <c r="D12" s="30">
        <f t="shared" si="0"/>
        <v>7.9609521714784914E-2</v>
      </c>
      <c r="E12" s="61">
        <f>+'COLOMBIA USD'!E12+'EL SALVADOR USD'!E12+'VENEZUELA USD'!E12+'PANAMA USD'!E12</f>
        <v>16335.299368027858</v>
      </c>
      <c r="F12" s="30">
        <f t="shared" si="1"/>
        <v>8.3927552940986166E-2</v>
      </c>
      <c r="G12" s="30">
        <f t="shared" si="2"/>
        <v>0.76447840072952067</v>
      </c>
      <c r="H12" s="61">
        <f>+'COLOMBIA USD'!H12+'EL SALVADOR USD'!H12+'VENEZUELA USD'!H12+'PANAMA USD'!H12</f>
        <v>20790.944732409534</v>
      </c>
      <c r="I12" s="30">
        <f t="shared" si="3"/>
        <v>7.8917783755932225E-2</v>
      </c>
      <c r="J12" s="30">
        <f t="shared" si="4"/>
        <v>-0.21430701787379994</v>
      </c>
      <c r="K12" s="61">
        <f>+'COLOMBIA USD'!K12+'EL SALVADOR USD'!K12+'VENEZUELA USD'!K12+'PANAMA USD'!K12</f>
        <v>268807.9423529412</v>
      </c>
      <c r="L12" s="30">
        <f t="shared" si="5"/>
        <v>9.411932443052784E-2</v>
      </c>
      <c r="M12" s="61">
        <f>+'COLOMBIA USD'!M12+'EL SALVADOR USD'!M12+'VENEZUELA USD'!M12+'PANAMA USD'!M12</f>
        <v>211212.13885441457</v>
      </c>
      <c r="N12" s="30">
        <f t="shared" si="6"/>
        <v>0.10482937714635561</v>
      </c>
      <c r="O12" s="30">
        <f t="shared" si="7"/>
        <v>0.78573622864571424</v>
      </c>
      <c r="P12" s="61">
        <f>+'COLOMBIA USD'!P12+'EL SALVADOR USD'!P12+'VENEZUELA USD'!P12+'PANAMA USD'!P12</f>
        <v>264096.77747196861</v>
      </c>
      <c r="Q12" s="30">
        <f t="shared" si="8"/>
        <v>0.1169832174619278</v>
      </c>
      <c r="R12" s="30">
        <f t="shared" si="9"/>
        <v>-0.20024719394074109</v>
      </c>
      <c r="V12" s="3" t="s">
        <v>34</v>
      </c>
      <c r="W12" s="61">
        <f>'COLOMBIA USD'!W15+'EL SALVADOR USD'!V15+'VENEZUELA USD'!W13+'PANAMA USD'!U15</f>
        <v>114751.17607817352</v>
      </c>
      <c r="X12" s="61">
        <f>'COLOMBIA USD'!Y15+'EL SALVADOR USD'!X15+'VENEZUELA USD'!X13+'PANAMA USD'!W15</f>
        <v>95570.158269550084</v>
      </c>
      <c r="Y12" s="61">
        <f>'COLOMBIA USD'!X15+'EL SALVADOR USD'!W15+'VENEZUELA USD'!Y13+'PANAMA USD'!V15</f>
        <v>78543.619371619978</v>
      </c>
      <c r="Z12" s="61">
        <f>'COLOMBIA USD'!Z15+'EL SALVADOR USD'!Y15+'VENEZUELA USD'!Z13+'PANAMA USD'!X15</f>
        <v>1324496.7152925706</v>
      </c>
      <c r="AA12" s="61" t="e">
        <f>'COLOMBIA USD'!AD15+'EL SALVADOR USD'!AC15+'VENEZUELA USD'!AA13+'PANAMA USD'!AB15</f>
        <v>#VALUE!</v>
      </c>
      <c r="AB12" s="61">
        <f>'COLOMBIA USD'!AA15+'EL SALVADOR USD'!Z15+'VENEZUELA USD'!AB13+'PANAMA USD'!Y15</f>
        <v>923845.81306370092</v>
      </c>
      <c r="AC12" s="57">
        <f>+Z12-AB12</f>
        <v>400650.90222886973</v>
      </c>
      <c r="AD12" s="63">
        <f t="shared" si="11"/>
        <v>0.69750706241625582</v>
      </c>
      <c r="AE12" s="63" t="e">
        <f t="shared" si="10"/>
        <v>#VALUE!</v>
      </c>
      <c r="AF12" s="49"/>
      <c r="AG12" s="49">
        <f>+'COLOMBIA USD'!Y15+'EL SALVADOR USD'!X15+'VENEZUELA USD'!X13+'PANAMA USD'!W15</f>
        <v>95570.158269550084</v>
      </c>
      <c r="AH12" s="49">
        <f>+'COLOMBIA USD'!X15+'EL SALVADOR USD'!W15+'VENEZUELA USD'!Y13+'PANAMA USD'!V15</f>
        <v>78543.619371619978</v>
      </c>
      <c r="AI12" s="49" t="e">
        <f>+'COLOMBIA USD'!AB15+'EL SALVADOR USD'!AA15+'VENEZUELA USD'!AC13+'PANAMA USD'!Z15</f>
        <v>#VALUE!</v>
      </c>
      <c r="AK12" s="49">
        <f>+'COLOMBIA USD'!AA15+'EL SALVADOR USD'!Z15+'VENEZUELA USD'!AB13+'PANAMA USD'!Y15</f>
        <v>923845.81306370092</v>
      </c>
    </row>
    <row r="13" spans="1:37" x14ac:dyDescent="0.2">
      <c r="B13" s="3" t="s">
        <v>74</v>
      </c>
      <c r="C13" s="61">
        <f>+'COLOMBIA USD'!C13+'EL SALVADOR USD'!C13+'VENEZUELA USD'!C13+'PANAMA USD'!C13</f>
        <v>30261.758823529413</v>
      </c>
      <c r="D13" s="30">
        <f t="shared" si="0"/>
        <v>0.11274500288879949</v>
      </c>
      <c r="E13" s="61">
        <f>+'COLOMBIA USD'!E13+'EL SALVADOR USD'!E13+'VENEZUELA USD'!E13+'PANAMA USD'!E13</f>
        <v>33745.992085623104</v>
      </c>
      <c r="F13" s="30">
        <f t="shared" si="1"/>
        <v>0.17338026524665792</v>
      </c>
      <c r="G13" s="30">
        <f t="shared" si="2"/>
        <v>1.1151365088332075</v>
      </c>
      <c r="H13" s="61">
        <f>+'COLOMBIA USD'!H13+'EL SALVADOR USD'!H13+'VENEZUELA USD'!H13+'PANAMA USD'!H13</f>
        <v>40173.984487581583</v>
      </c>
      <c r="I13" s="30">
        <f t="shared" si="3"/>
        <v>0.15249147459196316</v>
      </c>
      <c r="J13" s="30">
        <f t="shared" si="4"/>
        <v>-0.16000385532944769</v>
      </c>
      <c r="K13" s="61">
        <f>+'COLOMBIA USD'!K13+'EL SALVADOR USD'!K13+'VENEZUELA USD'!K13+'PANAMA USD'!K13</f>
        <v>312038.74470588233</v>
      </c>
      <c r="L13" s="30">
        <f t="shared" si="5"/>
        <v>0.10925598250853263</v>
      </c>
      <c r="M13" s="61">
        <f>+'COLOMBIA USD'!M13+'EL SALVADOR USD'!M13+'VENEZUELA USD'!M13+'PANAMA USD'!M13</f>
        <v>223499.59114848648</v>
      </c>
      <c r="N13" s="30">
        <f t="shared" si="6"/>
        <v>0.1109279185355462</v>
      </c>
      <c r="O13" s="30">
        <f t="shared" si="7"/>
        <v>0.71625589751410512</v>
      </c>
      <c r="P13" s="61">
        <f>+'COLOMBIA USD'!P13+'EL SALVADOR USD'!P13+'VENEZUELA USD'!P13+'PANAMA USD'!P13</f>
        <v>191273.20509526413</v>
      </c>
      <c r="Q13" s="30">
        <f t="shared" si="8"/>
        <v>8.47255887045959E-2</v>
      </c>
      <c r="R13" s="30">
        <f t="shared" si="9"/>
        <v>0.16848353661022156</v>
      </c>
      <c r="V13" s="3" t="s">
        <v>35</v>
      </c>
      <c r="W13" s="61">
        <f>'COLOMBIA USD'!W16+'EL SALVADOR USD'!V16+'VENEZUELA USD'!W14+'PANAMA USD'!U16</f>
        <v>71430.031470588234</v>
      </c>
      <c r="X13" s="61">
        <f>'COLOMBIA USD'!Y16+'EL SALVADOR USD'!X16+'VENEZUELA USD'!X14+'PANAMA USD'!W16</f>
        <v>57655.03936494323</v>
      </c>
      <c r="Y13" s="61">
        <f>'COLOMBIA USD'!X16+'EL SALVADOR USD'!W16+'VENEZUELA USD'!Y14+'PANAMA USD'!V16</f>
        <v>49210.013510108096</v>
      </c>
      <c r="Z13" s="61">
        <f>'COLOMBIA USD'!Z16+'EL SALVADOR USD'!Y16+'VENEZUELA USD'!Z14+'PANAMA USD'!X16</f>
        <v>820110.13</v>
      </c>
      <c r="AA13" s="61" t="e">
        <f>'COLOMBIA USD'!AD16+'EL SALVADOR USD'!AC16+'VENEZUELA USD'!AA14+'PANAMA USD'!AB16</f>
        <v>#VALUE!</v>
      </c>
      <c r="AB13" s="61">
        <f>'COLOMBIA USD'!AA16+'EL SALVADOR USD'!Z16+'VENEZUELA USD'!AB14+'PANAMA USD'!Y16</f>
        <v>581866.86693717237</v>
      </c>
      <c r="AC13" s="57">
        <f>+Z13-AB13</f>
        <v>238243.26306282764</v>
      </c>
      <c r="AD13" s="63">
        <f t="shared" si="11"/>
        <v>0.7094984510643374</v>
      </c>
      <c r="AE13" s="63" t="e">
        <f t="shared" si="10"/>
        <v>#VALUE!</v>
      </c>
      <c r="AF13" s="49"/>
      <c r="AG13" s="49">
        <f>+'COLOMBIA USD'!Y16+'EL SALVADOR USD'!X16+'VENEZUELA USD'!X14+'PANAMA USD'!W16</f>
        <v>57655.03936494323</v>
      </c>
      <c r="AH13" s="49">
        <f>+'COLOMBIA USD'!X16+'EL SALVADOR USD'!W16+'VENEZUELA USD'!Y14+'PANAMA USD'!V16</f>
        <v>49210.013510108096</v>
      </c>
      <c r="AI13" s="49" t="e">
        <f>+'COLOMBIA USD'!AB16+'EL SALVADOR USD'!AA16+'VENEZUELA USD'!AC14+'PANAMA USD'!Z16</f>
        <v>#VALUE!</v>
      </c>
      <c r="AK13" s="49">
        <f>+'COLOMBIA USD'!AA16+'EL SALVADOR USD'!Z16+'VENEZUELA USD'!AB14+'PANAMA USD'!Y16</f>
        <v>581866.86693717237</v>
      </c>
    </row>
    <row r="14" spans="1:37" x14ac:dyDescent="0.2">
      <c r="B14" s="3" t="s">
        <v>75</v>
      </c>
      <c r="C14" s="61">
        <f>+'COLOMBIA USD'!C14+'EL SALVADOR USD'!C14+'VENEZUELA USD'!C14+'PANAMA USD'!C14</f>
        <v>0</v>
      </c>
      <c r="D14" s="30">
        <f t="shared" si="0"/>
        <v>0</v>
      </c>
      <c r="E14" s="61">
        <f>+'COLOMBIA USD'!E14+'EL SALVADOR USD'!E14+'VENEZUELA USD'!E14+'PANAMA USD'!E14</f>
        <v>0</v>
      </c>
      <c r="F14" s="30">
        <f t="shared" si="1"/>
        <v>0</v>
      </c>
      <c r="G14" s="30" t="str">
        <f t="shared" si="2"/>
        <v/>
      </c>
      <c r="H14" s="61">
        <f>+'COLOMBIA USD'!H14+'EL SALVADOR USD'!H14+'VENEZUELA USD'!H14+'PANAMA USD'!H14</f>
        <v>0</v>
      </c>
      <c r="I14" s="30">
        <f t="shared" si="3"/>
        <v>0</v>
      </c>
      <c r="J14" s="30" t="str">
        <f t="shared" si="4"/>
        <v/>
      </c>
      <c r="K14" s="61">
        <f>+'COLOMBIA USD'!K14+'EL SALVADOR USD'!K14+'VENEZUELA USD'!K14+'PANAMA USD'!K14</f>
        <v>0</v>
      </c>
      <c r="L14" s="30">
        <f t="shared" si="5"/>
        <v>0</v>
      </c>
      <c r="M14" s="61">
        <f>+'COLOMBIA USD'!M14+'EL SALVADOR USD'!M14+'VENEZUELA USD'!M14+'PANAMA USD'!M14</f>
        <v>0</v>
      </c>
      <c r="N14" s="30">
        <f t="shared" si="6"/>
        <v>0</v>
      </c>
      <c r="O14" s="30" t="str">
        <f t="shared" si="7"/>
        <v/>
      </c>
      <c r="P14" s="61">
        <f>+'COLOMBIA USD'!P14+'EL SALVADOR USD'!P14+'VENEZUELA USD'!P14+'PANAMA USD'!P14</f>
        <v>0</v>
      </c>
      <c r="Q14" s="30">
        <f t="shared" si="8"/>
        <v>0</v>
      </c>
      <c r="R14" s="30" t="str">
        <f t="shared" si="9"/>
        <v/>
      </c>
      <c r="V14" s="3" t="s">
        <v>36</v>
      </c>
      <c r="W14" s="61">
        <f>SUM(W10:W13)</f>
        <v>218954.35034175683</v>
      </c>
      <c r="X14" s="61">
        <f>SUM(X10:X13)</f>
        <v>237011.14272521925</v>
      </c>
      <c r="Y14" s="61">
        <f>SUM(Y10:Y13)</f>
        <v>185490.00273508369</v>
      </c>
      <c r="Z14" s="61">
        <f>'COLOMBIA USD'!Z17+'EL SALVADOR USD'!Y17+'VENEZUELA USD'!Z15+'PANAMA USD'!X17</f>
        <v>2608521.155085973</v>
      </c>
      <c r="AA14" s="61" t="e">
        <f>'COLOMBIA USD'!AD17+'EL SALVADOR USD'!AC17+'VENEZUELA USD'!AA15+'PANAMA USD'!AB17</f>
        <v>#VALUE!</v>
      </c>
      <c r="AB14" s="61">
        <f>'COLOMBIA USD'!AA17+'EL SALVADOR USD'!Z17+'VENEZUELA USD'!AB15+'PANAMA USD'!Y17</f>
        <v>1837083.260929425</v>
      </c>
      <c r="AC14" s="57">
        <f>+AB14-Z14</f>
        <v>-771437.89415654796</v>
      </c>
      <c r="AD14" s="63">
        <f t="shared" si="11"/>
        <v>0.70426235851971741</v>
      </c>
      <c r="AE14" s="63" t="e">
        <f t="shared" si="10"/>
        <v>#VALUE!</v>
      </c>
      <c r="AF14" s="49"/>
      <c r="AG14" s="49">
        <f>+'COLOMBIA USD'!Y17+'EL SALVADOR USD'!X17+'VENEZUELA USD'!X15+'PANAMA USD'!W17</f>
        <v>237011.14272521928</v>
      </c>
      <c r="AH14" s="49">
        <f>+'COLOMBIA USD'!X17+'EL SALVADOR USD'!W17+'VENEZUELA USD'!Y15+'PANAMA USD'!V17</f>
        <v>166352.90655187756</v>
      </c>
      <c r="AI14" s="49">
        <f>+'COLOMBIA USD'!AB17+'EL SALVADOR USD'!AA17+'VENEZUELA USD'!AC15+'PANAMA USD'!Z17</f>
        <v>-777488.23751693137</v>
      </c>
      <c r="AK14" s="49">
        <f>+'COLOMBIA USD'!AA17+'EL SALVADOR USD'!Z17+'VENEZUELA USD'!AB15+'PANAMA USD'!Y17</f>
        <v>1837083.260929425</v>
      </c>
    </row>
    <row r="15" spans="1:37" x14ac:dyDescent="0.2">
      <c r="B15" s="3" t="s">
        <v>77</v>
      </c>
      <c r="C15" s="61">
        <f>+'COLOMBIA USD'!C15+'EL SALVADOR USD'!C15+'VENEZUELA USD'!C15+'PANAMA USD'!C15</f>
        <v>38389.294117647063</v>
      </c>
      <c r="D15" s="30">
        <f t="shared" si="0"/>
        <v>0.1430254302611052</v>
      </c>
      <c r="E15" s="61">
        <f>+'COLOMBIA USD'!E15+'EL SALVADOR USD'!E15+'VENEZUELA USD'!E15+'PANAMA USD'!E15</f>
        <v>26149.939607851687</v>
      </c>
      <c r="F15" s="30">
        <f t="shared" si="1"/>
        <v>0.13435324271663637</v>
      </c>
      <c r="G15" s="30">
        <f t="shared" si="2"/>
        <v>0.68117792235806962</v>
      </c>
      <c r="H15" s="61">
        <f>+'COLOMBIA USD'!H15+'EL SALVADOR USD'!H15+'VENEZUELA USD'!H15+'PANAMA USD'!H15</f>
        <v>28794.953213789988</v>
      </c>
      <c r="I15" s="30">
        <f t="shared" si="3"/>
        <v>0.10929921272147519</v>
      </c>
      <c r="J15" s="30">
        <f t="shared" si="4"/>
        <v>-9.1856846798820127E-2</v>
      </c>
      <c r="K15" s="61">
        <f>+'COLOMBIA USD'!K15+'EL SALVADOR USD'!K15+'VENEZUELA USD'!K15+'PANAMA USD'!K15</f>
        <v>406595.58823529416</v>
      </c>
      <c r="L15" s="30">
        <f t="shared" si="5"/>
        <v>0.14236373280553197</v>
      </c>
      <c r="M15" s="61">
        <f>+'COLOMBIA USD'!M15+'EL SALVADOR USD'!M15+'VENEZUELA USD'!M15+'PANAMA USD'!M15</f>
        <v>285886.96304842341</v>
      </c>
      <c r="N15" s="30">
        <f t="shared" si="6"/>
        <v>0.14189218684673632</v>
      </c>
      <c r="O15" s="30">
        <f t="shared" si="7"/>
        <v>0.70312362288343999</v>
      </c>
      <c r="P15" s="61">
        <f>+'COLOMBIA USD'!P15+'EL SALVADOR USD'!P15+'VENEZUELA USD'!P15+'PANAMA USD'!P15</f>
        <v>320798.55066152127</v>
      </c>
      <c r="Q15" s="30">
        <f t="shared" si="8"/>
        <v>0.14209960065677535</v>
      </c>
      <c r="R15" s="30">
        <f t="shared" si="9"/>
        <v>-0.10882713634804893</v>
      </c>
      <c r="V15" s="3" t="s">
        <v>37</v>
      </c>
      <c r="W15" s="61">
        <f>W9-W14</f>
        <v>115491.58805549931</v>
      </c>
      <c r="X15" s="61">
        <f>X9-X14</f>
        <v>12780.290152740694</v>
      </c>
      <c r="Y15" s="61">
        <f t="shared" ref="Y15:AB15" si="12">Y9-Y14</f>
        <v>31306.663915147656</v>
      </c>
      <c r="Z15" s="61">
        <f t="shared" si="12"/>
        <v>805608.66358085768</v>
      </c>
      <c r="AA15" s="61" t="e">
        <f>AA9-AA14</f>
        <v>#VALUE!</v>
      </c>
      <c r="AB15" s="61">
        <f t="shared" si="12"/>
        <v>601751.91692476091</v>
      </c>
      <c r="AC15" s="57">
        <f>+AB15-Z15</f>
        <v>-203856.74665609677</v>
      </c>
      <c r="AD15" s="63">
        <f t="shared" si="11"/>
        <v>0.74695313509915351</v>
      </c>
      <c r="AE15" s="63" t="e">
        <f t="shared" si="10"/>
        <v>#VALUE!</v>
      </c>
      <c r="AF15" s="49"/>
      <c r="AG15" s="49">
        <f>+'COLOMBIA USD'!Y19+'EL SALVADOR USD'!X19+'VENEZUELA USD'!X16+'PANAMA USD'!W19</f>
        <v>-5284.7480151982572</v>
      </c>
      <c r="AH15" s="49">
        <f>+'COLOMBIA USD'!X19+'EL SALVADOR USD'!W19+'VENEZUELA USD'!Y16+'PANAMA USD'!V19</f>
        <v>66788.562388430117</v>
      </c>
      <c r="AI15" s="49">
        <f>+'COLOMBIA USD'!AB19+'EL SALVADOR USD'!AA19+'VENEZUELA USD'!AC16+'PANAMA USD'!Z19</f>
        <v>-214769.76871734101</v>
      </c>
      <c r="AK15" s="49">
        <f>+'COLOMBIA USD'!AA19+'EL SALVADOR USD'!Z19+'VENEZUELA USD'!AB16+'PANAMA USD'!Y19</f>
        <v>605091.38257361553</v>
      </c>
    </row>
    <row r="16" spans="1:37" x14ac:dyDescent="0.2">
      <c r="B16" s="3" t="s">
        <v>78</v>
      </c>
      <c r="C16" s="61">
        <f>+'COLOMBIA USD'!C16+'EL SALVADOR USD'!C16+'VENEZUELA USD'!C16+'PANAMA USD'!C16</f>
        <v>0</v>
      </c>
      <c r="D16" s="30"/>
      <c r="E16" s="61">
        <f>+'COLOMBIA USD'!E16+'EL SALVADOR USD'!E16+'VENEZUELA USD'!E16+'PANAMA USD'!E16</f>
        <v>0</v>
      </c>
      <c r="F16" s="30">
        <f t="shared" si="1"/>
        <v>0</v>
      </c>
      <c r="G16" s="30" t="str">
        <f t="shared" si="2"/>
        <v/>
      </c>
      <c r="H16" s="61">
        <f>+'COLOMBIA USD'!H16+'EL SALVADOR USD'!H16+'VENEZUELA USD'!H16+'PANAMA USD'!H16</f>
        <v>0</v>
      </c>
      <c r="I16" s="30">
        <f t="shared" si="3"/>
        <v>0</v>
      </c>
      <c r="J16" s="30" t="str">
        <f t="shared" si="4"/>
        <v/>
      </c>
      <c r="K16" s="61">
        <f>+'COLOMBIA USD'!K16+'EL SALVADOR USD'!K16+'VENEZUELA USD'!K16+'PANAMA USD'!K16</f>
        <v>0</v>
      </c>
      <c r="L16" s="30">
        <f t="shared" si="5"/>
        <v>0</v>
      </c>
      <c r="M16" s="61">
        <f>+'COLOMBIA USD'!M16+'EL SALVADOR USD'!M16+'VENEZUELA USD'!M16+'PANAMA USD'!M16</f>
        <v>0</v>
      </c>
      <c r="N16" s="30">
        <f t="shared" si="6"/>
        <v>0</v>
      </c>
      <c r="O16" s="30" t="str">
        <f t="shared" si="7"/>
        <v/>
      </c>
      <c r="P16" s="61">
        <f>+'COLOMBIA USD'!P16+'EL SALVADOR USD'!P16+'VENEZUELA USD'!P16+'PANAMA USD'!P16</f>
        <v>0</v>
      </c>
      <c r="Q16" s="30">
        <f t="shared" si="8"/>
        <v>0</v>
      </c>
      <c r="R16" s="30" t="str">
        <f t="shared" si="9"/>
        <v/>
      </c>
      <c r="V16" s="3"/>
      <c r="W16" s="61"/>
      <c r="X16" s="61"/>
      <c r="Y16" s="61"/>
      <c r="Z16" s="61"/>
      <c r="AA16" s="61"/>
      <c r="AB16" s="61"/>
      <c r="AC16" s="57"/>
      <c r="AD16" s="63"/>
      <c r="AE16" s="63"/>
      <c r="AF16" s="49"/>
      <c r="AG16" s="49"/>
      <c r="AH16" s="49"/>
      <c r="AI16" s="49"/>
      <c r="AK16" s="49"/>
    </row>
    <row r="17" spans="2:37" x14ac:dyDescent="0.2">
      <c r="B17" s="3" t="s">
        <v>79</v>
      </c>
      <c r="C17" s="61">
        <f>+'COLOMBIA USD'!C17+'EL SALVADOR USD'!C17+'VENEZUELA USD'!C17+'PANAMA USD'!C17</f>
        <v>6025.5882352941171</v>
      </c>
      <c r="D17" s="30">
        <f>+C17/$C$20</f>
        <v>2.2449288785777146E-2</v>
      </c>
      <c r="E17" s="61">
        <f>+'COLOMBIA USD'!E17+'EL SALVADOR USD'!E17+'VENEZUELA USD'!E17+'PANAMA USD'!E17</f>
        <v>4172.0888406511267</v>
      </c>
      <c r="F17" s="30">
        <f t="shared" si="1"/>
        <v>2.1435371287628791E-2</v>
      </c>
      <c r="G17" s="30">
        <f t="shared" si="2"/>
        <v>0.69239527789397337</v>
      </c>
      <c r="H17" s="61">
        <f>+'COLOMBIA USD'!H17+'EL SALVADOR USD'!H17+'VENEZUELA USD'!H17+'PANAMA USD'!H17</f>
        <v>4375.084891971539</v>
      </c>
      <c r="I17" s="30">
        <f t="shared" si="3"/>
        <v>1.6606845329170436E-2</v>
      </c>
      <c r="J17" s="30">
        <f t="shared" si="4"/>
        <v>-4.6398197139652868E-2</v>
      </c>
      <c r="K17" s="61">
        <f>+'COLOMBIA USD'!K17+'EL SALVADOR USD'!K17+'VENEZUELA USD'!K17+'PANAMA USD'!K17</f>
        <v>84221.176470588238</v>
      </c>
      <c r="L17" s="30">
        <f t="shared" si="5"/>
        <v>2.9488861686044227E-2</v>
      </c>
      <c r="M17" s="61">
        <f>+'COLOMBIA USD'!M17+'EL SALVADOR USD'!M17+'VENEZUELA USD'!M17+'PANAMA USD'!M17</f>
        <v>59556.432152131922</v>
      </c>
      <c r="N17" s="30">
        <f t="shared" si="6"/>
        <v>2.9559208677255842E-2</v>
      </c>
      <c r="O17" s="30">
        <f t="shared" si="7"/>
        <v>0.70714319899022371</v>
      </c>
      <c r="P17" s="61">
        <f>+'COLOMBIA USD'!P17+'EL SALVADOR USD'!P17+'VENEZUELA USD'!P17+'PANAMA USD'!P17</f>
        <v>61345.512069369586</v>
      </c>
      <c r="Q17" s="30">
        <f t="shared" si="8"/>
        <v>2.7173354583950142E-2</v>
      </c>
      <c r="R17" s="30">
        <f t="shared" si="9"/>
        <v>-2.9163990272256114E-2</v>
      </c>
      <c r="V17" s="3"/>
      <c r="W17" s="61"/>
      <c r="X17" s="61"/>
      <c r="Y17" s="61"/>
      <c r="Z17" s="61"/>
      <c r="AA17" s="61"/>
      <c r="AB17" s="61"/>
      <c r="AC17" s="57"/>
      <c r="AD17" s="63"/>
      <c r="AE17" s="63" t="str">
        <f t="shared" si="10"/>
        <v/>
      </c>
      <c r="AF17" s="49"/>
      <c r="AG17" s="49"/>
      <c r="AH17" s="49"/>
      <c r="AI17" s="49"/>
      <c r="AK17" s="49" t="e">
        <f>+'COLOMBIA USD'!AA20+'EL SALVADOR USD'!#REF!+'VENEZUELA USD'!AB18+'PANAMA USD'!Y20</f>
        <v>#REF!</v>
      </c>
    </row>
    <row r="18" spans="2:37" x14ac:dyDescent="0.2">
      <c r="B18" s="3" t="s">
        <v>81</v>
      </c>
      <c r="C18" s="61">
        <f>+'COLOMBIA USD'!C18+'EL SALVADOR USD'!C18+'VENEZUELA USD'!C18+'PANAMA USD'!C18</f>
        <v>36833.529411764706</v>
      </c>
      <c r="D18" s="34">
        <f t="shared" ref="D18:D46" si="13">+C18/$C$20</f>
        <v>0.137229181031777</v>
      </c>
      <c r="E18" s="61">
        <f>+'COLOMBIA USD'!E18+'EL SALVADOR USD'!E18+'VENEZUELA USD'!E18+'PANAMA USD'!E18</f>
        <v>25481.449877430339</v>
      </c>
      <c r="F18" s="30">
        <f t="shared" si="1"/>
        <v>0.13091867405790375</v>
      </c>
      <c r="G18" s="34">
        <f t="shared" si="2"/>
        <v>0.69180038634287144</v>
      </c>
      <c r="H18" s="61">
        <f>+'COLOMBIA USD'!H18+'EL SALVADOR USD'!H18+'VENEZUELA USD'!H18+'PANAMA USD'!H18</f>
        <v>27262.911807089542</v>
      </c>
      <c r="I18" s="30">
        <f t="shared" si="3"/>
        <v>0.1034839256339842</v>
      </c>
      <c r="J18" s="34">
        <f t="shared" si="4"/>
        <v>-6.5343788010052001E-2</v>
      </c>
      <c r="K18" s="61">
        <f>+'COLOMBIA USD'!K18+'EL SALVADOR USD'!K18+'VENEZUELA USD'!K18+'PANAMA USD'!K18</f>
        <v>360004.1176470588</v>
      </c>
      <c r="L18" s="30">
        <f t="shared" si="5"/>
        <v>0.12605038396023682</v>
      </c>
      <c r="M18" s="61">
        <f>+'COLOMBIA USD'!M18+'EL SALVADOR USD'!M18+'VENEZUELA USD'!M18+'PANAMA USD'!M18</f>
        <v>241070.48140039213</v>
      </c>
      <c r="N18" s="30">
        <f t="shared" si="6"/>
        <v>0.11964875007015732</v>
      </c>
      <c r="O18" s="30">
        <f t="shared" si="7"/>
        <v>0.66963256691617357</v>
      </c>
      <c r="P18" s="61">
        <f>+'COLOMBIA USD'!P18+'EL SALVADOR USD'!P18+'VENEZUELA USD'!P18+'PANAMA USD'!P18</f>
        <v>231709.30894694064</v>
      </c>
      <c r="Q18" s="30">
        <f t="shared" si="8"/>
        <v>0.10263699820937811</v>
      </c>
      <c r="R18" s="34">
        <f t="shared" si="9"/>
        <v>4.0400502232714006E-2</v>
      </c>
      <c r="V18" s="3" t="s">
        <v>39</v>
      </c>
      <c r="W18" s="61">
        <f>W8+W15</f>
        <v>162636.6629735771</v>
      </c>
      <c r="X18" s="61">
        <f>'COLOMBIA USD'!Y21+'EL SALVADOR USD'!X21+'VENEZUELA USD'!X19+'PANAMA USD'!W21</f>
        <v>240246.30524963973</v>
      </c>
      <c r="Y18" s="61">
        <f t="shared" ref="Y18" si="14">Y8+Y15</f>
        <v>79835.194744795677</v>
      </c>
      <c r="Z18" s="61">
        <f>Z8+Z15</f>
        <v>979480.89887497528</v>
      </c>
      <c r="AA18" s="61" t="e">
        <f>AA8+AA15</f>
        <v>#VALUE!</v>
      </c>
      <c r="AB18" s="61">
        <f>AB8+AB15</f>
        <v>733871.37442458933</v>
      </c>
      <c r="AC18" s="57">
        <f>+AB18-Z18</f>
        <v>-245609.52445038594</v>
      </c>
      <c r="AD18" s="63">
        <f t="shared" si="11"/>
        <v>0.74924521271166056</v>
      </c>
      <c r="AE18" s="63" t="e">
        <f t="shared" si="10"/>
        <v>#VALUE!</v>
      </c>
      <c r="AF18" s="49"/>
      <c r="AG18" s="49">
        <f>+'COLOMBIA USD'!Y21+'EL SALVADOR USD'!X21+'VENEZUELA USD'!X19+'PANAMA USD'!W21</f>
        <v>240246.30524963973</v>
      </c>
      <c r="AH18" s="49">
        <f>+'COLOMBIA USD'!X21+'EL SALVADOR USD'!W21+'VENEZUELA USD'!Y19+'PANAMA USD'!V21</f>
        <v>110060.75428678041</v>
      </c>
      <c r="AI18" s="49">
        <f>+'COLOMBIA USD'!AB21+'EL SALVADOR USD'!AA21+'VENEZUELA USD'!AC19+'PANAMA USD'!Z21</f>
        <v>-256517.27641324111</v>
      </c>
      <c r="AK18" s="49">
        <f>+'COLOMBIA USD'!AA21+'EL SALVADOR USD'!Z21+'VENEZUELA USD'!AB19+'PANAMA USD'!Y21</f>
        <v>735313.05381390173</v>
      </c>
    </row>
    <row r="19" spans="2:37" x14ac:dyDescent="0.2">
      <c r="B19" s="3" t="s">
        <v>83</v>
      </c>
      <c r="C19" s="61">
        <f>+'COLOMBIA USD'!C19+'EL SALVADOR USD'!C19+'VENEZUELA USD'!C19+'PANAMA USD'!C19</f>
        <v>0</v>
      </c>
      <c r="D19" s="30">
        <f t="shared" si="13"/>
        <v>0</v>
      </c>
      <c r="E19" s="61">
        <f>+'COLOMBIA USD'!E19+'EL SALVADOR USD'!E19+'VENEZUELA USD'!E19+'PANAMA USD'!E19</f>
        <v>0</v>
      </c>
      <c r="F19" s="30">
        <f t="shared" si="1"/>
        <v>0</v>
      </c>
      <c r="G19" s="30" t="str">
        <f t="shared" si="2"/>
        <v/>
      </c>
      <c r="H19" s="61">
        <f>+'COLOMBIA USD'!H19+'EL SALVADOR USD'!H19+'VENEZUELA USD'!H19+'PANAMA USD'!H19</f>
        <v>10665.068387276926</v>
      </c>
      <c r="I19" s="30"/>
      <c r="J19" s="30">
        <f t="shared" si="4"/>
        <v>-1</v>
      </c>
      <c r="K19" s="61">
        <f>+'COLOMBIA USD'!K19+'EL SALVADOR USD'!K19+'VENEZUELA USD'!K19+'PANAMA USD'!K19</f>
        <v>0</v>
      </c>
      <c r="L19" s="30">
        <f t="shared" si="5"/>
        <v>0</v>
      </c>
      <c r="M19" s="61">
        <f>+'COLOMBIA USD'!M19+'EL SALVADOR USD'!M19+'VENEZUELA USD'!M19+'PANAMA USD'!M19</f>
        <v>0</v>
      </c>
      <c r="N19" s="30">
        <f t="shared" si="6"/>
        <v>0</v>
      </c>
      <c r="O19" s="30"/>
      <c r="P19" s="61">
        <f>+'COLOMBIA USD'!P19+'EL SALVADOR USD'!P19+'VENEZUELA USD'!P19+'PANAMA USD'!P19</f>
        <v>23100</v>
      </c>
      <c r="Q19" s="30">
        <f t="shared" si="8"/>
        <v>1.0232280564867389E-2</v>
      </c>
      <c r="R19" s="30"/>
      <c r="V19" s="3" t="s">
        <v>41</v>
      </c>
      <c r="W19" s="61">
        <f>'COLOMBIA USD'!W23+'EL SALVADOR USD'!V23+'VENEZUELA USD'!W20+'PANAMA USD'!U23</f>
        <v>0</v>
      </c>
      <c r="X19" s="61">
        <f>'COLOMBIA USD'!Y23+'EL SALVADOR USD'!X23+'VENEZUELA USD'!X20+'PANAMA USD'!W23</f>
        <v>26322.201806042412</v>
      </c>
      <c r="Y19" s="61">
        <f>'COLOMBIA USD'!X23+'EL SALVADOR USD'!W23+'VENEZUELA USD'!Y20+'PANAMA USD'!V23</f>
        <v>4035.786607991251</v>
      </c>
      <c r="Z19" s="61">
        <f>'COLOMBIA USD'!Z23+'EL SALVADOR USD'!Y23+'VENEZUELA USD'!Z20+'PANAMA USD'!X23</f>
        <v>124936.76470588235</v>
      </c>
      <c r="AA19" s="61">
        <f>'COLOMBIA USD'!AD23+'EL SALVADOR USD'!AC23+'VENEZUELA USD'!AA20+'PANAMA USD'!AB23</f>
        <v>122231.8720113289</v>
      </c>
      <c r="AB19" s="61">
        <f>'COLOMBIA USD'!AA23+'EL SALVADOR USD'!Z23+'VENEZUELA USD'!AB20+'PANAMA USD'!Y23</f>
        <v>174241.85049807566</v>
      </c>
      <c r="AC19" s="57">
        <f t="shared" ref="AC19:AC22" si="15">+AB19-Z19</f>
        <v>49305.085792193306</v>
      </c>
      <c r="AD19" s="63">
        <f t="shared" si="11"/>
        <v>1.3946403279151975</v>
      </c>
      <c r="AE19" s="63">
        <f t="shared" si="10"/>
        <v>0.42550259298921866</v>
      </c>
      <c r="AF19" s="49"/>
      <c r="AG19" s="49">
        <f>+'COLOMBIA USD'!Y23+'EL SALVADOR USD'!X23+'VENEZUELA USD'!X20+'PANAMA USD'!W23</f>
        <v>26322.201806042412</v>
      </c>
      <c r="AH19" s="49">
        <f>+'COLOMBIA USD'!X23+'EL SALVADOR USD'!W23+'VENEZUELA USD'!Y20+'PANAMA USD'!V23</f>
        <v>4035.786607991251</v>
      </c>
      <c r="AI19" s="49" t="e">
        <f>+'COLOMBIA USD'!AB23+'EL SALVADOR USD'!AA23+'VENEZUELA USD'!AC20+'PANAMA USD'!Z23</f>
        <v>#VALUE!</v>
      </c>
      <c r="AK19" s="49">
        <f>+'COLOMBIA USD'!AA23+'EL SALVADOR USD'!Z23+'VENEZUELA USD'!AB20+'PANAMA USD'!Y23</f>
        <v>174241.85049807566</v>
      </c>
    </row>
    <row r="20" spans="2:37" x14ac:dyDescent="0.2">
      <c r="B20" s="19" t="s">
        <v>38</v>
      </c>
      <c r="C20" s="65">
        <f>SUM(C10:C19)</f>
        <v>268408.87000000005</v>
      </c>
      <c r="D20" s="38">
        <f t="shared" si="13"/>
        <v>1</v>
      </c>
      <c r="E20" s="65">
        <f>SUM(E10:E19)</f>
        <v>194635.71610998901</v>
      </c>
      <c r="F20" s="38">
        <f t="shared" si="1"/>
        <v>1</v>
      </c>
      <c r="G20" s="38">
        <f t="shared" si="2"/>
        <v>0.72514636386639886</v>
      </c>
      <c r="H20" s="65">
        <f>SUM(H10:H19)</f>
        <v>263450.69188345887</v>
      </c>
      <c r="I20" s="38">
        <f>+H22/$H$22</f>
        <v>1</v>
      </c>
      <c r="J20" s="38">
        <f t="shared" si="4"/>
        <v>-0.26120628221356557</v>
      </c>
      <c r="K20" s="65">
        <f>SUM(K10:K19)</f>
        <v>2856033.4870588239</v>
      </c>
      <c r="L20" s="38">
        <f t="shared" si="5"/>
        <v>1</v>
      </c>
      <c r="M20" s="65">
        <f>SUM(M10:M19)</f>
        <v>2014818.217984207</v>
      </c>
      <c r="N20" s="38">
        <f t="shared" si="6"/>
        <v>1</v>
      </c>
      <c r="O20" s="38">
        <f>IF(K20=0,"",(M20-K20)/ABS(K20)+1)</f>
        <v>0.70546029208470173</v>
      </c>
      <c r="P20" s="65">
        <f>SUM(P10:P19)</f>
        <v>2257561.239995121</v>
      </c>
      <c r="Q20" s="38">
        <f t="shared" si="8"/>
        <v>1</v>
      </c>
      <c r="R20" s="38">
        <f>IF(P20=0,"",(M20-P20)/ABS(P20))</f>
        <v>-0.10752444616361267</v>
      </c>
      <c r="V20" s="3" t="s">
        <v>43</v>
      </c>
      <c r="W20" s="61">
        <f>'COLOMBIA USD'!W25+'EL SALVADOR USD'!V25+'VENEZUELA USD'!W21+'PANAMA USD'!U25</f>
        <v>93242.055982503458</v>
      </c>
      <c r="X20" s="61">
        <f>'COLOMBIA USD'!Y25+'EL SALVADOR USD'!X25+'VENEZUELA USD'!X21+'PANAMA USD'!W25</f>
        <v>80835.133040513712</v>
      </c>
      <c r="Y20" s="61">
        <f>'COLOMBIA USD'!X25+'EL SALVADOR USD'!W25+'VENEZUELA USD'!Y21+'PANAMA USD'!V25</f>
        <v>60470.739817001559</v>
      </c>
      <c r="Z20" s="61">
        <f>'COLOMBIA USD'!Z25+'EL SALVADOR USD'!Y25+'VENEZUELA USD'!Z21+'PANAMA USD'!X25</f>
        <v>599570.75931429444</v>
      </c>
      <c r="AA20" s="61">
        <f>'COLOMBIA USD'!AD25+'EL SALVADOR USD'!AC25+'VENEZUELA USD'!AA21+'PANAMA USD'!AB25</f>
        <v>446594.69492089655</v>
      </c>
      <c r="AB20" s="61">
        <f>'COLOMBIA USD'!AA25+'EL SALVADOR USD'!Z25+'VENEZUELA USD'!AB21+'PANAMA USD'!Y25</f>
        <v>411194.1276088797</v>
      </c>
      <c r="AC20" s="57">
        <f t="shared" si="15"/>
        <v>-188376.63170541474</v>
      </c>
      <c r="AD20" s="63">
        <f t="shared" si="11"/>
        <v>0.68581417826170554</v>
      </c>
      <c r="AE20" s="63">
        <f t="shared" si="10"/>
        <v>-7.9267773922588144E-2</v>
      </c>
      <c r="AF20" s="49"/>
      <c r="AG20" s="49">
        <f>+'COLOMBIA USD'!Y25+'EL SALVADOR USD'!X25+'VENEZUELA USD'!X21+'PANAMA USD'!W25</f>
        <v>80835.133040513712</v>
      </c>
      <c r="AH20" s="49">
        <f>+'COLOMBIA USD'!X25+'EL SALVADOR USD'!W25+'VENEZUELA USD'!Y21+'PANAMA USD'!V25</f>
        <v>60470.739817001559</v>
      </c>
      <c r="AI20" s="49">
        <f>+'COLOMBIA USD'!AB25+'EL SALVADOR USD'!AA25+'VENEZUELA USD'!AC21+'PANAMA USD'!Z25</f>
        <v>-199094.99515988427</v>
      </c>
      <c r="AK20" s="49">
        <f>+'COLOMBIA USD'!AA25+'EL SALVADOR USD'!Z25+'VENEZUELA USD'!AB21+'PANAMA USD'!Y25</f>
        <v>411194.1276088797</v>
      </c>
    </row>
    <row r="21" spans="2:37" x14ac:dyDescent="0.2">
      <c r="B21" s="3"/>
      <c r="C21" s="61"/>
      <c r="D21" s="30"/>
      <c r="E21" s="61"/>
      <c r="F21" s="30"/>
      <c r="G21" s="30"/>
      <c r="H21" s="61"/>
      <c r="I21" s="30"/>
      <c r="J21" s="30"/>
      <c r="K21" s="61"/>
      <c r="L21" s="30"/>
      <c r="M21" s="61"/>
      <c r="N21" s="30"/>
      <c r="O21" s="30"/>
      <c r="P21" s="61"/>
      <c r="Q21" s="30"/>
      <c r="R21" s="30"/>
      <c r="V21" s="3" t="s">
        <v>46</v>
      </c>
      <c r="W21" s="61">
        <f>'COLOMBIA USD'!W27+'EL SALVADOR USD'!V27+'VENEZUELA USD'!W22+'PANAMA USD'!U27</f>
        <v>23708.823529411762</v>
      </c>
      <c r="X21" s="61">
        <f>'COLOMBIA USD'!Y27+'EL SALVADOR USD'!X27+'VENEZUELA USD'!X22+'PANAMA USD'!W27</f>
        <v>14019.25244204658</v>
      </c>
      <c r="Y21" s="61">
        <f>'COLOMBIA USD'!X27+'EL SALVADOR USD'!W27+'VENEZUELA USD'!Y22+'PANAMA USD'!V27</f>
        <v>-513.54417185950331</v>
      </c>
      <c r="Z21" s="61">
        <f>'COLOMBIA USD'!Z27+'EL SALVADOR USD'!Y27+'VENEZUELA USD'!Z22+'PANAMA USD'!X27</f>
        <v>43001.470588235294</v>
      </c>
      <c r="AA21" s="61">
        <f>'COLOMBIA USD'!AD27+'EL SALVADOR USD'!AC27+'VENEZUELA USD'!AA22+'PANAMA USD'!AB27</f>
        <v>48881.738507796108</v>
      </c>
      <c r="AB21" s="61">
        <f>'COLOMBIA USD'!AA27+'EL SALVADOR USD'!Z27+'VENEZUELA USD'!AB22+'PANAMA USD'!Y27</f>
        <v>-5736.508565321622</v>
      </c>
      <c r="AC21" s="57">
        <f t="shared" si="15"/>
        <v>-48737.979153556917</v>
      </c>
      <c r="AD21" s="63">
        <f t="shared" si="11"/>
        <v>-0.13340261360482564</v>
      </c>
      <c r="AE21" s="63">
        <f t="shared" si="10"/>
        <v>-1.1173548392597925</v>
      </c>
      <c r="AF21" s="49"/>
      <c r="AG21" s="49">
        <f>+'COLOMBIA USD'!Y27+'EL SALVADOR USD'!X27+'VENEZUELA USD'!X22+'PANAMA USD'!W27</f>
        <v>14019.25244204658</v>
      </c>
      <c r="AH21" s="49">
        <f>+'COLOMBIA USD'!X27+'EL SALVADOR USD'!W27+'VENEZUELA USD'!Y22+'PANAMA USD'!V27</f>
        <v>-513.54417185950331</v>
      </c>
      <c r="AI21" s="49">
        <f>+'COLOMBIA USD'!AB27+'EL SALVADOR USD'!AA27+'VENEZUELA USD'!AC22+'PANAMA USD'!Z27</f>
        <v>-48737.979153556917</v>
      </c>
      <c r="AK21" s="49">
        <f>+'COLOMBIA USD'!AA27+'EL SALVADOR USD'!Z27+'VENEZUELA USD'!AB22+'PANAMA USD'!Y27</f>
        <v>-5736.508565321622</v>
      </c>
    </row>
    <row r="22" spans="2:37" x14ac:dyDescent="0.2">
      <c r="B22" s="3" t="s">
        <v>40</v>
      </c>
      <c r="C22" s="61">
        <f>+'COLOMBIA USD'!C22+'EL SALVADOR USD'!C22+'VENEZUELA USD'!C22+'PANAMA USD'!C22</f>
        <v>25676.528235294114</v>
      </c>
      <c r="D22" s="30">
        <f t="shared" si="13"/>
        <v>9.5661995951527634E-2</v>
      </c>
      <c r="E22" s="61">
        <f>+'COLOMBIA USD'!E22+'EL SALVADOR USD'!E22+'VENEZUELA USD'!E22+'PANAMA USD'!E22</f>
        <v>25498.227380751883</v>
      </c>
      <c r="F22" s="30">
        <f>+E22/$E$20</f>
        <v>0.13100487356772067</v>
      </c>
      <c r="G22" s="30">
        <f>IF(C22=0,"",(E22-C22)/ABS(C22)+1)</f>
        <v>0.99305588150748725</v>
      </c>
      <c r="H22" s="61">
        <f>+'COLOMBIA USD'!H22+'EL SALVADOR USD'!H22+'VENEZUELA USD'!H22+'PANAMA USD'!H22</f>
        <v>29013.55811297987</v>
      </c>
      <c r="I22" s="30">
        <f t="shared" ref="I22:I46" si="16">+H22/$H$20</f>
        <v>0.11012898810610991</v>
      </c>
      <c r="J22" s="30">
        <f>IF(H22=0,"",(E22-H22)/ABS(H22))</f>
        <v>-0.12116165547635209</v>
      </c>
      <c r="K22" s="61">
        <f>+'COLOMBIA USD'!K22+'EL SALVADOR USD'!K22+'VENEZUELA USD'!K22+'PANAMA USD'!K22</f>
        <v>250740.44882352941</v>
      </c>
      <c r="L22" s="30">
        <f t="shared" si="5"/>
        <v>8.7793245408247927E-2</v>
      </c>
      <c r="M22" s="61">
        <f>+'COLOMBIA USD'!M22+'EL SALVADOR USD'!M22+'VENEZUELA USD'!M22+'PANAMA USD'!M22</f>
        <v>194222.34446411603</v>
      </c>
      <c r="N22" s="30">
        <f>+M22/$M$20</f>
        <v>9.6396956673556564E-2</v>
      </c>
      <c r="O22" s="30">
        <f>IF(K22=0,"",(M22-K22)/ABS(K22)+1)</f>
        <v>0.77459518548125961</v>
      </c>
      <c r="P22" s="61">
        <f>+'COLOMBIA USD'!P22+'EL SALVADOR USD'!P22+'VENEZUELA USD'!P22+'PANAMA USD'!P22</f>
        <v>148920.42859351082</v>
      </c>
      <c r="Q22" s="30">
        <f t="shared" si="8"/>
        <v>6.596517780125985E-2</v>
      </c>
      <c r="R22" s="30">
        <f>IF(P22=0,"",(M22-P22)/ABS(P22))</f>
        <v>0.30420215882039997</v>
      </c>
      <c r="V22" s="3" t="s">
        <v>48</v>
      </c>
      <c r="W22" s="61">
        <f>'COLOMBIA USD'!W28+'EL SALVADOR USD'!V28+'VENEZUELA USD'!W23+'PANAMA USD'!U28</f>
        <v>22794.117647058822</v>
      </c>
      <c r="X22" s="61">
        <f>'COLOMBIA USD'!Y28+'EL SALVADOR USD'!X28+'VENEZUELA USD'!X23+'PANAMA USD'!W28</f>
        <v>0</v>
      </c>
      <c r="Y22" s="61">
        <f>'COLOMBIA USD'!X28+'EL SALVADOR USD'!W28+'VENEZUELA USD'!Y23+'PANAMA USD'!V28</f>
        <v>18191.138806240135</v>
      </c>
      <c r="Z22" s="61">
        <f>'COLOMBIA USD'!Z28+'EL SALVADOR USD'!Y28+'VENEZUELA USD'!Z23+'PANAMA USD'!X28</f>
        <v>184699.27117647056</v>
      </c>
      <c r="AA22" s="61" t="e">
        <f>'COLOMBIA USD'!AD28+'EL SALVADOR USD'!AC28+'VENEZUELA USD'!AA23+'PANAMA USD'!AB28</f>
        <v>#VALUE!</v>
      </c>
      <c r="AB22" s="61">
        <f>'COLOMBIA USD'!AA28+'EL SALVADOR USD'!Z28+'VENEZUELA USD'!AB23+'PANAMA USD'!Y28</f>
        <v>121743.97730440315</v>
      </c>
      <c r="AC22" s="57">
        <f t="shared" si="15"/>
        <v>-62955.293872067414</v>
      </c>
      <c r="AD22" s="63">
        <f t="shared" si="11"/>
        <v>0.65914703685042209</v>
      </c>
      <c r="AE22" s="63" t="e">
        <f t="shared" si="10"/>
        <v>#VALUE!</v>
      </c>
      <c r="AF22" s="49"/>
      <c r="AG22" s="49">
        <f>+'COLOMBIA USD'!Y28+'EL SALVADOR USD'!X28+'VENEZUELA USD'!X23+'PANAMA USD'!W28</f>
        <v>0</v>
      </c>
      <c r="AH22" s="49">
        <f>+'COLOMBIA USD'!X28+'EL SALVADOR USD'!W28+'VENEZUELA USD'!Y23+'PANAMA USD'!V28</f>
        <v>18191.138806240135</v>
      </c>
      <c r="AI22" s="49" t="e">
        <f>+'COLOMBIA USD'!AB28+'EL SALVADOR USD'!AA28+'VENEZUELA USD'!AC23+'PANAMA USD'!Z28</f>
        <v>#VALUE!</v>
      </c>
      <c r="AK22" s="49">
        <f>+'COLOMBIA USD'!AA28+'EL SALVADOR USD'!Z28+'VENEZUELA USD'!AB23+'PANAMA USD'!Y28</f>
        <v>121743.97730440315</v>
      </c>
    </row>
    <row r="23" spans="2:37" x14ac:dyDescent="0.2">
      <c r="B23" s="3"/>
      <c r="C23" s="61"/>
      <c r="D23" s="30"/>
      <c r="E23" s="61"/>
      <c r="F23" s="30"/>
      <c r="G23" s="30"/>
      <c r="H23" s="61"/>
      <c r="I23" s="30"/>
      <c r="J23" s="30"/>
      <c r="K23" s="61"/>
      <c r="L23" s="30"/>
      <c r="M23" s="61"/>
      <c r="N23" s="30"/>
      <c r="O23" s="30"/>
      <c r="P23" s="61"/>
      <c r="Q23" s="30"/>
      <c r="R23" s="30"/>
      <c r="V23" s="3" t="s">
        <v>50</v>
      </c>
      <c r="W23" s="61">
        <f>W18-W19-W20-W21-W22</f>
        <v>22891.665814603057</v>
      </c>
      <c r="X23" s="61">
        <f t="shared" ref="X23:AB23" si="17">X18-X19-X20-X21-X22</f>
        <v>119069.71796103702</v>
      </c>
      <c r="Y23" s="61">
        <f t="shared" si="17"/>
        <v>-2348.9263145777622</v>
      </c>
      <c r="Z23" s="61">
        <f t="shared" si="17"/>
        <v>27272.633090092568</v>
      </c>
      <c r="AA23" s="61" t="e">
        <f t="shared" si="17"/>
        <v>#VALUE!</v>
      </c>
      <c r="AB23" s="61">
        <f t="shared" si="17"/>
        <v>32427.92757855251</v>
      </c>
      <c r="AC23" s="57">
        <f t="shared" ref="AC23" si="18">Y23-W23</f>
        <v>-25240.592129180819</v>
      </c>
      <c r="AD23" s="63">
        <f t="shared" ref="AD23" si="19">IF(W23=0,"",(Y23-W23)/ABS(W23)+1)</f>
        <v>-0.10261054540990777</v>
      </c>
      <c r="AE23" s="63">
        <f t="shared" ref="AE23" si="20">IF(X23=0,"",(Y23-X23)/ABS(X23))</f>
        <v>-1.019727319043003</v>
      </c>
      <c r="AF23" s="49"/>
      <c r="AG23" s="49">
        <f>+'COLOMBIA USD'!Y30+'EL SALVADOR USD'!X30+'VENEZUELA USD'!X24+'PANAMA USD'!W30</f>
        <v>137134.75612897595</v>
      </c>
      <c r="AH23" s="49">
        <f>+'COLOMBIA USD'!X30+'EL SALVADOR USD'!W30+'VENEZUELA USD'!Y24+'PANAMA USD'!V30</f>
        <v>29003.885135803906</v>
      </c>
      <c r="AI23" s="49">
        <f>+'COLOMBIA USD'!AB30+'EL SALVADOR USD'!AA30+'VENEZUELA USD'!AC24+'PANAMA USD'!Z30</f>
        <v>4966.9700609783104</v>
      </c>
      <c r="AK23" s="49">
        <f>+'COLOMBIA USD'!AA30+'EL SALVADOR USD'!Z30+'VENEZUELA USD'!AB24+'PANAMA USD'!Y30</f>
        <v>33904.645135803825</v>
      </c>
    </row>
    <row r="24" spans="2:37" x14ac:dyDescent="0.2">
      <c r="B24" s="3" t="s">
        <v>42</v>
      </c>
      <c r="C24" s="61">
        <f>+C20-C22</f>
        <v>242732.34176470595</v>
      </c>
      <c r="D24" s="30">
        <f t="shared" si="13"/>
        <v>0.90433800404847242</v>
      </c>
      <c r="E24" s="61">
        <f>+E20-E22</f>
        <v>169137.48872923711</v>
      </c>
      <c r="F24" s="30">
        <f>+E24/$E$20</f>
        <v>0.86899512643227927</v>
      </c>
      <c r="G24" s="30">
        <f>IF(C24=0,"",(E24-C24)/ABS(C24)+1)</f>
        <v>0.69680656273316699</v>
      </c>
      <c r="H24" s="61">
        <f>+H20-H22</f>
        <v>234437.13377047901</v>
      </c>
      <c r="I24" s="30">
        <f t="shared" si="16"/>
        <v>0.88987101189389006</v>
      </c>
      <c r="J24" s="30">
        <f>IF(H24=0,"",(E24-H24)/ABS(H24))</f>
        <v>-0.2785379772863637</v>
      </c>
      <c r="K24" s="61">
        <f>+K20-K22</f>
        <v>2605293.0382352946</v>
      </c>
      <c r="L24" s="30">
        <f t="shared" si="5"/>
        <v>0.91220675459175216</v>
      </c>
      <c r="M24" s="61">
        <f>+M20-M22</f>
        <v>1820595.8735200909</v>
      </c>
      <c r="N24" s="30">
        <f>+M24/$M$20</f>
        <v>0.90360304332644348</v>
      </c>
      <c r="O24" s="30">
        <f>IF(K24=0,"",(M24-K24)/ABS(K24)+1)</f>
        <v>0.6988065629474367</v>
      </c>
      <c r="P24" s="61">
        <f>+P20-P22</f>
        <v>2108640.8114016103</v>
      </c>
      <c r="Q24" s="30">
        <f t="shared" si="8"/>
        <v>0.93403482219874012</v>
      </c>
      <c r="R24" s="30">
        <f>IF(P24=0,"",(M24-P24)/ABS(P24))</f>
        <v>-0.13660218294364523</v>
      </c>
      <c r="W24" s="49">
        <f>+'COLOMBIA USD'!W30+'EL SALVADOR USD'!V30+'VENEZUELA USD'!W24+'PANAMA USD'!U30</f>
        <v>24036.856654297721</v>
      </c>
      <c r="X24" s="49">
        <f>+'COLOMBIA USD'!Y30+'EL SALVADOR USD'!X30+'VENEZUELA USD'!X24+'PANAMA USD'!W30</f>
        <v>137134.75612897595</v>
      </c>
      <c r="Y24" s="49">
        <f>+'COLOMBIA USD'!X30+'EL SALVADOR USD'!W30+'VENEZUELA USD'!Y24+'PANAMA USD'!V30</f>
        <v>29003.885135803906</v>
      </c>
      <c r="Z24" s="49">
        <f>+'COLOMBIA USD'!Z30+'EL SALVADOR USD'!Y30+'VENEZUELA USD'!Z24+'PANAMA USD'!X30</f>
        <v>28937.675074825514</v>
      </c>
      <c r="AA24" s="49">
        <f>+'COLOMBIA USD'!AD30+'EL SALVADOR USD'!AC30+'VENEZUELA USD'!AA24+'PANAMA USD'!AB30</f>
        <v>137134.48943544948</v>
      </c>
      <c r="AB24" s="49">
        <f>+'COLOMBIA USD'!AA30+'EL SALVADOR USD'!Z30+'VENEZUELA USD'!AB24+'PANAMA USD'!Y30</f>
        <v>33904.645135803825</v>
      </c>
      <c r="AC24" s="49">
        <f>+'COLOMBIA USD'!AB30+'EL SALVADOR USD'!AA30+'VENEZUELA USD'!AC24+'PANAMA USD'!Z30</f>
        <v>4966.9700609783104</v>
      </c>
      <c r="AE24" s="49"/>
      <c r="AF24" s="49"/>
      <c r="AK24" s="49" t="e">
        <f>+'COLOMBIA USD'!#REF!+'EL SALVADOR USD'!Z31+'VENEZUELA USD'!AB25+'PANAMA USD'!#REF!</f>
        <v>#REF!</v>
      </c>
    </row>
    <row r="25" spans="2:37" x14ac:dyDescent="0.2">
      <c r="B25" s="3"/>
      <c r="C25" s="61"/>
      <c r="D25" s="30"/>
      <c r="E25" s="61"/>
      <c r="F25" s="30"/>
      <c r="G25" s="30"/>
      <c r="H25" s="61"/>
      <c r="I25" s="30"/>
      <c r="J25" s="30"/>
      <c r="K25" s="61"/>
      <c r="L25" s="30"/>
      <c r="M25" s="61"/>
      <c r="N25" s="30"/>
      <c r="O25" s="30"/>
      <c r="P25" s="61"/>
      <c r="Q25" s="30"/>
      <c r="R25" s="30"/>
      <c r="AB25" s="49"/>
      <c r="AE25" s="49"/>
      <c r="AF25" s="49"/>
      <c r="AK25" s="49" t="e">
        <f>+'COLOMBIA USD'!#REF!+'EL SALVADOR USD'!AA32+'VENEZUELA USD'!AB26+'PANAMA USD'!#REF!</f>
        <v>#REF!</v>
      </c>
    </row>
    <row r="26" spans="2:37" x14ac:dyDescent="0.2">
      <c r="B26" s="3" t="s">
        <v>44</v>
      </c>
      <c r="C26" s="61">
        <f>+'COLOMBIA USD'!C26+'EL SALVADOR USD'!C26+'VENEZUELA USD'!C26+'PANAMA USD'!C26</f>
        <v>64900.81117647059</v>
      </c>
      <c r="D26" s="30">
        <f t="shared" si="13"/>
        <v>0.24179831007995592</v>
      </c>
      <c r="E26" s="61">
        <f>+'COLOMBIA USD'!E26+'EL SALVADOR USD'!E26+'VENEZUELA USD'!E26+'PANAMA USD'!E26</f>
        <v>45352.19189745107</v>
      </c>
      <c r="F26" s="30">
        <f>+E26/$E$20</f>
        <v>0.23301063547772732</v>
      </c>
      <c r="G26" s="30">
        <f>IF(C26=0,"",(E26-C26)/ABS(C26)+1)</f>
        <v>0.69879237370600444</v>
      </c>
      <c r="H26" s="61">
        <f>+'COLOMBIA USD'!H26+'EL SALVADOR USD'!H26+'VENEZUELA USD'!H26+'PANAMA USD'!H26</f>
        <v>60949.040399119331</v>
      </c>
      <c r="I26" s="30">
        <f t="shared" si="16"/>
        <v>0.23134894793171012</v>
      </c>
      <c r="J26" s="30">
        <f>IF(H26=0,"",(E26-H26)/ABS(H26))</f>
        <v>-0.25589982056376437</v>
      </c>
      <c r="K26" s="61">
        <f>+'COLOMBIA USD'!K26+'EL SALVADOR USD'!K26+'VENEZUELA USD'!K26+'PANAMA USD'!K26</f>
        <v>657670.09941176465</v>
      </c>
      <c r="L26" s="30">
        <f t="shared" si="5"/>
        <v>0.23027394545329399</v>
      </c>
      <c r="M26" s="61">
        <f>+'COLOMBIA USD'!M26+'EL SALVADOR USD'!M26+'VENEZUELA USD'!M26+'PANAMA USD'!M26</f>
        <v>458236.1244044432</v>
      </c>
      <c r="N26" s="30">
        <f>+M26/$M$20</f>
        <v>0.22743298641745507</v>
      </c>
      <c r="O26" s="30">
        <f>IF(K26=0,"",(M26-K26)/ABS(K26)+1)</f>
        <v>0.69675681593902505</v>
      </c>
      <c r="P26" s="61">
        <f>+'COLOMBIA USD'!P26+'EL SALVADOR USD'!P26+'VENEZUELA USD'!P26+'PANAMA USD'!P26</f>
        <v>475126.8778439649</v>
      </c>
      <c r="Q26" s="30">
        <f t="shared" si="8"/>
        <v>0.21046023887484519</v>
      </c>
      <c r="R26" s="30">
        <f>IF(P26=0,"",(M26-P26)/ABS(P26))</f>
        <v>-3.5549985124328734E-2</v>
      </c>
      <c r="W26" s="49"/>
      <c r="X26" s="49"/>
      <c r="Y26" s="49"/>
      <c r="Z26" s="49"/>
      <c r="AA26" s="49"/>
      <c r="AB26" s="49"/>
      <c r="AC26" s="49"/>
      <c r="AF26" s="49"/>
      <c r="AK26" s="49" t="e">
        <f>+'COLOMBIA USD'!#REF!+'EL SALVADOR USD'!AB33+'VENEZUELA USD'!AB27+'PANAMA USD'!#REF!</f>
        <v>#REF!</v>
      </c>
    </row>
    <row r="27" spans="2:37" x14ac:dyDescent="0.2">
      <c r="B27" s="3" t="s">
        <v>45</v>
      </c>
      <c r="C27" s="61">
        <f>+'COLOMBIA USD'!C27+'EL SALVADOR USD'!C27+'VENEZUELA USD'!C27+'PANAMA USD'!C27</f>
        <v>79304.115294117655</v>
      </c>
      <c r="D27" s="30">
        <f t="shared" si="13"/>
        <v>0.29546011387074367</v>
      </c>
      <c r="E27" s="61">
        <f>+'COLOMBIA USD'!E27+'EL SALVADOR USD'!E27+'VENEZUELA USD'!E27+'PANAMA USD'!E27</f>
        <v>59723.591817520552</v>
      </c>
      <c r="F27" s="30">
        <f>+E27/$E$20</f>
        <v>0.3068480596016131</v>
      </c>
      <c r="G27" s="30">
        <f>IF(C27=0,"",(E27-C27)/ABS(C27)+1)</f>
        <v>0.75309574535976853</v>
      </c>
      <c r="H27" s="61">
        <f>+'COLOMBIA USD'!H27+'EL SALVADOR USD'!H27+'VENEZUELA USD'!H27+'PANAMA USD'!H27</f>
        <v>76897.771258273657</v>
      </c>
      <c r="I27" s="30">
        <f t="shared" si="16"/>
        <v>0.2918867690516086</v>
      </c>
      <c r="J27" s="30">
        <f>IF(H27=0,"",(E27-H27)/ABS(H27))</f>
        <v>-0.22333780498099007</v>
      </c>
      <c r="K27" s="61">
        <f>+'COLOMBIA USD'!K27+'EL SALVADOR USD'!K27+'VENEZUELA USD'!K27+'PANAMA USD'!K27</f>
        <v>922916.31058823527</v>
      </c>
      <c r="L27" s="30">
        <f t="shared" si="5"/>
        <v>0.32314617975248783</v>
      </c>
      <c r="M27" s="61">
        <f>+'COLOMBIA USD'!M27+'EL SALVADOR USD'!M27+'VENEZUELA USD'!M27+'PANAMA USD'!M27</f>
        <v>667658.87344657886</v>
      </c>
      <c r="N27" s="30">
        <f>+M27/$M$20</f>
        <v>0.33137424879677768</v>
      </c>
      <c r="O27" s="30">
        <f>IF(K27=0,"",(M27-K27)/ABS(K27)+1)</f>
        <v>0.72342298623050227</v>
      </c>
      <c r="P27" s="61">
        <f>+'COLOMBIA USD'!P27+'EL SALVADOR USD'!P27+'VENEZUELA USD'!P27+'PANAMA USD'!P27</f>
        <v>826082.39354213013</v>
      </c>
      <c r="Q27" s="30">
        <f t="shared" si="8"/>
        <v>0.36591804417403773</v>
      </c>
      <c r="R27" s="30">
        <f>IF(P27=0,"",(M27-P27)/ABS(P27))</f>
        <v>-0.19177689941587125</v>
      </c>
      <c r="W27" s="49"/>
      <c r="X27" s="49"/>
      <c r="Y27" s="49"/>
      <c r="Z27" s="49"/>
      <c r="AA27" s="49"/>
      <c r="AB27" s="49"/>
      <c r="AC27" s="49"/>
      <c r="AF27" s="49"/>
    </row>
    <row r="28" spans="2:37" x14ac:dyDescent="0.2">
      <c r="B28" s="3" t="s">
        <v>47</v>
      </c>
      <c r="C28" s="61">
        <f>SUM(C26:C27)</f>
        <v>144204.92647058825</v>
      </c>
      <c r="D28" s="30">
        <f t="shared" si="13"/>
        <v>0.53725842395069967</v>
      </c>
      <c r="E28" s="61">
        <f>SUM(E26:E27)</f>
        <v>105075.78371497162</v>
      </c>
      <c r="F28" s="30">
        <f>+E28/$E$20</f>
        <v>0.53985869507934037</v>
      </c>
      <c r="G28" s="30">
        <f>IF(C28=0,"",(E28-C28)/ABS(C28)+1)</f>
        <v>0.72865599176601403</v>
      </c>
      <c r="H28" s="61">
        <f>SUM(H26:H27)</f>
        <v>137846.811657393</v>
      </c>
      <c r="I28" s="30">
        <f t="shared" si="16"/>
        <v>0.52323571698331872</v>
      </c>
      <c r="J28" s="30">
        <f>IF(H28=0,"",(E28-H28)/ABS(H28))</f>
        <v>-0.23773511732626137</v>
      </c>
      <c r="K28" s="61">
        <f>SUM(K26:K27)</f>
        <v>1580586.41</v>
      </c>
      <c r="L28" s="30">
        <f t="shared" si="5"/>
        <v>0.55342012520578177</v>
      </c>
      <c r="M28" s="61">
        <f>SUM(M26:M27)</f>
        <v>1125894.9978510221</v>
      </c>
      <c r="N28" s="30">
        <f>+M28/$M$20</f>
        <v>0.55880723521423281</v>
      </c>
      <c r="O28" s="30">
        <f>IF(K28=0,"",(M28-K28)/ABS(K28)+1)</f>
        <v>0.71232739363551922</v>
      </c>
      <c r="P28" s="61">
        <f>SUM(P26:P27)</f>
        <v>1301209.2713860951</v>
      </c>
      <c r="Q28" s="30">
        <f t="shared" si="8"/>
        <v>0.57637828304888294</v>
      </c>
      <c r="R28" s="30">
        <f>IF(P28=0,"",(M28-P28)/ABS(P28))</f>
        <v>-0.13473180478365479</v>
      </c>
      <c r="W28" s="49"/>
      <c r="X28" s="49"/>
      <c r="Y28" s="49"/>
      <c r="Z28" s="49"/>
      <c r="AA28" s="49"/>
      <c r="AB28" s="49"/>
      <c r="AC28" s="49"/>
      <c r="AD28" s="49"/>
      <c r="AE28" s="49"/>
    </row>
    <row r="29" spans="2:37" x14ac:dyDescent="0.2">
      <c r="B29" s="3"/>
      <c r="C29" s="61"/>
      <c r="D29" s="30"/>
      <c r="E29" s="61"/>
      <c r="F29" s="30"/>
      <c r="G29" s="30"/>
      <c r="H29" s="61"/>
      <c r="I29" s="30"/>
      <c r="J29" s="30"/>
      <c r="K29" s="61"/>
      <c r="L29" s="30"/>
      <c r="M29" s="61"/>
      <c r="N29" s="30"/>
      <c r="O29" s="30"/>
      <c r="P29" s="61"/>
      <c r="Q29" s="30"/>
      <c r="R29" s="30"/>
      <c r="W29" s="49"/>
      <c r="X29" s="49"/>
      <c r="Y29" s="49"/>
      <c r="Z29" s="49"/>
      <c r="AA29" s="49"/>
      <c r="AB29" s="49"/>
      <c r="AC29" s="49"/>
    </row>
    <row r="30" spans="2:37" x14ac:dyDescent="0.2">
      <c r="B30" s="3" t="s">
        <v>49</v>
      </c>
      <c r="C30" s="61">
        <f>+'COLOMBIA USD'!C30+'EL SALVADOR USD'!C30+'VENEZUELA USD'!C30+'PANAMA USD'!C30</f>
        <v>23381.161176470589</v>
      </c>
      <c r="D30" s="30">
        <f t="shared" si="13"/>
        <v>8.7110240345151718E-2</v>
      </c>
      <c r="E30" s="61">
        <f>+'COLOMBIA USD'!E30+'EL SALVADOR USD'!E30+'VENEZUELA USD'!E30+'PANAMA USD'!E30</f>
        <v>18895.173095296355</v>
      </c>
      <c r="F30" s="30">
        <f>+E30/$E$20</f>
        <v>9.7079680301937268E-2</v>
      </c>
      <c r="G30" s="30">
        <f>IF(C30=0,"",(E30-C30)/ABS(C30)+1)</f>
        <v>0.80813664268784624</v>
      </c>
      <c r="H30" s="61">
        <f>+'COLOMBIA USD'!H30+'EL SALVADOR USD'!H30+'VENEZUELA USD'!H30+'PANAMA USD'!H30</f>
        <v>16827.488819598973</v>
      </c>
      <c r="I30" s="30">
        <f t="shared" si="16"/>
        <v>6.38733901182649E-2</v>
      </c>
      <c r="J30" s="30">
        <f>IF(H30=0,"",(E30-H30)/ABS(H30))</f>
        <v>0.12287539144219489</v>
      </c>
      <c r="K30" s="61">
        <f>+'COLOMBIA USD'!K30+'EL SALVADOR USD'!K30+'VENEZUELA USD'!K30+'PANAMA USD'!K30</f>
        <v>247223.83176470589</v>
      </c>
      <c r="L30" s="30">
        <f t="shared" si="5"/>
        <v>8.6561951351382727E-2</v>
      </c>
      <c r="M30" s="61">
        <f>+'COLOMBIA USD'!M30+'EL SALVADOR USD'!M30+'VENEZUELA USD'!M30+'PANAMA USD'!M30</f>
        <v>190902.61954044274</v>
      </c>
      <c r="N30" s="30">
        <f>+M30/$M$20</f>
        <v>9.4749301865772156E-2</v>
      </c>
      <c r="O30" s="30">
        <f>IF(K30=0,"",(M30-K30)/ABS(K30)+1)</f>
        <v>0.7721853438552535</v>
      </c>
      <c r="P30" s="61">
        <f>+'COLOMBIA USD'!P30+'EL SALVADOR USD'!P30+'VENEZUELA USD'!P30+'PANAMA USD'!P30</f>
        <v>179904.71331179998</v>
      </c>
      <c r="Q30" s="30">
        <f t="shared" si="8"/>
        <v>7.968984855187751E-2</v>
      </c>
      <c r="R30" s="30">
        <f>IF(P30=0,"",(M30-P30)/ABS(P30))</f>
        <v>6.1131840440343879E-2</v>
      </c>
      <c r="W30" s="49"/>
      <c r="X30" s="49"/>
      <c r="Y30" s="49"/>
      <c r="Z30" s="49"/>
      <c r="AA30" s="49"/>
      <c r="AB30" s="49"/>
      <c r="AC30" s="49"/>
    </row>
    <row r="31" spans="2:37" x14ac:dyDescent="0.2">
      <c r="B31" s="3" t="s">
        <v>51</v>
      </c>
      <c r="C31" s="61">
        <f>+'COLOMBIA USD'!C31+'EL SALVADOR USD'!C31+'VENEZUELA USD'!C31+'PANAMA USD'!C31</f>
        <v>0</v>
      </c>
      <c r="D31" s="30">
        <f t="shared" si="13"/>
        <v>0</v>
      </c>
      <c r="E31" s="61">
        <f>+'COLOMBIA USD'!E31+'EL SALVADOR USD'!E31+'VENEZUELA USD'!E31+'PANAMA USD'!E31</f>
        <v>430.85496183206106</v>
      </c>
      <c r="F31" s="30">
        <f>+E31/$E$20</f>
        <v>2.2136479904263004E-3</v>
      </c>
      <c r="G31" s="30" t="str">
        <f>IF(C31=0,"",(E31-C31)/ABS(C31)+1)</f>
        <v/>
      </c>
      <c r="H31" s="61">
        <f>+'COLOMBIA USD'!H31+'EL SALVADOR USD'!H31+'VENEZUELA USD'!H31+'PANAMA USD'!H31</f>
        <v>335.5263157894737</v>
      </c>
      <c r="I31" s="30">
        <f t="shared" si="16"/>
        <v>1.2735829744485868E-3</v>
      </c>
      <c r="J31" s="30">
        <f>IF(H31=0,"",(E31-H31)/ABS(H31))</f>
        <v>0.28411674898967215</v>
      </c>
      <c r="K31" s="61">
        <f>+'COLOMBIA USD'!K31+'EL SALVADOR USD'!K31+'VENEZUELA USD'!K31+'PANAMA USD'!K31</f>
        <v>0</v>
      </c>
      <c r="L31" s="30">
        <f t="shared" si="5"/>
        <v>0</v>
      </c>
      <c r="M31" s="61">
        <f>+'COLOMBIA USD'!M31+'EL SALVADOR USD'!M31+'VENEZUELA USD'!M31+'PANAMA USD'!M31</f>
        <v>6152.9145038167935</v>
      </c>
      <c r="N31" s="30">
        <f>+M31/$M$20</f>
        <v>3.0538310845594223E-3</v>
      </c>
      <c r="O31" s="30" t="str">
        <f>IF(K31=0,"",(M31-K31)/ABS(K31)+1)</f>
        <v/>
      </c>
      <c r="P31" s="61">
        <f>+'COLOMBIA USD'!P31+'EL SALVADOR USD'!P31+'VENEZUELA USD'!P31+'PANAMA USD'!P31</f>
        <v>2365.8588904802632</v>
      </c>
      <c r="Q31" s="30">
        <f t="shared" si="8"/>
        <v>1.0479710798389577E-3</v>
      </c>
      <c r="R31" s="30">
        <f>IF(P31=0,"",(M31-P31)/ABS(P31))</f>
        <v>1.6007106884416795</v>
      </c>
      <c r="W31" s="49"/>
      <c r="X31" s="49"/>
      <c r="Y31" s="49"/>
      <c r="Z31" s="49"/>
      <c r="AA31" s="49"/>
      <c r="AB31" s="49"/>
      <c r="AC31" s="49"/>
    </row>
    <row r="32" spans="2:37" x14ac:dyDescent="0.2">
      <c r="B32" s="3" t="s">
        <v>52</v>
      </c>
      <c r="C32" s="61">
        <f>SUM(C30:C31)</f>
        <v>23381.161176470589</v>
      </c>
      <c r="D32" s="30">
        <f t="shared" si="13"/>
        <v>8.7110240345151718E-2</v>
      </c>
      <c r="E32" s="61">
        <f>SUM(E30:E31)</f>
        <v>19326.028057128417</v>
      </c>
      <c r="F32" s="30">
        <f>+E32/$E$20</f>
        <v>9.9293328292363578E-2</v>
      </c>
      <c r="G32" s="30">
        <f>IF(C32=0,"",(E32-C32)/ABS(C32)+1)</f>
        <v>0.82656408342015886</v>
      </c>
      <c r="H32" s="61">
        <f>SUM(H30:H31)</f>
        <v>17163.015135388447</v>
      </c>
      <c r="I32" s="30">
        <f t="shared" si="16"/>
        <v>6.5146973092713487E-2</v>
      </c>
      <c r="J32" s="30">
        <f>IF(H32=0,"",(E32-H32)/ABS(H32))</f>
        <v>0.12602756011559124</v>
      </c>
      <c r="K32" s="61">
        <f>SUM(K30:K31)</f>
        <v>247223.83176470589</v>
      </c>
      <c r="L32" s="30">
        <f t="shared" si="5"/>
        <v>8.6561951351382727E-2</v>
      </c>
      <c r="M32" s="61">
        <f>SUM(M30:M31)</f>
        <v>197055.53404425955</v>
      </c>
      <c r="N32" s="30">
        <f>+M32/$M$20</f>
        <v>9.7803132950331578E-2</v>
      </c>
      <c r="O32" s="30">
        <f>IF(K32=0,"",(M32-K32)/ABS(K32)+1)</f>
        <v>0.79707337532008737</v>
      </c>
      <c r="P32" s="61">
        <f>SUM(P30:P31)</f>
        <v>182270.57220228025</v>
      </c>
      <c r="Q32" s="30">
        <f t="shared" si="8"/>
        <v>8.0737819631716473E-2</v>
      </c>
      <c r="R32" s="30">
        <f>IF(P32=0,"",(M32-P32)/ABS(P32))</f>
        <v>8.1115462926024284E-2</v>
      </c>
      <c r="W32" s="49"/>
      <c r="X32" s="49"/>
      <c r="Y32" s="49"/>
      <c r="Z32" s="49"/>
      <c r="AA32" s="49"/>
      <c r="AB32" s="49"/>
      <c r="AC32" s="49"/>
    </row>
    <row r="33" spans="2:29" x14ac:dyDescent="0.2">
      <c r="B33" s="3"/>
      <c r="C33" s="61"/>
      <c r="D33" s="30"/>
      <c r="E33" s="61"/>
      <c r="F33" s="30"/>
      <c r="G33" s="30"/>
      <c r="H33" s="61"/>
      <c r="I33" s="30"/>
      <c r="J33" s="30"/>
      <c r="K33" s="61"/>
      <c r="L33" s="30"/>
      <c r="M33" s="61"/>
      <c r="N33" s="30"/>
      <c r="O33" s="30"/>
      <c r="P33" s="61"/>
      <c r="Q33" s="30"/>
      <c r="R33" s="30"/>
      <c r="W33" s="49"/>
      <c r="X33" s="49"/>
      <c r="Y33" s="49"/>
      <c r="Z33" s="49"/>
      <c r="AA33" s="49"/>
      <c r="AB33" s="49"/>
      <c r="AC33" s="49"/>
    </row>
    <row r="34" spans="2:29" x14ac:dyDescent="0.2">
      <c r="B34" s="3" t="s">
        <v>53</v>
      </c>
      <c r="C34" s="61">
        <f>C28+C32</f>
        <v>167586.08764705883</v>
      </c>
      <c r="D34" s="30">
        <f t="shared" si="13"/>
        <v>0.62436866429585125</v>
      </c>
      <c r="E34" s="61">
        <f>E28+E32</f>
        <v>124401.81177210005</v>
      </c>
      <c r="F34" s="30">
        <f>+E34/$E$20</f>
        <v>0.63915202337170407</v>
      </c>
      <c r="G34" s="30">
        <f>IF(C34=0,"",(E34-C34)/ABS(C34)+1)</f>
        <v>0.74231586594523213</v>
      </c>
      <c r="H34" s="61">
        <f>H28+H32</f>
        <v>155009.82679278144</v>
      </c>
      <c r="I34" s="30">
        <f t="shared" si="16"/>
        <v>0.58838269007603228</v>
      </c>
      <c r="J34" s="30">
        <f>IF(H34=0,"",(E34-H34)/ABS(H34))</f>
        <v>-0.1974585460417195</v>
      </c>
      <c r="K34" s="61">
        <f>K28+K32</f>
        <v>1827810.2417647059</v>
      </c>
      <c r="L34" s="30">
        <f t="shared" si="5"/>
        <v>0.63998207655716455</v>
      </c>
      <c r="M34" s="61">
        <f>M28+M32</f>
        <v>1322950.5318952815</v>
      </c>
      <c r="N34" s="30">
        <f>+M34/$M$20</f>
        <v>0.65661036816456431</v>
      </c>
      <c r="O34" s="30">
        <f>IF(K34=0,"",(M34-K34)/ABS(K34)+1)</f>
        <v>0.72378986705863146</v>
      </c>
      <c r="P34" s="61">
        <f>P28+P32</f>
        <v>1483479.8435883753</v>
      </c>
      <c r="Q34" s="30">
        <f t="shared" si="8"/>
        <v>0.65711610268059939</v>
      </c>
      <c r="R34" s="30">
        <f>IF(P34=0,"",(M34-P34)/ABS(P34))</f>
        <v>-0.1082113197472174</v>
      </c>
      <c r="W34" s="49"/>
      <c r="X34" s="49"/>
      <c r="Y34" s="49"/>
      <c r="Z34" s="49"/>
      <c r="AA34" s="49"/>
      <c r="AB34" s="49"/>
      <c r="AC34" s="49"/>
    </row>
    <row r="35" spans="2:29" x14ac:dyDescent="0.2">
      <c r="B35" s="3"/>
      <c r="C35" s="61"/>
      <c r="D35" s="30"/>
      <c r="E35" s="61"/>
      <c r="F35" s="30"/>
      <c r="G35" s="30"/>
      <c r="H35" s="61"/>
      <c r="I35" s="30"/>
      <c r="J35" s="30"/>
      <c r="K35" s="61"/>
      <c r="L35" s="30"/>
      <c r="M35" s="61"/>
      <c r="N35" s="30"/>
      <c r="O35" s="30"/>
      <c r="P35" s="61"/>
      <c r="Q35" s="30"/>
      <c r="R35" s="30"/>
      <c r="W35" s="49"/>
      <c r="X35" s="49"/>
      <c r="Y35" s="49"/>
      <c r="Z35" s="49"/>
      <c r="AA35" s="49"/>
      <c r="AB35" s="49"/>
      <c r="AC35" s="49"/>
    </row>
    <row r="36" spans="2:29" x14ac:dyDescent="0.2">
      <c r="B36" s="19" t="s">
        <v>54</v>
      </c>
      <c r="C36" s="65">
        <f>C24-C34</f>
        <v>75146.254117647128</v>
      </c>
      <c r="D36" s="38">
        <f t="shared" si="13"/>
        <v>0.27996933975262112</v>
      </c>
      <c r="E36" s="65">
        <f>E24-E34</f>
        <v>44735.676957137068</v>
      </c>
      <c r="F36" s="38">
        <f>+E36/$E$20</f>
        <v>0.22984310306057523</v>
      </c>
      <c r="G36" s="38">
        <f>IF(C36=0,"",(E36-C36)/ABS(C36)+1)</f>
        <v>0.5953147962252382</v>
      </c>
      <c r="H36" s="65">
        <f>H24-H34</f>
        <v>79427.306977697561</v>
      </c>
      <c r="I36" s="38">
        <f t="shared" si="16"/>
        <v>0.30148832181785784</v>
      </c>
      <c r="J36" s="38">
        <f>IF(H36=0,"",(E36-H36)/ABS(H36))</f>
        <v>-0.43677207928378559</v>
      </c>
      <c r="K36" s="65">
        <f>K24-K34</f>
        <v>777482.79647058877</v>
      </c>
      <c r="L36" s="38">
        <f t="shared" si="5"/>
        <v>0.27222467803458755</v>
      </c>
      <c r="M36" s="65">
        <f>+M24-M34</f>
        <v>497645.34162480943</v>
      </c>
      <c r="N36" s="38">
        <f>+M36/$M$20</f>
        <v>0.24699267516187914</v>
      </c>
      <c r="O36" s="38">
        <f>IF(K36=0,"",(M36-K36)/ABS(K36)+1)</f>
        <v>0.64007247991066607</v>
      </c>
      <c r="P36" s="65">
        <f>P24-P34</f>
        <v>625160.96781323501</v>
      </c>
      <c r="Q36" s="38">
        <f t="shared" si="8"/>
        <v>0.27691871951814079</v>
      </c>
      <c r="R36" s="38">
        <f>IF(P36=0,"",(M36-P36)/ABS(P36))</f>
        <v>-0.20397246909778363</v>
      </c>
      <c r="W36" s="49"/>
      <c r="X36" s="49"/>
      <c r="Y36" s="49"/>
      <c r="Z36" s="49"/>
      <c r="AA36" s="49"/>
      <c r="AB36" s="49"/>
      <c r="AC36" s="49"/>
    </row>
    <row r="37" spans="2:29" x14ac:dyDescent="0.2">
      <c r="B37" s="3"/>
      <c r="C37" s="61"/>
      <c r="D37" s="30"/>
      <c r="E37" s="61"/>
      <c r="F37" s="30"/>
      <c r="G37" s="30"/>
      <c r="H37" s="61"/>
      <c r="I37" s="30"/>
      <c r="J37" s="30"/>
      <c r="K37" s="61"/>
      <c r="L37" s="30"/>
      <c r="M37" s="61"/>
      <c r="N37" s="30"/>
      <c r="O37" s="30"/>
      <c r="P37" s="61"/>
      <c r="Q37" s="30"/>
      <c r="R37" s="30"/>
      <c r="W37" s="49"/>
      <c r="X37" s="49"/>
      <c r="Y37" s="49"/>
      <c r="Z37" s="49"/>
      <c r="AA37" s="49"/>
      <c r="AB37" s="49"/>
      <c r="AC37" s="49"/>
    </row>
    <row r="38" spans="2:29" x14ac:dyDescent="0.2">
      <c r="B38" s="3" t="s">
        <v>55</v>
      </c>
      <c r="C38" s="61">
        <f>+'COLOMBIA USD'!C38+'EL SALVADOR USD'!C38+'VENEZUELA USD'!C38+'PANAMA USD'!C38</f>
        <v>188.99529411764703</v>
      </c>
      <c r="D38" s="30">
        <f t="shared" si="13"/>
        <v>7.041320732718222E-4</v>
      </c>
      <c r="E38" s="61">
        <f>+'COLOMBIA USD'!E38+'EL SALVADOR USD'!E38+'VENEZUELA USD'!E38+'PANAMA USD'!E38</f>
        <v>1198.152969064424</v>
      </c>
      <c r="F38" s="30">
        <f>+E38/$E$20</f>
        <v>6.1558741273741637E-3</v>
      </c>
      <c r="G38" s="30">
        <f>IF(C38=0,"",(E38-C38)/ABS(C38)+1)</f>
        <v>6.3395915472826001</v>
      </c>
      <c r="H38" s="61">
        <f>+'COLOMBIA USD'!H38+'EL SALVADOR USD'!H38+'VENEZUELA USD'!H38+'PANAMA USD'!H38</f>
        <v>1559.2620805887836</v>
      </c>
      <c r="I38" s="30">
        <f t="shared" si="16"/>
        <v>5.9186106874167758E-3</v>
      </c>
      <c r="J38" s="30">
        <f>IF(H38=0,"",(E38-H38)/ABS(H38))</f>
        <v>-0.23158974749645894</v>
      </c>
      <c r="K38" s="61">
        <f>+'COLOMBIA USD'!K38+'EL SALVADOR USD'!K38+'VENEZUELA USD'!K38+'PANAMA USD'!K38</f>
        <v>2078.9482352941181</v>
      </c>
      <c r="L38" s="30">
        <f t="shared" si="5"/>
        <v>7.2791451665892156E-4</v>
      </c>
      <c r="M38" s="61">
        <f>+'COLOMBIA USD'!M38+'EL SALVADOR USD'!M38+'VENEZUELA USD'!M38+'PANAMA USD'!M38</f>
        <v>6346.0269823270473</v>
      </c>
      <c r="N38" s="30">
        <f>+M38/$M$20</f>
        <v>3.1496771895760129E-3</v>
      </c>
      <c r="O38" s="30">
        <f>IF(K38=0,"",(M38-K38)/ABS(K38)+1)</f>
        <v>3.052518035125221</v>
      </c>
      <c r="P38" s="61">
        <f>+'COLOMBIA USD'!P38+'EL SALVADOR USD'!P38+'VENEZUELA USD'!P38+'PANAMA USD'!P38</f>
        <v>55516.432458401679</v>
      </c>
      <c r="Q38" s="30">
        <f t="shared" si="8"/>
        <v>2.459132956168297E-2</v>
      </c>
      <c r="R38" s="30">
        <f>IF(P38=0,"",(M38-P38)/ABS(P38))</f>
        <v>-0.88569101613144696</v>
      </c>
      <c r="W38" s="49"/>
      <c r="X38" s="49"/>
      <c r="Y38" s="49"/>
      <c r="Z38" s="49"/>
      <c r="AA38" s="49"/>
      <c r="AB38" s="49"/>
      <c r="AC38" s="49"/>
    </row>
    <row r="39" spans="2:29" x14ac:dyDescent="0.2">
      <c r="B39" s="3" t="s">
        <v>56</v>
      </c>
      <c r="C39" s="61">
        <f>+'COLOMBIA USD'!C39+'EL SALVADOR USD'!C39+'VENEZUELA USD'!C39+'PANAMA USD'!C39</f>
        <v>4282.4317647058833</v>
      </c>
      <c r="D39" s="30">
        <f t="shared" si="13"/>
        <v>1.5954881687426658E-2</v>
      </c>
      <c r="E39" s="61">
        <f>+'COLOMBIA USD'!E39+'EL SALVADOR USD'!E39+'VENEZUELA USD'!E39+'PANAMA USD'!E39</f>
        <v>4602.9510399367628</v>
      </c>
      <c r="F39" s="30">
        <f>+E39/$E$20</f>
        <v>2.3649056462667038E-2</v>
      </c>
      <c r="G39" s="30">
        <f>IF(C39=0,"",(E39-C39)/ABS(C39)+1)</f>
        <v>1.0748451564068044</v>
      </c>
      <c r="H39" s="61">
        <f>+'COLOMBIA USD'!H39+'EL SALVADOR USD'!H39+'VENEZUELA USD'!H39+'PANAMA USD'!H39</f>
        <v>5859.1707280471246</v>
      </c>
      <c r="I39" s="30">
        <f t="shared" si="16"/>
        <v>2.2240103778657039E-2</v>
      </c>
      <c r="J39" s="30">
        <f>IF(H39=0,"",(E39-H39)/ABS(H39))</f>
        <v>-0.21440230135247532</v>
      </c>
      <c r="K39" s="61">
        <f>+'COLOMBIA USD'!K39+'EL SALVADOR USD'!K39+'VENEZUELA USD'!K39+'PANAMA USD'!K39</f>
        <v>48997.337647058826</v>
      </c>
      <c r="L39" s="30">
        <f t="shared" si="5"/>
        <v>1.7155729395006796E-2</v>
      </c>
      <c r="M39" s="61">
        <f>+'COLOMBIA USD'!M39+'EL SALVADOR USD'!M39+'VENEZUELA USD'!M39+'PANAMA USD'!M39</f>
        <v>45405.126200280101</v>
      </c>
      <c r="N39" s="30">
        <f>+M39/$M$20</f>
        <v>2.2535594424844537E-2</v>
      </c>
      <c r="O39" s="30">
        <f>IF(K39=0,"",(M39-K39)/ABS(K39)+1)</f>
        <v>0.92668557886441905</v>
      </c>
      <c r="P39" s="61">
        <f>+'COLOMBIA USD'!P39+'EL SALVADOR USD'!P39+'VENEZUELA USD'!P39+'PANAMA USD'!P39</f>
        <v>76900.81628162002</v>
      </c>
      <c r="Q39" s="30">
        <f t="shared" si="8"/>
        <v>3.4063667872764422E-2</v>
      </c>
      <c r="R39" s="30">
        <f>IF(P39=0,"",(M39-P39)/ABS(P39))</f>
        <v>-0.4095624936671533</v>
      </c>
      <c r="W39" s="49"/>
      <c r="X39" s="49"/>
      <c r="Y39" s="49"/>
      <c r="Z39" s="49"/>
      <c r="AA39" s="49"/>
      <c r="AB39" s="49"/>
      <c r="AC39" s="49"/>
    </row>
    <row r="40" spans="2:29" x14ac:dyDescent="0.2">
      <c r="B40" s="3"/>
      <c r="C40" s="61"/>
      <c r="D40" s="30"/>
      <c r="E40" s="61"/>
      <c r="F40" s="30"/>
      <c r="G40" s="30"/>
      <c r="H40" s="61"/>
      <c r="I40" s="30"/>
      <c r="J40" s="30"/>
      <c r="K40" s="61"/>
      <c r="L40" s="30"/>
      <c r="M40" s="61"/>
      <c r="N40" s="30"/>
      <c r="O40" s="30"/>
      <c r="P40" s="61"/>
      <c r="Q40" s="30"/>
      <c r="R40" s="30"/>
    </row>
    <row r="41" spans="2:29" x14ac:dyDescent="0.2">
      <c r="B41" s="3" t="s">
        <v>57</v>
      </c>
      <c r="C41" s="61">
        <f>C36+C38-C39</f>
        <v>71052.817647058895</v>
      </c>
      <c r="D41" s="30">
        <f t="shared" si="13"/>
        <v>0.26471859013846627</v>
      </c>
      <c r="E41" s="61">
        <f>E36+E38-E39</f>
        <v>41330.878886264727</v>
      </c>
      <c r="F41" s="30">
        <f>+E41/$E$20</f>
        <v>0.21234992072528236</v>
      </c>
      <c r="G41" s="30">
        <f>IF(C41=0,"",(E41-C41)/ABS(C41)+1)</f>
        <v>0.58169232769301082</v>
      </c>
      <c r="H41" s="61">
        <f>H36+H38-H39</f>
        <v>75127.398330239215</v>
      </c>
      <c r="I41" s="30">
        <f t="shared" si="16"/>
        <v>0.28516682872661758</v>
      </c>
      <c r="J41" s="30">
        <f>IF(H41=0,"",(E41-H41)/ABS(H41))</f>
        <v>-0.44985611368324452</v>
      </c>
      <c r="K41" s="61">
        <f>K36+K38-K39</f>
        <v>730564.40705882409</v>
      </c>
      <c r="L41" s="30">
        <f t="shared" si="5"/>
        <v>0.25579686315623973</v>
      </c>
      <c r="M41" s="61">
        <f>+'COLOMBIA USD'!M41+'EL SALVADOR USD'!M41+'VENEZUELA USD'!M41+'PANAMA USD'!M41</f>
        <v>69784.097425350948</v>
      </c>
      <c r="N41" s="30">
        <f>+M41/$M$20</f>
        <v>3.4635431029191713E-2</v>
      </c>
      <c r="O41" s="30">
        <f>IF(K41=0,"",(M41-K41)/ABS(K41)+1)</f>
        <v>9.5520801110875908E-2</v>
      </c>
      <c r="P41" s="61">
        <f>+'COLOMBIA USD'!P41+'EL SALVADOR USD'!P41+'VENEZUELA USD'!P41+'PANAMA USD'!P41</f>
        <v>-73158.090518458048</v>
      </c>
      <c r="Q41" s="30">
        <f t="shared" si="8"/>
        <v>-3.2405805531377813E-2</v>
      </c>
      <c r="R41" s="30">
        <f>IF(P41=0,"",(M41-P41)/ABS(P41))</f>
        <v>1.9538807933723226</v>
      </c>
    </row>
    <row r="42" spans="2:29" x14ac:dyDescent="0.2">
      <c r="B42" s="3" t="s">
        <v>43</v>
      </c>
      <c r="C42" s="61">
        <f>+'COLOMBIA USD'!C42+'EL SALVADOR USD'!C42+'VENEZUELA USD'!C42+'PANAMA USD'!C42</f>
        <v>12353.520588235295</v>
      </c>
      <c r="D42" s="30">
        <f t="shared" si="13"/>
        <v>4.6025008742204727E-2</v>
      </c>
      <c r="E42" s="61">
        <f>+'COLOMBIA USD'!E42+'EL SALVADOR USD'!E42+'VENEZUELA USD'!E42+'PANAMA USD'!E42</f>
        <v>8433.3013605986835</v>
      </c>
      <c r="F42" s="30">
        <f>+E42/$E$20</f>
        <v>4.3328642497623658E-2</v>
      </c>
      <c r="G42" s="30">
        <f>IF(C42=0,"",(E42-C42)/ABS(C42)+1)</f>
        <v>0.68266380424621809</v>
      </c>
      <c r="H42" s="61">
        <f>+'COLOMBIA USD'!H42+'EL SALVADOR USD'!H42+'VENEZUELA USD'!H42+'PANAMA USD'!H42</f>
        <v>11099.078842128358</v>
      </c>
      <c r="I42" s="30">
        <f t="shared" si="16"/>
        <v>4.2129624950987758E-2</v>
      </c>
      <c r="J42" s="30">
        <f>IF(H42=0,"",(E42-H42)/ABS(H42))</f>
        <v>-0.24018006534121394</v>
      </c>
      <c r="K42" s="61">
        <f>+'COLOMBIA USD'!K42+'EL SALVADOR USD'!K42+'VENEZUELA USD'!K42+'PANAMA USD'!K42</f>
        <v>111896.87117647058</v>
      </c>
      <c r="L42" s="30">
        <f t="shared" si="5"/>
        <v>3.9179117361016404E-2</v>
      </c>
      <c r="M42" s="61">
        <f>+'COLOMBIA USD'!M42+'EL SALVADOR USD'!M42+'VENEZUELA USD'!M42+'PANAMA USD'!M42</f>
        <v>71626.720712632465</v>
      </c>
      <c r="N42" s="30">
        <f>+M42/$M$20</f>
        <v>3.5549966777793901E-2</v>
      </c>
      <c r="O42" s="30">
        <f>IF(K42=0,"",(M42-K42)/ABS(K42)+1)</f>
        <v>0.6401137043382672</v>
      </c>
      <c r="P42" s="61">
        <f>+'COLOMBIA USD'!P42+'EL SALVADOR USD'!P42+'VENEZUELA USD'!P42+'PANAMA USD'!P42</f>
        <v>83222.949902335793</v>
      </c>
      <c r="Q42" s="30">
        <f t="shared" si="8"/>
        <v>3.68640940621906E-2</v>
      </c>
      <c r="R42" s="30">
        <f>IF(P42=0,"",(M42-P42)/ABS(P42))</f>
        <v>-0.13933931930208907</v>
      </c>
    </row>
    <row r="43" spans="2:29" x14ac:dyDescent="0.2">
      <c r="B43" s="19" t="s">
        <v>58</v>
      </c>
      <c r="C43" s="65">
        <f>+C41-C42</f>
        <v>58699.297058823598</v>
      </c>
      <c r="D43" s="38">
        <f t="shared" si="13"/>
        <v>0.21869358139626155</v>
      </c>
      <c r="E43" s="65">
        <f>E41-E42</f>
        <v>32897.577525666042</v>
      </c>
      <c r="F43" s="38">
        <f>+E43/$E$20</f>
        <v>0.16902127822765869</v>
      </c>
      <c r="G43" s="38">
        <f>IF(C43=0,"",(E43-C43)/ABS(C43)+1)</f>
        <v>0.56044244435668111</v>
      </c>
      <c r="H43" s="65">
        <f>+H41-H42</f>
        <v>64028.319488110857</v>
      </c>
      <c r="I43" s="38">
        <f t="shared" si="16"/>
        <v>0.24303720377562982</v>
      </c>
      <c r="J43" s="38">
        <f>IF(H43=0,"",(E43-H43)/ABS(H43))</f>
        <v>-0.48620270235618707</v>
      </c>
      <c r="K43" s="65">
        <f>+K41-K42</f>
        <v>618667.53588235355</v>
      </c>
      <c r="L43" s="38">
        <f t="shared" si="5"/>
        <v>0.21661774579522333</v>
      </c>
      <c r="M43" s="65">
        <f>+M41-M42</f>
        <v>-1842.6232872815162</v>
      </c>
      <c r="N43" s="38">
        <f>+M43/$M$20</f>
        <v>-9.1453574860218953E-4</v>
      </c>
      <c r="O43" s="38">
        <f>IF(K43=0,"",(M43-K43)/ABS(K43)+1)</f>
        <v>-2.9783739737587744E-3</v>
      </c>
      <c r="P43" s="65">
        <f>P41-P42</f>
        <v>-156381.04042079384</v>
      </c>
      <c r="Q43" s="38">
        <f t="shared" si="8"/>
        <v>-6.9269899593568413E-2</v>
      </c>
      <c r="R43" s="38">
        <f>IF(P43=0,"",(M43-P43)/ABS(P43))</f>
        <v>0.9882170927989522</v>
      </c>
    </row>
    <row r="44" spans="2:29" x14ac:dyDescent="0.2">
      <c r="B44" s="3"/>
      <c r="C44" s="61"/>
      <c r="D44" s="30"/>
      <c r="E44" s="61"/>
      <c r="F44" s="30"/>
      <c r="G44" s="30"/>
      <c r="H44" s="61"/>
      <c r="I44" s="30"/>
      <c r="J44" s="30"/>
      <c r="K44" s="61"/>
      <c r="L44" s="30"/>
      <c r="M44" s="61"/>
      <c r="N44" s="30"/>
      <c r="O44" s="30"/>
      <c r="P44" s="61"/>
      <c r="Q44" s="30"/>
      <c r="R44" s="30"/>
    </row>
    <row r="45" spans="2:29" x14ac:dyDescent="0.2">
      <c r="B45" s="3" t="s">
        <v>86</v>
      </c>
      <c r="C45" s="61">
        <f>+'COLOMBIA USD'!C45+'EL SALVADOR USD'!C45+'VENEZUELA USD'!C45+'PANAMA USD'!C45</f>
        <v>51061.504705882355</v>
      </c>
      <c r="D45" s="30">
        <f t="shared" si="13"/>
        <v>0.19023776936239978</v>
      </c>
      <c r="E45" s="61">
        <f>+'COLOMBIA USD'!E45+'EL SALVADOR USD'!E45+'VENEZUELA USD'!E45+'PANAMA USD'!E45</f>
        <v>28712.026763592628</v>
      </c>
      <c r="F45" s="30">
        <f>+E45/$E$20</f>
        <v>0.14751674223741859</v>
      </c>
      <c r="G45" s="30">
        <f>IF(C45=0,"",(E45-C45)/ABS(C45)+1)</f>
        <v>0.5623027940319385</v>
      </c>
      <c r="H45" s="61">
        <f>+'COLOMBIA USD'!H45+'EL SALVADOR USD'!H45+'VENEZUELA USD'!H45+'PANAMA USD'!H45</f>
        <v>29213.904148674177</v>
      </c>
      <c r="I45" s="30">
        <f t="shared" si="16"/>
        <v>0.11088945692197065</v>
      </c>
      <c r="J45" s="30">
        <f>IF(H45=0,"",(E45-H45)/ABS(H45))</f>
        <v>-1.7179401374339265E-2</v>
      </c>
      <c r="K45" s="61">
        <f>+'COLOMBIA USD'!K45+'EL SALVADOR USD'!K45+'VENEZUELA USD'!K45+'PANAMA USD'!K45</f>
        <v>497071.72941176471</v>
      </c>
      <c r="L45" s="30">
        <f t="shared" si="5"/>
        <v>0.17404268250497823</v>
      </c>
      <c r="M45" s="61">
        <f>+'COLOMBIA USD'!M45+'EL SALVADOR USD'!M45+'VENEZUELA USD'!M45+'PANAMA USD'!M45</f>
        <v>328135.18642749201</v>
      </c>
      <c r="N45" s="30">
        <f>+M45/$M$20</f>
        <v>0.16286093876785865</v>
      </c>
      <c r="O45" s="30">
        <f>IF(K45=0,"",(M45-K45)/ABS(K45)+1)</f>
        <v>0.66013648938717073</v>
      </c>
      <c r="P45" s="61">
        <f>+'COLOMBIA USD'!P45+'EL SALVADOR USD'!P45+'VENEZUELA USD'!P45+'PANAMA USD'!P45</f>
        <v>376539.34281776077</v>
      </c>
      <c r="Q45" s="30">
        <f t="shared" si="8"/>
        <v>0.16679031166329492</v>
      </c>
      <c r="R45" s="30">
        <f>IF(P45=0,"",(M45-P45)/ABS(P45))</f>
        <v>-0.12855006339588695</v>
      </c>
    </row>
    <row r="46" spans="2:29" x14ac:dyDescent="0.2">
      <c r="B46" s="3" t="s">
        <v>34</v>
      </c>
      <c r="C46" s="61">
        <f>+'COLOMBIA USD'!C46+'EL SALVADOR USD'!C46+'VENEZUELA USD'!C46+'PANAMA USD'!C46</f>
        <v>118133.36058823529</v>
      </c>
      <c r="D46" s="30">
        <f t="shared" si="13"/>
        <v>0.44012465231955733</v>
      </c>
      <c r="E46" s="61">
        <f>+'COLOMBIA USD'!E46+'EL SALVADOR USD'!E46+'VENEZUELA USD'!E46+'PANAMA USD'!E46</f>
        <v>81639.177470077455</v>
      </c>
      <c r="F46" s="30">
        <f>+E46/$E$20</f>
        <v>0.41944602512697621</v>
      </c>
      <c r="G46" s="30">
        <f>IF(C46=0,"",(E46-C46)/ABS(C46)+1)</f>
        <v>0.69107639927927167</v>
      </c>
      <c r="H46" s="61">
        <f>+'COLOMBIA USD'!H46+'EL SALVADOR USD'!H46+'VENEZUELA USD'!H46+'PANAMA USD'!H46</f>
        <v>94243.366380238876</v>
      </c>
      <c r="I46" s="30">
        <f t="shared" si="16"/>
        <v>0.35772677500474648</v>
      </c>
      <c r="J46" s="30">
        <f>IF(H46=0,"",(E46-H46)/ABS(H46))</f>
        <v>-0.13374086043688155</v>
      </c>
      <c r="K46" s="61">
        <f>+'COLOMBIA USD'!K46+'EL SALVADOR USD'!K46+'VENEZUELA USD'!K46+'PANAMA USD'!K46</f>
        <v>1253564.3194117646</v>
      </c>
      <c r="L46" s="30">
        <f t="shared" si="5"/>
        <v>0.4389179346432312</v>
      </c>
      <c r="M46" s="61">
        <f>+'COLOMBIA USD'!M46+'EL SALVADOR USD'!M46+'VENEZUELA USD'!M46+'PANAMA USD'!M46</f>
        <v>871405.93602558004</v>
      </c>
      <c r="N46" s="30">
        <f>+M46/$M$20</f>
        <v>0.43249853919695425</v>
      </c>
      <c r="O46" s="30">
        <f>IF(K46=0,"",(M46-K46)/ABS(K46)+1)</f>
        <v>0.69514258066509704</v>
      </c>
      <c r="P46" s="61">
        <f>+'COLOMBIA USD'!P46+'EL SALVADOR USD'!P46+'VENEZUELA USD'!P46+'PANAMA USD'!P46</f>
        <v>942900.5094427279</v>
      </c>
      <c r="Q46" s="30">
        <f t="shared" si="8"/>
        <v>0.41766331417205127</v>
      </c>
      <c r="R46" s="30">
        <f>IF(P46=0,"",(M46-P46)/ABS(P46))</f>
        <v>-7.5824090347986456E-2</v>
      </c>
    </row>
  </sheetData>
  <conditionalFormatting sqref="D9:D46 J10:J46 G10:G46">
    <cfRule type="cellIs" dxfId="57" priority="2" operator="lessThan">
      <formula>0</formula>
    </cfRule>
  </conditionalFormatting>
  <conditionalFormatting sqref="R10:R46">
    <cfRule type="cellIs" dxfId="56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E460F-248E-4449-8843-5AF2F72BC437}">
  <dimension ref="A6:V595"/>
  <sheetViews>
    <sheetView topLeftCell="A124" workbookViewId="0">
      <selection activeCell="A35" sqref="A35"/>
    </sheetView>
  </sheetViews>
  <sheetFormatPr baseColWidth="10" defaultRowHeight="12" x14ac:dyDescent="0.2"/>
  <cols>
    <col min="1" max="1" width="40.85546875" style="114" customWidth="1"/>
    <col min="2" max="2" width="44.42578125" style="114" customWidth="1"/>
    <col min="3" max="3" width="29.140625" style="114" customWidth="1"/>
    <col min="4" max="4" width="8" style="114" customWidth="1"/>
    <col min="5" max="5" width="22.85546875" style="114" bestFit="1" customWidth="1"/>
    <col min="6" max="6" width="37.42578125" style="114" bestFit="1" customWidth="1"/>
    <col min="7" max="7" width="13.85546875" style="116" bestFit="1" customWidth="1"/>
    <col min="8" max="18" width="30.5703125" style="116" bestFit="1" customWidth="1"/>
    <col min="19" max="19" width="14.140625" style="116" bestFit="1" customWidth="1"/>
    <col min="20" max="22" width="11.42578125" style="116"/>
    <col min="23" max="16384" width="11.42578125" style="114"/>
  </cols>
  <sheetData>
    <row r="6" spans="1:2" x14ac:dyDescent="0.2">
      <c r="A6" s="112" t="s">
        <v>151</v>
      </c>
      <c r="B6" s="113" t="s">
        <v>152</v>
      </c>
    </row>
    <row r="7" spans="1:2" x14ac:dyDescent="0.2">
      <c r="A7" s="112" t="s">
        <v>69</v>
      </c>
      <c r="B7" s="113" t="s">
        <v>153</v>
      </c>
    </row>
    <row r="8" spans="1:2" x14ac:dyDescent="0.2">
      <c r="A8" s="112" t="s">
        <v>71</v>
      </c>
      <c r="B8" s="113" t="s">
        <v>154</v>
      </c>
    </row>
    <row r="9" spans="1:2" x14ac:dyDescent="0.2">
      <c r="A9" s="112" t="s">
        <v>80</v>
      </c>
      <c r="B9" s="113" t="s">
        <v>155</v>
      </c>
    </row>
    <row r="10" spans="1:2" x14ac:dyDescent="0.2">
      <c r="A10" s="112" t="s">
        <v>156</v>
      </c>
      <c r="B10" s="113" t="s">
        <v>157</v>
      </c>
    </row>
    <row r="11" spans="1:2" x14ac:dyDescent="0.2">
      <c r="A11" s="112" t="s">
        <v>158</v>
      </c>
      <c r="B11" s="113" t="s">
        <v>159</v>
      </c>
    </row>
    <row r="12" spans="1:2" x14ac:dyDescent="0.2">
      <c r="A12" s="112" t="s">
        <v>82</v>
      </c>
      <c r="B12" s="113" t="s">
        <v>160</v>
      </c>
    </row>
    <row r="13" spans="1:2" x14ac:dyDescent="0.2">
      <c r="A13" s="112" t="s">
        <v>161</v>
      </c>
      <c r="B13" s="113" t="s">
        <v>162</v>
      </c>
    </row>
    <row r="14" spans="1:2" x14ac:dyDescent="0.2">
      <c r="A14" s="112" t="s">
        <v>76</v>
      </c>
      <c r="B14" s="113" t="s">
        <v>163</v>
      </c>
    </row>
    <row r="15" spans="1:2" x14ac:dyDescent="0.2">
      <c r="A15" s="112" t="s">
        <v>164</v>
      </c>
      <c r="B15" s="113" t="s">
        <v>165</v>
      </c>
    </row>
    <row r="16" spans="1:2" x14ac:dyDescent="0.2">
      <c r="A16" s="112" t="s">
        <v>166</v>
      </c>
      <c r="B16" s="113" t="s">
        <v>167</v>
      </c>
    </row>
    <row r="33" spans="1:19" x14ac:dyDescent="0.2">
      <c r="B33" s="115" t="s">
        <v>168</v>
      </c>
      <c r="D33" s="114" t="s">
        <v>169</v>
      </c>
    </row>
    <row r="34" spans="1:19" x14ac:dyDescent="0.2">
      <c r="A34" s="114" t="s">
        <v>170</v>
      </c>
      <c r="B34" s="115" t="s">
        <v>171</v>
      </c>
    </row>
    <row r="35" spans="1:19" x14ac:dyDescent="0.2">
      <c r="A35" s="114" t="s">
        <v>172</v>
      </c>
      <c r="B35" s="115" t="s">
        <v>173</v>
      </c>
    </row>
    <row r="36" spans="1:19" x14ac:dyDescent="0.2">
      <c r="A36" s="114" t="s">
        <v>174</v>
      </c>
      <c r="B36" s="115" t="s">
        <v>175</v>
      </c>
    </row>
    <row r="37" spans="1:19" x14ac:dyDescent="0.2">
      <c r="A37" s="114" t="s">
        <v>176</v>
      </c>
      <c r="B37" s="115" t="s">
        <v>177</v>
      </c>
    </row>
    <row r="38" spans="1:19" x14ac:dyDescent="0.2">
      <c r="B38" s="115"/>
    </row>
    <row r="39" spans="1:19" x14ac:dyDescent="0.2">
      <c r="B39" s="115"/>
    </row>
    <row r="40" spans="1:19" x14ac:dyDescent="0.2">
      <c r="B40" s="115"/>
    </row>
    <row r="41" spans="1:19" x14ac:dyDescent="0.2">
      <c r="B41" s="115" t="s">
        <v>178</v>
      </c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</row>
    <row r="42" spans="1:19" x14ac:dyDescent="0.2">
      <c r="A42" s="117"/>
      <c r="B42" s="114" t="s">
        <v>179</v>
      </c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</row>
    <row r="43" spans="1:19" x14ac:dyDescent="0.2">
      <c r="A43" s="117" t="s">
        <v>180</v>
      </c>
      <c r="B43" s="113" t="s">
        <v>181</v>
      </c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</row>
    <row r="44" spans="1:19" x14ac:dyDescent="0.2">
      <c r="A44" s="114" t="s">
        <v>182</v>
      </c>
      <c r="B44" s="113" t="s">
        <v>183</v>
      </c>
      <c r="G44" s="114"/>
    </row>
    <row r="45" spans="1:19" x14ac:dyDescent="0.2">
      <c r="A45" s="117" t="s">
        <v>184</v>
      </c>
      <c r="B45" s="113" t="s">
        <v>185</v>
      </c>
      <c r="G45" s="114"/>
    </row>
    <row r="46" spans="1:19" x14ac:dyDescent="0.2">
      <c r="A46" s="112">
        <v>5295400000</v>
      </c>
      <c r="B46" s="113" t="s">
        <v>186</v>
      </c>
      <c r="G46" s="114"/>
    </row>
    <row r="47" spans="1:19" x14ac:dyDescent="0.2">
      <c r="A47" s="112">
        <v>5235500000</v>
      </c>
      <c r="B47" s="113" t="s">
        <v>187</v>
      </c>
    </row>
    <row r="48" spans="1:19" x14ac:dyDescent="0.2">
      <c r="A48" s="117" t="s">
        <v>188</v>
      </c>
      <c r="B48" s="113" t="s">
        <v>189</v>
      </c>
    </row>
    <row r="49" spans="1:5" x14ac:dyDescent="0.2">
      <c r="A49" s="117" t="s">
        <v>190</v>
      </c>
      <c r="B49" s="113" t="s">
        <v>191</v>
      </c>
    </row>
    <row r="50" spans="1:5" x14ac:dyDescent="0.2">
      <c r="A50" s="117" t="s">
        <v>192</v>
      </c>
      <c r="B50" s="113" t="s">
        <v>193</v>
      </c>
    </row>
    <row r="51" spans="1:5" x14ac:dyDescent="0.2">
      <c r="A51" s="118">
        <v>5295950300</v>
      </c>
      <c r="B51" s="113" t="s">
        <v>194</v>
      </c>
    </row>
    <row r="52" spans="1:5" x14ac:dyDescent="0.2">
      <c r="A52" s="117" t="s">
        <v>195</v>
      </c>
      <c r="B52" s="113" t="s">
        <v>196</v>
      </c>
    </row>
    <row r="53" spans="1:5" x14ac:dyDescent="0.2">
      <c r="A53" s="112">
        <v>5240200100</v>
      </c>
      <c r="B53" s="113" t="s">
        <v>197</v>
      </c>
    </row>
    <row r="54" spans="1:5" x14ac:dyDescent="0.2">
      <c r="A54" s="112">
        <v>5235150000</v>
      </c>
      <c r="B54" s="113" t="s">
        <v>198</v>
      </c>
    </row>
    <row r="55" spans="1:5" x14ac:dyDescent="0.2">
      <c r="A55" s="112">
        <v>5235100000</v>
      </c>
      <c r="B55" s="113" t="s">
        <v>199</v>
      </c>
    </row>
    <row r="56" spans="1:5" x14ac:dyDescent="0.2">
      <c r="A56" s="117" t="s">
        <v>200</v>
      </c>
      <c r="B56" s="113" t="s">
        <v>201</v>
      </c>
    </row>
    <row r="57" spans="1:5" x14ac:dyDescent="0.2">
      <c r="A57" s="112">
        <v>5299100000</v>
      </c>
      <c r="B57" s="113" t="s">
        <v>202</v>
      </c>
    </row>
    <row r="58" spans="1:5" x14ac:dyDescent="0.2">
      <c r="A58" s="118" t="s">
        <v>203</v>
      </c>
      <c r="B58" s="119" t="s">
        <v>204</v>
      </c>
    </row>
    <row r="59" spans="1:5" x14ac:dyDescent="0.2">
      <c r="A59" s="117"/>
      <c r="B59" s="119" t="s">
        <v>205</v>
      </c>
      <c r="C59" s="114">
        <f>+Paramet!B4</f>
        <v>202211</v>
      </c>
    </row>
    <row r="60" spans="1:5" x14ac:dyDescent="0.2">
      <c r="A60" s="117" t="s">
        <v>206</v>
      </c>
      <c r="B60" s="113" t="s">
        <v>207</v>
      </c>
      <c r="C60" s="120"/>
      <c r="D60" s="120"/>
      <c r="E60" s="121"/>
    </row>
    <row r="61" spans="1:5" x14ac:dyDescent="0.2">
      <c r="A61" s="114" t="s">
        <v>208</v>
      </c>
      <c r="B61" s="113" t="s">
        <v>209</v>
      </c>
      <c r="C61" s="120"/>
      <c r="D61" s="120"/>
      <c r="E61" s="121"/>
    </row>
    <row r="62" spans="1:5" x14ac:dyDescent="0.2">
      <c r="A62" s="117" t="s">
        <v>210</v>
      </c>
      <c r="B62" s="113" t="s">
        <v>211</v>
      </c>
      <c r="C62" s="120"/>
      <c r="D62" s="120"/>
      <c r="E62" s="121"/>
    </row>
    <row r="63" spans="1:5" x14ac:dyDescent="0.2">
      <c r="A63" s="117" t="s">
        <v>212</v>
      </c>
      <c r="B63" s="113" t="s">
        <v>213</v>
      </c>
      <c r="C63" s="120"/>
      <c r="D63" s="120"/>
      <c r="E63" s="121"/>
    </row>
    <row r="64" spans="1:5" x14ac:dyDescent="0.2">
      <c r="A64" s="117" t="s">
        <v>214</v>
      </c>
      <c r="B64" s="113" t="s">
        <v>215</v>
      </c>
      <c r="C64" s="120"/>
      <c r="D64" s="120"/>
      <c r="E64" s="121"/>
    </row>
    <row r="65" spans="1:5" x14ac:dyDescent="0.2">
      <c r="A65" s="117" t="s">
        <v>216</v>
      </c>
      <c r="B65" s="113" t="s">
        <v>217</v>
      </c>
      <c r="C65" s="120"/>
      <c r="D65" s="120"/>
      <c r="E65" s="121"/>
    </row>
    <row r="66" spans="1:5" x14ac:dyDescent="0.2">
      <c r="A66" s="117" t="s">
        <v>218</v>
      </c>
      <c r="B66" s="113" t="s">
        <v>219</v>
      </c>
      <c r="C66" s="120"/>
      <c r="D66" s="120"/>
      <c r="E66" s="121"/>
    </row>
    <row r="67" spans="1:5" x14ac:dyDescent="0.2">
      <c r="A67" s="117" t="s">
        <v>220</v>
      </c>
      <c r="B67" s="113" t="s">
        <v>221</v>
      </c>
      <c r="C67" s="120"/>
      <c r="D67" s="120"/>
      <c r="E67" s="121"/>
    </row>
    <row r="68" spans="1:5" x14ac:dyDescent="0.2">
      <c r="A68" s="112">
        <v>5265100000</v>
      </c>
      <c r="B68" s="113" t="s">
        <v>222</v>
      </c>
      <c r="C68" s="120"/>
      <c r="D68" s="120"/>
      <c r="E68" s="121"/>
    </row>
    <row r="69" spans="1:5" x14ac:dyDescent="0.2">
      <c r="A69" s="117" t="s">
        <v>223</v>
      </c>
      <c r="B69" s="113" t="s">
        <v>224</v>
      </c>
      <c r="C69" s="120"/>
      <c r="D69" s="120"/>
      <c r="E69" s="121"/>
    </row>
    <row r="70" spans="1:5" x14ac:dyDescent="0.2">
      <c r="A70" s="117" t="s">
        <v>225</v>
      </c>
      <c r="B70" s="113" t="s">
        <v>226</v>
      </c>
      <c r="C70" s="120"/>
      <c r="D70" s="120"/>
      <c r="E70" s="121"/>
    </row>
    <row r="71" spans="1:5" x14ac:dyDescent="0.2">
      <c r="A71" s="117" t="s">
        <v>227</v>
      </c>
      <c r="B71" s="113" t="s">
        <v>228</v>
      </c>
      <c r="C71" s="120"/>
      <c r="D71" s="120"/>
      <c r="E71" s="121"/>
    </row>
    <row r="72" spans="1:5" x14ac:dyDescent="0.2">
      <c r="A72" s="117" t="s">
        <v>229</v>
      </c>
      <c r="B72" s="113" t="s">
        <v>230</v>
      </c>
      <c r="C72" s="120"/>
      <c r="D72" s="120"/>
      <c r="E72" s="121"/>
    </row>
    <row r="73" spans="1:5" x14ac:dyDescent="0.2">
      <c r="A73" s="112" t="s">
        <v>231</v>
      </c>
      <c r="B73" s="113" t="s">
        <v>232</v>
      </c>
      <c r="C73" s="120"/>
      <c r="D73" s="120"/>
      <c r="E73" s="121"/>
    </row>
    <row r="74" spans="1:5" x14ac:dyDescent="0.2">
      <c r="A74" s="117" t="s">
        <v>233</v>
      </c>
      <c r="B74" s="113" t="s">
        <v>234</v>
      </c>
      <c r="C74" s="120"/>
      <c r="D74" s="120"/>
      <c r="E74" s="121"/>
    </row>
    <row r="75" spans="1:5" x14ac:dyDescent="0.2">
      <c r="A75" s="112">
        <v>5265150000</v>
      </c>
      <c r="B75" s="113" t="s">
        <v>235</v>
      </c>
      <c r="C75" s="120"/>
      <c r="D75" s="120"/>
      <c r="E75" s="121"/>
    </row>
    <row r="76" spans="1:5" x14ac:dyDescent="0.2">
      <c r="A76" s="117" t="s">
        <v>236</v>
      </c>
      <c r="B76" s="113" t="s">
        <v>237</v>
      </c>
      <c r="C76" s="120"/>
      <c r="D76" s="120"/>
      <c r="E76" s="121"/>
    </row>
    <row r="77" spans="1:5" x14ac:dyDescent="0.2">
      <c r="A77" s="117" t="s">
        <v>238</v>
      </c>
      <c r="B77" s="113" t="s">
        <v>239</v>
      </c>
      <c r="C77" s="120"/>
      <c r="D77" s="120"/>
      <c r="E77" s="121"/>
    </row>
    <row r="78" spans="1:5" x14ac:dyDescent="0.2">
      <c r="A78" s="117" t="s">
        <v>240</v>
      </c>
      <c r="B78" s="113" t="s">
        <v>241</v>
      </c>
      <c r="C78" s="120"/>
      <c r="D78" s="120"/>
      <c r="E78" s="121"/>
    </row>
    <row r="79" spans="1:5" x14ac:dyDescent="0.2">
      <c r="A79" s="117" t="s">
        <v>242</v>
      </c>
      <c r="B79" s="113" t="s">
        <v>243</v>
      </c>
      <c r="C79" s="120"/>
      <c r="D79" s="120"/>
      <c r="E79" s="121"/>
    </row>
    <row r="80" spans="1:5" x14ac:dyDescent="0.2">
      <c r="A80" s="117" t="s">
        <v>244</v>
      </c>
      <c r="B80" s="113" t="s">
        <v>245</v>
      </c>
      <c r="C80" s="120"/>
      <c r="D80" s="120"/>
      <c r="E80" s="121"/>
    </row>
    <row r="81" spans="1:5" x14ac:dyDescent="0.2">
      <c r="A81" s="117" t="s">
        <v>246</v>
      </c>
      <c r="B81" s="113" t="s">
        <v>247</v>
      </c>
      <c r="C81" s="120"/>
      <c r="D81" s="120"/>
      <c r="E81" s="121"/>
    </row>
    <row r="82" spans="1:5" x14ac:dyDescent="0.2">
      <c r="A82" s="112" t="s">
        <v>248</v>
      </c>
      <c r="B82" s="113" t="s">
        <v>249</v>
      </c>
      <c r="C82" s="120"/>
      <c r="D82" s="120"/>
      <c r="E82" s="121"/>
    </row>
    <row r="83" spans="1:5" x14ac:dyDescent="0.2">
      <c r="A83" s="117" t="s">
        <v>250</v>
      </c>
      <c r="B83" s="113" t="s">
        <v>251</v>
      </c>
      <c r="C83" s="120"/>
      <c r="D83" s="120"/>
      <c r="E83" s="121"/>
    </row>
    <row r="84" spans="1:5" x14ac:dyDescent="0.2">
      <c r="A84" s="117" t="s">
        <v>252</v>
      </c>
      <c r="B84" s="113" t="s">
        <v>253</v>
      </c>
      <c r="C84" s="120"/>
      <c r="D84" s="120"/>
      <c r="E84" s="121"/>
    </row>
    <row r="85" spans="1:5" x14ac:dyDescent="0.2">
      <c r="A85" s="117" t="s">
        <v>254</v>
      </c>
      <c r="B85" s="113" t="s">
        <v>255</v>
      </c>
      <c r="C85" s="120"/>
      <c r="D85" s="120"/>
      <c r="E85" s="121"/>
    </row>
    <row r="86" spans="1:5" x14ac:dyDescent="0.2">
      <c r="A86" s="122" t="s">
        <v>256</v>
      </c>
      <c r="B86" s="113" t="s">
        <v>257</v>
      </c>
      <c r="C86" s="120"/>
      <c r="D86" s="120"/>
      <c r="E86" s="121"/>
    </row>
    <row r="87" spans="1:5" x14ac:dyDescent="0.2">
      <c r="A87" s="117" t="s">
        <v>258</v>
      </c>
      <c r="B87" s="113" t="s">
        <v>259</v>
      </c>
      <c r="C87" s="120"/>
      <c r="D87" s="120"/>
      <c r="E87" s="121"/>
    </row>
    <row r="88" spans="1:5" x14ac:dyDescent="0.2">
      <c r="A88" s="117"/>
      <c r="B88" s="119" t="s">
        <v>260</v>
      </c>
      <c r="C88" s="121"/>
      <c r="D88" s="123"/>
      <c r="E88" s="124"/>
    </row>
    <row r="89" spans="1:5" x14ac:dyDescent="0.2">
      <c r="A89" s="117" t="s">
        <v>261</v>
      </c>
      <c r="B89" s="113" t="s">
        <v>262</v>
      </c>
    </row>
    <row r="90" spans="1:5" x14ac:dyDescent="0.2">
      <c r="A90" s="112">
        <v>5105180100</v>
      </c>
      <c r="B90" s="113" t="s">
        <v>263</v>
      </c>
    </row>
    <row r="91" spans="1:5" x14ac:dyDescent="0.2">
      <c r="A91" s="114" t="s">
        <v>264</v>
      </c>
      <c r="B91" s="113" t="s">
        <v>265</v>
      </c>
    </row>
    <row r="92" spans="1:5" x14ac:dyDescent="0.2">
      <c r="A92" s="112">
        <v>5105480100</v>
      </c>
      <c r="B92" s="113" t="s">
        <v>266</v>
      </c>
    </row>
    <row r="93" spans="1:5" x14ac:dyDescent="0.2">
      <c r="A93" s="117" t="s">
        <v>267</v>
      </c>
      <c r="B93" s="113" t="s">
        <v>268</v>
      </c>
    </row>
    <row r="94" spans="1:5" x14ac:dyDescent="0.2">
      <c r="A94" s="117" t="s">
        <v>269</v>
      </c>
      <c r="B94" s="113" t="s">
        <v>270</v>
      </c>
    </row>
    <row r="95" spans="1:5" x14ac:dyDescent="0.2">
      <c r="A95" s="117"/>
      <c r="B95" s="119" t="s">
        <v>271</v>
      </c>
    </row>
    <row r="96" spans="1:5" x14ac:dyDescent="0.2">
      <c r="A96" s="112">
        <v>5105180000</v>
      </c>
      <c r="B96" s="113" t="s">
        <v>272</v>
      </c>
      <c r="C96" s="120"/>
      <c r="E96" s="121"/>
    </row>
    <row r="97" spans="1:5" x14ac:dyDescent="0.2">
      <c r="A97" s="117" t="s">
        <v>273</v>
      </c>
      <c r="B97" s="113" t="s">
        <v>274</v>
      </c>
      <c r="C97" s="120"/>
      <c r="E97" s="121"/>
    </row>
    <row r="98" spans="1:5" x14ac:dyDescent="0.2">
      <c r="A98" s="117" t="s">
        <v>275</v>
      </c>
      <c r="B98" s="113" t="s">
        <v>276</v>
      </c>
      <c r="C98" s="120"/>
      <c r="E98" s="121"/>
    </row>
    <row r="99" spans="1:5" x14ac:dyDescent="0.2">
      <c r="A99" s="117" t="s">
        <v>277</v>
      </c>
      <c r="B99" s="113" t="s">
        <v>278</v>
      </c>
      <c r="C99" s="120"/>
      <c r="E99" s="121"/>
    </row>
    <row r="100" spans="1:5" x14ac:dyDescent="0.2">
      <c r="A100" s="112" t="s">
        <v>279</v>
      </c>
      <c r="B100" s="113" t="s">
        <v>280</v>
      </c>
      <c r="C100" s="120"/>
      <c r="E100" s="121"/>
    </row>
    <row r="101" spans="1:5" x14ac:dyDescent="0.2">
      <c r="A101" s="117" t="s">
        <v>281</v>
      </c>
      <c r="B101" s="113" t="s">
        <v>282</v>
      </c>
      <c r="C101" s="120"/>
      <c r="E101" s="121"/>
    </row>
    <row r="102" spans="1:5" x14ac:dyDescent="0.2">
      <c r="A102" s="117" t="s">
        <v>283</v>
      </c>
      <c r="B102" s="113" t="s">
        <v>284</v>
      </c>
      <c r="C102" s="120"/>
      <c r="E102" s="121"/>
    </row>
    <row r="103" spans="1:5" x14ac:dyDescent="0.2">
      <c r="A103" s="112" t="s">
        <v>285</v>
      </c>
      <c r="B103" s="113" t="s">
        <v>286</v>
      </c>
      <c r="C103" s="120"/>
      <c r="E103" s="121"/>
    </row>
    <row r="104" spans="1:5" x14ac:dyDescent="0.2">
      <c r="A104" s="112" t="s">
        <v>287</v>
      </c>
      <c r="B104" s="113" t="s">
        <v>288</v>
      </c>
      <c r="C104" s="120"/>
      <c r="E104" s="121"/>
    </row>
    <row r="105" spans="1:5" x14ac:dyDescent="0.2">
      <c r="A105" s="112">
        <v>5120100000</v>
      </c>
      <c r="B105" s="113" t="s">
        <v>289</v>
      </c>
      <c r="C105" s="120"/>
      <c r="E105" s="121"/>
    </row>
    <row r="106" spans="1:5" x14ac:dyDescent="0.2">
      <c r="A106" s="117" t="s">
        <v>290</v>
      </c>
      <c r="B106" s="113" t="s">
        <v>291</v>
      </c>
      <c r="C106" s="120"/>
      <c r="E106" s="121"/>
    </row>
    <row r="107" spans="1:5" x14ac:dyDescent="0.2">
      <c r="A107" s="117" t="s">
        <v>292</v>
      </c>
      <c r="B107" s="113" t="s">
        <v>293</v>
      </c>
      <c r="C107" s="120"/>
      <c r="E107" s="121"/>
    </row>
    <row r="108" spans="1:5" x14ac:dyDescent="0.2">
      <c r="A108" s="117" t="s">
        <v>294</v>
      </c>
      <c r="B108" s="113" t="s">
        <v>295</v>
      </c>
      <c r="C108" s="120"/>
      <c r="E108" s="121"/>
    </row>
    <row r="109" spans="1:5" x14ac:dyDescent="0.2">
      <c r="A109" s="117" t="s">
        <v>296</v>
      </c>
      <c r="B109" s="113" t="s">
        <v>297</v>
      </c>
      <c r="C109" s="120"/>
      <c r="E109" s="121"/>
    </row>
    <row r="110" spans="1:5" x14ac:dyDescent="0.2">
      <c r="A110" s="117" t="s">
        <v>298</v>
      </c>
      <c r="B110" s="113" t="s">
        <v>299</v>
      </c>
      <c r="C110" s="120"/>
      <c r="E110" s="121"/>
    </row>
    <row r="111" spans="1:5" x14ac:dyDescent="0.2">
      <c r="A111" s="117" t="s">
        <v>300</v>
      </c>
      <c r="B111" s="113" t="s">
        <v>301</v>
      </c>
      <c r="C111" s="120"/>
      <c r="E111" s="121"/>
    </row>
    <row r="112" spans="1:5" x14ac:dyDescent="0.2">
      <c r="A112" s="117" t="s">
        <v>302</v>
      </c>
      <c r="B112" s="113" t="s">
        <v>303</v>
      </c>
      <c r="C112" s="120"/>
      <c r="E112" s="121"/>
    </row>
    <row r="113" spans="1:11" x14ac:dyDescent="0.2">
      <c r="A113" s="117" t="s">
        <v>304</v>
      </c>
      <c r="B113" s="113" t="s">
        <v>305</v>
      </c>
      <c r="C113" s="120"/>
      <c r="E113" s="121"/>
    </row>
    <row r="114" spans="1:11" x14ac:dyDescent="0.2">
      <c r="A114" s="117" t="s">
        <v>306</v>
      </c>
      <c r="B114" s="113" t="s">
        <v>307</v>
      </c>
      <c r="C114" s="120"/>
      <c r="E114" s="121"/>
    </row>
    <row r="115" spans="1:11" x14ac:dyDescent="0.2">
      <c r="A115" s="117" t="s">
        <v>308</v>
      </c>
      <c r="B115" s="113" t="s">
        <v>309</v>
      </c>
      <c r="C115" s="120"/>
      <c r="E115" s="121"/>
    </row>
    <row r="116" spans="1:11" x14ac:dyDescent="0.2">
      <c r="A116" s="112" t="s">
        <v>310</v>
      </c>
      <c r="B116" s="113" t="s">
        <v>311</v>
      </c>
      <c r="C116" s="120"/>
      <c r="E116" s="121"/>
    </row>
    <row r="117" spans="1:11" x14ac:dyDescent="0.2">
      <c r="A117" s="117" t="s">
        <v>312</v>
      </c>
      <c r="B117" s="113" t="s">
        <v>313</v>
      </c>
      <c r="C117" s="120"/>
      <c r="E117" s="121"/>
    </row>
    <row r="118" spans="1:11" x14ac:dyDescent="0.2">
      <c r="A118" s="117" t="s">
        <v>314</v>
      </c>
      <c r="B118" s="113" t="s">
        <v>315</v>
      </c>
      <c r="C118" s="120"/>
      <c r="E118" s="121"/>
    </row>
    <row r="119" spans="1:11" x14ac:dyDescent="0.2">
      <c r="A119" s="117" t="s">
        <v>316</v>
      </c>
      <c r="B119" s="113" t="s">
        <v>317</v>
      </c>
      <c r="C119" s="120"/>
      <c r="E119" s="121"/>
    </row>
    <row r="120" spans="1:11" x14ac:dyDescent="0.2">
      <c r="A120" s="117" t="s">
        <v>318</v>
      </c>
      <c r="B120" s="113" t="s">
        <v>319</v>
      </c>
      <c r="C120" s="120"/>
      <c r="E120" s="121"/>
    </row>
    <row r="121" spans="1:11" x14ac:dyDescent="0.2">
      <c r="A121" s="112" t="s">
        <v>320</v>
      </c>
      <c r="B121" s="113" t="s">
        <v>321</v>
      </c>
      <c r="C121" s="120"/>
      <c r="E121" s="121"/>
    </row>
    <row r="122" spans="1:11" x14ac:dyDescent="0.2">
      <c r="A122" s="117" t="s">
        <v>322</v>
      </c>
      <c r="B122" s="113" t="s">
        <v>323</v>
      </c>
      <c r="C122" s="120"/>
      <c r="E122" s="121"/>
    </row>
    <row r="123" spans="1:11" x14ac:dyDescent="0.2">
      <c r="A123" s="117" t="s">
        <v>324</v>
      </c>
      <c r="B123" s="113" t="s">
        <v>325</v>
      </c>
      <c r="C123" s="120"/>
      <c r="E123" s="121"/>
    </row>
    <row r="124" spans="1:11" x14ac:dyDescent="0.2">
      <c r="A124" s="117" t="s">
        <v>326</v>
      </c>
      <c r="B124" s="113" t="s">
        <v>327</v>
      </c>
      <c r="C124" s="120"/>
      <c r="E124" s="121"/>
    </row>
    <row r="125" spans="1:11" x14ac:dyDescent="0.2">
      <c r="A125" s="117" t="s">
        <v>328</v>
      </c>
      <c r="B125" s="113" t="s">
        <v>329</v>
      </c>
      <c r="C125" s="120"/>
      <c r="E125" s="121"/>
    </row>
    <row r="126" spans="1:11" x14ac:dyDescent="0.2">
      <c r="A126" s="117" t="s">
        <v>330</v>
      </c>
      <c r="B126" s="113" t="s">
        <v>331</v>
      </c>
      <c r="C126" s="120"/>
      <c r="E126" s="114" t="s">
        <v>332</v>
      </c>
      <c r="G126" s="114"/>
      <c r="H126" s="114"/>
      <c r="I126" s="114"/>
      <c r="J126" s="114"/>
      <c r="K126" s="114"/>
    </row>
    <row r="127" spans="1:11" x14ac:dyDescent="0.2">
      <c r="A127" s="117"/>
      <c r="B127" s="119" t="s">
        <v>333</v>
      </c>
      <c r="C127" s="121"/>
      <c r="D127" s="121"/>
      <c r="E127" s="114" t="s">
        <v>334</v>
      </c>
      <c r="F127" s="114" t="s">
        <v>335</v>
      </c>
      <c r="G127" s="114" t="s">
        <v>113</v>
      </c>
      <c r="H127" s="114"/>
      <c r="I127" s="114"/>
      <c r="J127" s="114"/>
      <c r="K127" s="114"/>
    </row>
    <row r="128" spans="1:11" x14ac:dyDescent="0.2">
      <c r="A128" s="117" t="s">
        <v>336</v>
      </c>
      <c r="B128" s="113" t="s">
        <v>337</v>
      </c>
      <c r="E128" s="114" t="s">
        <v>338</v>
      </c>
      <c r="F128" s="114" t="s">
        <v>339</v>
      </c>
      <c r="G128" s="125">
        <v>-2083333</v>
      </c>
      <c r="H128" s="114"/>
      <c r="I128" s="114"/>
      <c r="J128" s="114"/>
      <c r="K128" s="114"/>
    </row>
    <row r="129" spans="1:11" x14ac:dyDescent="0.2">
      <c r="A129" s="117" t="s">
        <v>340</v>
      </c>
      <c r="B129" s="113" t="s">
        <v>341</v>
      </c>
      <c r="E129" s="114" t="s">
        <v>342</v>
      </c>
      <c r="G129" s="125">
        <v>-2083333</v>
      </c>
      <c r="H129" s="114"/>
      <c r="I129" s="114"/>
      <c r="J129" s="114"/>
      <c r="K129" s="114"/>
    </row>
    <row r="130" spans="1:11" x14ac:dyDescent="0.2">
      <c r="A130" s="112">
        <v>5110358000</v>
      </c>
      <c r="B130" s="113" t="s">
        <v>343</v>
      </c>
      <c r="G130" s="114"/>
      <c r="H130" s="114"/>
      <c r="I130" s="114"/>
      <c r="J130" s="114"/>
      <c r="K130" s="114"/>
    </row>
    <row r="131" spans="1:11" x14ac:dyDescent="0.2">
      <c r="A131" s="117"/>
      <c r="B131" s="119" t="s">
        <v>344</v>
      </c>
      <c r="G131" s="114"/>
      <c r="H131" s="114"/>
      <c r="I131" s="114"/>
      <c r="J131" s="114"/>
      <c r="K131" s="114"/>
    </row>
    <row r="132" spans="1:11" x14ac:dyDescent="0.2">
      <c r="A132" s="117" t="s">
        <v>345</v>
      </c>
      <c r="B132" s="113" t="s">
        <v>346</v>
      </c>
      <c r="G132" s="114"/>
      <c r="H132" s="114"/>
      <c r="I132" s="114"/>
      <c r="J132" s="114"/>
      <c r="K132" s="114"/>
    </row>
    <row r="133" spans="1:11" x14ac:dyDescent="0.2">
      <c r="A133" s="117" t="s">
        <v>347</v>
      </c>
      <c r="B133" s="113" t="s">
        <v>348</v>
      </c>
      <c r="G133" s="114"/>
      <c r="H133" s="114"/>
      <c r="I133" s="114"/>
      <c r="J133" s="114"/>
      <c r="K133" s="114"/>
    </row>
    <row r="134" spans="1:11" x14ac:dyDescent="0.2">
      <c r="A134" s="117" t="s">
        <v>349</v>
      </c>
      <c r="B134" s="113" t="s">
        <v>350</v>
      </c>
      <c r="G134" s="114"/>
      <c r="H134" s="114"/>
      <c r="I134" s="114"/>
      <c r="J134" s="114"/>
      <c r="K134" s="114"/>
    </row>
    <row r="135" spans="1:11" x14ac:dyDescent="0.2">
      <c r="A135" s="117" t="s">
        <v>351</v>
      </c>
      <c r="B135" s="113" t="s">
        <v>352</v>
      </c>
      <c r="G135" s="114"/>
      <c r="H135" s="114"/>
      <c r="I135" s="114"/>
      <c r="J135" s="114"/>
      <c r="K135" s="114"/>
    </row>
    <row r="136" spans="1:11" x14ac:dyDescent="0.2">
      <c r="G136" s="114"/>
      <c r="H136" s="114"/>
      <c r="I136" s="114"/>
      <c r="J136" s="114"/>
      <c r="K136" s="114"/>
    </row>
    <row r="137" spans="1:11" x14ac:dyDescent="0.2">
      <c r="A137" s="117"/>
      <c r="B137" s="119" t="s">
        <v>353</v>
      </c>
      <c r="G137" s="114"/>
      <c r="H137" s="114"/>
      <c r="I137" s="114"/>
      <c r="J137" s="114"/>
      <c r="K137" s="114"/>
    </row>
    <row r="138" spans="1:11" x14ac:dyDescent="0.2">
      <c r="A138" s="117" t="s">
        <v>354</v>
      </c>
      <c r="B138" s="113" t="s">
        <v>355</v>
      </c>
      <c r="G138" s="114"/>
      <c r="H138" s="114"/>
      <c r="I138" s="114"/>
      <c r="J138" s="114"/>
      <c r="K138" s="114"/>
    </row>
    <row r="139" spans="1:11" x14ac:dyDescent="0.2">
      <c r="A139" s="117" t="s">
        <v>356</v>
      </c>
      <c r="B139" s="113" t="s">
        <v>357</v>
      </c>
      <c r="G139" s="114"/>
      <c r="H139" s="114"/>
      <c r="I139" s="114"/>
      <c r="J139" s="114"/>
      <c r="K139" s="114"/>
    </row>
    <row r="140" spans="1:11" x14ac:dyDescent="0.2">
      <c r="A140" s="117" t="s">
        <v>358</v>
      </c>
      <c r="B140" s="113" t="s">
        <v>359</v>
      </c>
      <c r="G140" s="114"/>
      <c r="H140" s="114"/>
      <c r="I140" s="114"/>
      <c r="J140" s="114"/>
      <c r="K140" s="114"/>
    </row>
    <row r="141" spans="1:11" x14ac:dyDescent="0.2">
      <c r="A141" s="126" t="s">
        <v>360</v>
      </c>
      <c r="B141" s="113" t="s">
        <v>361</v>
      </c>
      <c r="G141" s="114"/>
    </row>
    <row r="142" spans="1:11" x14ac:dyDescent="0.2">
      <c r="A142" s="126"/>
      <c r="B142" s="119" t="s">
        <v>362</v>
      </c>
      <c r="G142" s="114"/>
    </row>
    <row r="143" spans="1:11" x14ac:dyDescent="0.2">
      <c r="A143" s="117" t="s">
        <v>363</v>
      </c>
      <c r="B143" s="113" t="s">
        <v>364</v>
      </c>
      <c r="G143" s="114"/>
    </row>
    <row r="144" spans="1:11" x14ac:dyDescent="0.2">
      <c r="A144" s="117"/>
      <c r="B144" s="119" t="s">
        <v>365</v>
      </c>
      <c r="G144" s="114"/>
    </row>
    <row r="145" spans="1:7" x14ac:dyDescent="0.2">
      <c r="A145" s="117"/>
      <c r="B145" s="119" t="s">
        <v>366</v>
      </c>
      <c r="G145" s="114"/>
    </row>
    <row r="146" spans="1:7" x14ac:dyDescent="0.2">
      <c r="A146" s="117"/>
      <c r="B146" s="119" t="s">
        <v>367</v>
      </c>
      <c r="G146" s="114"/>
    </row>
    <row r="147" spans="1:7" x14ac:dyDescent="0.2">
      <c r="A147" s="117" t="s">
        <v>368</v>
      </c>
      <c r="B147" s="113" t="s">
        <v>369</v>
      </c>
      <c r="G147" s="114"/>
    </row>
    <row r="148" spans="1:7" x14ac:dyDescent="0.2">
      <c r="G148" s="114"/>
    </row>
    <row r="149" spans="1:7" x14ac:dyDescent="0.2">
      <c r="G149" s="114"/>
    </row>
    <row r="150" spans="1:7" x14ac:dyDescent="0.2">
      <c r="B150" s="114" t="s">
        <v>370</v>
      </c>
    </row>
    <row r="151" spans="1:7" x14ac:dyDescent="0.2">
      <c r="A151" s="117" t="s">
        <v>180</v>
      </c>
      <c r="B151" s="113" t="s">
        <v>181</v>
      </c>
    </row>
    <row r="152" spans="1:7" x14ac:dyDescent="0.2">
      <c r="A152" s="114" t="s">
        <v>182</v>
      </c>
      <c r="B152" s="113" t="s">
        <v>183</v>
      </c>
    </row>
    <row r="153" spans="1:7" x14ac:dyDescent="0.2">
      <c r="A153" s="117" t="s">
        <v>206</v>
      </c>
      <c r="B153" s="113" t="s">
        <v>207</v>
      </c>
    </row>
    <row r="154" spans="1:7" x14ac:dyDescent="0.2">
      <c r="A154" s="114" t="s">
        <v>208</v>
      </c>
      <c r="B154" s="113" t="s">
        <v>209</v>
      </c>
    </row>
    <row r="155" spans="1:7" x14ac:dyDescent="0.2">
      <c r="A155" s="117" t="s">
        <v>261</v>
      </c>
      <c r="B155" s="113" t="s">
        <v>262</v>
      </c>
    </row>
    <row r="156" spans="1:7" x14ac:dyDescent="0.2">
      <c r="A156" s="112">
        <v>5105180100</v>
      </c>
      <c r="B156" s="113" t="s">
        <v>263</v>
      </c>
    </row>
    <row r="157" spans="1:7" x14ac:dyDescent="0.2">
      <c r="A157" s="114" t="s">
        <v>264</v>
      </c>
      <c r="B157" s="113" t="s">
        <v>265</v>
      </c>
    </row>
    <row r="158" spans="1:7" x14ac:dyDescent="0.2">
      <c r="A158" s="112">
        <v>5105180000</v>
      </c>
      <c r="B158" s="113" t="s">
        <v>272</v>
      </c>
    </row>
    <row r="159" spans="1:7" x14ac:dyDescent="0.2">
      <c r="A159" s="117" t="s">
        <v>273</v>
      </c>
      <c r="B159" s="113" t="s">
        <v>274</v>
      </c>
    </row>
    <row r="160" spans="1:7" x14ac:dyDescent="0.2">
      <c r="A160" s="117" t="s">
        <v>275</v>
      </c>
      <c r="B160" s="113" t="s">
        <v>276</v>
      </c>
    </row>
    <row r="161" spans="1:5" x14ac:dyDescent="0.2">
      <c r="A161" s="117" t="s">
        <v>277</v>
      </c>
      <c r="B161" s="113" t="s">
        <v>278</v>
      </c>
    </row>
    <row r="164" spans="1:5" x14ac:dyDescent="0.2">
      <c r="B164" s="114" t="s">
        <v>371</v>
      </c>
    </row>
    <row r="165" spans="1:5" x14ac:dyDescent="0.2">
      <c r="A165" s="114" t="s">
        <v>188</v>
      </c>
      <c r="B165" s="114" t="s">
        <v>189</v>
      </c>
    </row>
    <row r="166" spans="1:5" x14ac:dyDescent="0.2">
      <c r="A166" s="114" t="s">
        <v>267</v>
      </c>
      <c r="B166" s="114" t="s">
        <v>268</v>
      </c>
    </row>
    <row r="167" spans="1:5" x14ac:dyDescent="0.2">
      <c r="A167" s="114" t="s">
        <v>269</v>
      </c>
      <c r="B167" s="114" t="s">
        <v>270</v>
      </c>
    </row>
    <row r="173" spans="1:5" x14ac:dyDescent="0.2">
      <c r="A173" s="127" t="s">
        <v>372</v>
      </c>
    </row>
    <row r="174" spans="1:5" x14ac:dyDescent="0.2">
      <c r="A174" s="115" t="s">
        <v>373</v>
      </c>
      <c r="E174" s="114" t="s">
        <v>374</v>
      </c>
    </row>
    <row r="175" spans="1:5" x14ac:dyDescent="0.2">
      <c r="A175" s="114" t="s">
        <v>375</v>
      </c>
      <c r="B175" s="114" t="s">
        <v>376</v>
      </c>
    </row>
    <row r="176" spans="1:5" x14ac:dyDescent="0.2">
      <c r="A176" s="114">
        <v>4155950000</v>
      </c>
      <c r="B176" s="114" t="s">
        <v>377</v>
      </c>
    </row>
    <row r="177" spans="1:5" x14ac:dyDescent="0.2">
      <c r="A177" s="114">
        <v>4155950100</v>
      </c>
      <c r="B177" s="114" t="s">
        <v>378</v>
      </c>
    </row>
    <row r="178" spans="1:5" x14ac:dyDescent="0.2">
      <c r="A178" s="114">
        <v>4155951500</v>
      </c>
      <c r="B178" s="114" t="s">
        <v>379</v>
      </c>
    </row>
    <row r="179" spans="1:5" x14ac:dyDescent="0.2">
      <c r="A179" s="114">
        <v>4135950900</v>
      </c>
      <c r="B179" s="114" t="s">
        <v>380</v>
      </c>
    </row>
    <row r="180" spans="1:5" x14ac:dyDescent="0.2">
      <c r="A180" s="114">
        <v>4135950000</v>
      </c>
      <c r="B180" s="114" t="s">
        <v>381</v>
      </c>
      <c r="E180" s="114">
        <v>4135950000</v>
      </c>
    </row>
    <row r="181" spans="1:5" x14ac:dyDescent="0.2">
      <c r="A181" s="114">
        <v>4155950500</v>
      </c>
      <c r="B181" s="114" t="s">
        <v>381</v>
      </c>
    </row>
    <row r="182" spans="1:5" x14ac:dyDescent="0.2">
      <c r="A182" s="114">
        <v>4170250300</v>
      </c>
      <c r="B182" s="114" t="s">
        <v>381</v>
      </c>
    </row>
    <row r="183" spans="1:5" x14ac:dyDescent="0.2">
      <c r="A183" s="114" t="s">
        <v>382</v>
      </c>
      <c r="B183" s="114" t="s">
        <v>383</v>
      </c>
    </row>
    <row r="184" spans="1:5" x14ac:dyDescent="0.2">
      <c r="A184" s="114">
        <v>6135950000</v>
      </c>
      <c r="B184" s="114" t="s">
        <v>384</v>
      </c>
    </row>
    <row r="186" spans="1:5" x14ac:dyDescent="0.2">
      <c r="B186" s="114" t="s">
        <v>385</v>
      </c>
    </row>
    <row r="187" spans="1:5" x14ac:dyDescent="0.2">
      <c r="A187" s="114">
        <v>5205180100</v>
      </c>
      <c r="B187" s="114" t="s">
        <v>386</v>
      </c>
      <c r="C187" s="114" t="s">
        <v>387</v>
      </c>
    </row>
    <row r="188" spans="1:5" x14ac:dyDescent="0.2">
      <c r="A188" s="114">
        <v>5205361000</v>
      </c>
      <c r="B188" s="114" t="s">
        <v>388</v>
      </c>
      <c r="C188" s="114" t="s">
        <v>389</v>
      </c>
      <c r="D188" s="114" t="s">
        <v>113</v>
      </c>
    </row>
    <row r="189" spans="1:5" x14ac:dyDescent="0.2">
      <c r="A189" s="114">
        <v>5205391000</v>
      </c>
      <c r="B189" s="114" t="s">
        <v>388</v>
      </c>
      <c r="C189" s="114" t="s">
        <v>390</v>
      </c>
      <c r="D189" s="114">
        <v>4638.9799999999996</v>
      </c>
    </row>
    <row r="190" spans="1:5" x14ac:dyDescent="0.2">
      <c r="A190" s="114">
        <v>5205422000</v>
      </c>
      <c r="B190" s="114" t="s">
        <v>388</v>
      </c>
      <c r="C190" s="114" t="s">
        <v>391</v>
      </c>
      <c r="D190" s="114">
        <v>1230.26</v>
      </c>
    </row>
    <row r="191" spans="1:5" x14ac:dyDescent="0.2">
      <c r="A191" s="114">
        <v>5205691000</v>
      </c>
      <c r="B191" s="114" t="s">
        <v>388</v>
      </c>
      <c r="C191" s="114" t="s">
        <v>392</v>
      </c>
      <c r="D191" s="114">
        <v>307.56</v>
      </c>
    </row>
    <row r="192" spans="1:5" x14ac:dyDescent="0.2">
      <c r="A192" s="114">
        <v>5205701000</v>
      </c>
      <c r="B192" s="114" t="s">
        <v>388</v>
      </c>
      <c r="C192" s="114" t="s">
        <v>393</v>
      </c>
      <c r="D192" s="114">
        <v>896.8</v>
      </c>
    </row>
    <row r="193" spans="1:4" x14ac:dyDescent="0.2">
      <c r="A193" s="114">
        <v>5160200000</v>
      </c>
      <c r="B193" s="114" t="s">
        <v>394</v>
      </c>
      <c r="C193" s="114" t="s">
        <v>395</v>
      </c>
      <c r="D193" s="114">
        <v>604.20000000000005</v>
      </c>
    </row>
    <row r="194" spans="1:4" x14ac:dyDescent="0.2">
      <c r="A194" s="114">
        <v>5260100000</v>
      </c>
      <c r="B194" s="114" t="s">
        <v>394</v>
      </c>
      <c r="C194" s="114" t="s">
        <v>396</v>
      </c>
      <c r="D194" s="114">
        <v>27.16</v>
      </c>
    </row>
    <row r="195" spans="1:4" x14ac:dyDescent="0.2">
      <c r="A195" s="114">
        <v>5260200000</v>
      </c>
      <c r="B195" s="114" t="s">
        <v>394</v>
      </c>
      <c r="C195" s="114" t="s">
        <v>342</v>
      </c>
      <c r="D195" s="114">
        <v>7704.96</v>
      </c>
    </row>
    <row r="196" spans="1:4" x14ac:dyDescent="0.2">
      <c r="A196" s="114">
        <v>5260150000</v>
      </c>
      <c r="B196" s="114" t="s">
        <v>394</v>
      </c>
    </row>
    <row r="197" spans="1:4" x14ac:dyDescent="0.2">
      <c r="A197" s="114">
        <v>5260350000</v>
      </c>
      <c r="B197" s="114" t="s">
        <v>394</v>
      </c>
    </row>
    <row r="198" spans="1:4" x14ac:dyDescent="0.2">
      <c r="A198" s="114">
        <v>5160150000</v>
      </c>
      <c r="B198" s="114" t="s">
        <v>397</v>
      </c>
    </row>
    <row r="199" spans="1:4" x14ac:dyDescent="0.2">
      <c r="A199" s="114">
        <v>5145150100</v>
      </c>
      <c r="B199" s="114" t="s">
        <v>398</v>
      </c>
    </row>
    <row r="200" spans="1:4" x14ac:dyDescent="0.2">
      <c r="A200" s="114">
        <v>5235300000</v>
      </c>
      <c r="B200" s="114" t="s">
        <v>398</v>
      </c>
    </row>
    <row r="201" spans="1:4" x14ac:dyDescent="0.2">
      <c r="A201" s="114">
        <v>5245100000</v>
      </c>
      <c r="B201" s="114" t="s">
        <v>398</v>
      </c>
    </row>
    <row r="202" spans="1:4" x14ac:dyDescent="0.2">
      <c r="A202" s="114">
        <v>5245150000</v>
      </c>
      <c r="B202" s="114" t="s">
        <v>398</v>
      </c>
    </row>
    <row r="203" spans="1:4" x14ac:dyDescent="0.2">
      <c r="A203" s="114">
        <v>5245150100</v>
      </c>
      <c r="B203" s="114" t="s">
        <v>398</v>
      </c>
    </row>
    <row r="204" spans="1:4" x14ac:dyDescent="0.2">
      <c r="A204" s="114">
        <v>5245200000</v>
      </c>
      <c r="B204" s="114" t="s">
        <v>398</v>
      </c>
    </row>
    <row r="205" spans="1:4" x14ac:dyDescent="0.2">
      <c r="A205" s="114">
        <v>5245250000</v>
      </c>
      <c r="B205" s="114" t="s">
        <v>398</v>
      </c>
    </row>
    <row r="206" spans="1:4" x14ac:dyDescent="0.2">
      <c r="A206" s="114">
        <v>5250050000</v>
      </c>
      <c r="B206" s="114" t="s">
        <v>398</v>
      </c>
    </row>
    <row r="207" spans="1:4" x14ac:dyDescent="0.2">
      <c r="A207" s="114">
        <v>5250100000</v>
      </c>
      <c r="B207" s="114" t="s">
        <v>398</v>
      </c>
    </row>
    <row r="208" spans="1:4" x14ac:dyDescent="0.2">
      <c r="A208" s="114">
        <v>5250950000</v>
      </c>
      <c r="B208" s="114" t="s">
        <v>398</v>
      </c>
    </row>
    <row r="209" spans="1:2" x14ac:dyDescent="0.2">
      <c r="A209" s="114">
        <v>5295250000</v>
      </c>
      <c r="B209" s="114" t="s">
        <v>398</v>
      </c>
    </row>
    <row r="210" spans="1:2" x14ac:dyDescent="0.2">
      <c r="A210" s="114">
        <v>5295950300</v>
      </c>
      <c r="B210" s="114" t="s">
        <v>398</v>
      </c>
    </row>
    <row r="211" spans="1:2" x14ac:dyDescent="0.2">
      <c r="A211" s="114">
        <v>5235050000</v>
      </c>
      <c r="B211" s="114" t="s">
        <v>399</v>
      </c>
    </row>
    <row r="212" spans="1:2" x14ac:dyDescent="0.2">
      <c r="A212" s="114">
        <v>5235200000</v>
      </c>
      <c r="B212" s="114" t="s">
        <v>399</v>
      </c>
    </row>
    <row r="213" spans="1:2" x14ac:dyDescent="0.2">
      <c r="A213" s="114">
        <v>5235950100</v>
      </c>
      <c r="B213" s="114" t="s">
        <v>399</v>
      </c>
    </row>
    <row r="214" spans="1:2" x14ac:dyDescent="0.2">
      <c r="A214" s="114">
        <v>5235950400</v>
      </c>
      <c r="B214" s="114" t="s">
        <v>399</v>
      </c>
    </row>
    <row r="215" spans="1:2" x14ac:dyDescent="0.2">
      <c r="A215" s="114">
        <v>5235950500</v>
      </c>
      <c r="B215" s="114" t="s">
        <v>399</v>
      </c>
    </row>
    <row r="216" spans="1:2" x14ac:dyDescent="0.2">
      <c r="A216" s="114">
        <v>5235950600</v>
      </c>
      <c r="B216" s="114" t="s">
        <v>399</v>
      </c>
    </row>
    <row r="217" spans="1:2" x14ac:dyDescent="0.2">
      <c r="A217" s="114">
        <v>5235950600</v>
      </c>
      <c r="B217" s="114" t="s">
        <v>399</v>
      </c>
    </row>
    <row r="218" spans="1:2" x14ac:dyDescent="0.2">
      <c r="A218" s="114">
        <v>5235950600</v>
      </c>
      <c r="B218" s="114" t="s">
        <v>399</v>
      </c>
    </row>
    <row r="219" spans="1:2" x14ac:dyDescent="0.2">
      <c r="A219" s="114">
        <v>5295950500</v>
      </c>
      <c r="B219" s="114" t="s">
        <v>399</v>
      </c>
    </row>
    <row r="220" spans="1:2" x14ac:dyDescent="0.2">
      <c r="A220" s="114">
        <v>5295950100</v>
      </c>
      <c r="B220" s="114" t="s">
        <v>400</v>
      </c>
    </row>
    <row r="221" spans="1:2" x14ac:dyDescent="0.2">
      <c r="A221" s="114">
        <v>5299100000</v>
      </c>
      <c r="B221" s="114" t="s">
        <v>401</v>
      </c>
    </row>
    <row r="222" spans="1:2" x14ac:dyDescent="0.2">
      <c r="A222" s="114">
        <v>5160100000</v>
      </c>
      <c r="B222" s="114" t="s">
        <v>402</v>
      </c>
    </row>
    <row r="223" spans="1:2" x14ac:dyDescent="0.2">
      <c r="B223" s="114" t="s">
        <v>403</v>
      </c>
    </row>
    <row r="224" spans="1:2" x14ac:dyDescent="0.2">
      <c r="A224" s="114">
        <v>5205630100</v>
      </c>
      <c r="B224" s="114" t="s">
        <v>404</v>
      </c>
    </row>
    <row r="225" spans="1:2" x14ac:dyDescent="0.2">
      <c r="A225" s="114">
        <v>5205630200</v>
      </c>
      <c r="B225" s="114" t="s">
        <v>404</v>
      </c>
    </row>
    <row r="226" spans="1:2" x14ac:dyDescent="0.2">
      <c r="A226" s="114">
        <v>5205060100</v>
      </c>
      <c r="B226" s="114" t="s">
        <v>405</v>
      </c>
    </row>
    <row r="227" spans="1:2" x14ac:dyDescent="0.2">
      <c r="A227" s="114">
        <v>5205150100</v>
      </c>
      <c r="B227" s="114" t="s">
        <v>405</v>
      </c>
    </row>
    <row r="228" spans="1:2" x14ac:dyDescent="0.2">
      <c r="A228" s="114">
        <v>5205360100</v>
      </c>
      <c r="B228" s="114" t="s">
        <v>406</v>
      </c>
    </row>
    <row r="229" spans="1:2" x14ac:dyDescent="0.2">
      <c r="A229" s="114">
        <v>5205390100</v>
      </c>
      <c r="B229" s="114" t="s">
        <v>406</v>
      </c>
    </row>
    <row r="230" spans="1:2" x14ac:dyDescent="0.2">
      <c r="A230" s="114">
        <v>5205600100</v>
      </c>
      <c r="B230" s="114" t="s">
        <v>406</v>
      </c>
    </row>
    <row r="231" spans="1:2" x14ac:dyDescent="0.2">
      <c r="A231" s="114">
        <v>5205690100</v>
      </c>
      <c r="B231" s="114" t="s">
        <v>406</v>
      </c>
    </row>
    <row r="232" spans="1:2" x14ac:dyDescent="0.2">
      <c r="A232" s="114">
        <v>5205700100</v>
      </c>
      <c r="B232" s="114" t="s">
        <v>406</v>
      </c>
    </row>
    <row r="233" spans="1:2" x14ac:dyDescent="0.2">
      <c r="A233" s="114">
        <v>5205700100</v>
      </c>
      <c r="B233" s="114" t="s">
        <v>406</v>
      </c>
    </row>
    <row r="234" spans="1:2" x14ac:dyDescent="0.2">
      <c r="A234" s="114">
        <v>5205700200</v>
      </c>
      <c r="B234" s="114" t="s">
        <v>406</v>
      </c>
    </row>
    <row r="235" spans="1:2" x14ac:dyDescent="0.2">
      <c r="A235" s="114">
        <v>5205780100</v>
      </c>
      <c r="B235" s="114" t="s">
        <v>406</v>
      </c>
    </row>
    <row r="236" spans="1:2" x14ac:dyDescent="0.2">
      <c r="A236" s="114">
        <v>5205660100</v>
      </c>
      <c r="B236" s="114" t="s">
        <v>407</v>
      </c>
    </row>
    <row r="237" spans="1:2" x14ac:dyDescent="0.2">
      <c r="A237" s="114">
        <v>5210250000</v>
      </c>
      <c r="B237" s="114" t="s">
        <v>408</v>
      </c>
    </row>
    <row r="238" spans="1:2" x14ac:dyDescent="0.2">
      <c r="A238" s="114">
        <v>5210350000</v>
      </c>
      <c r="B238" s="114" t="s">
        <v>408</v>
      </c>
    </row>
    <row r="239" spans="1:2" x14ac:dyDescent="0.2">
      <c r="A239" s="114">
        <v>5210950000</v>
      </c>
      <c r="B239" s="114" t="s">
        <v>408</v>
      </c>
    </row>
    <row r="240" spans="1:2" x14ac:dyDescent="0.2">
      <c r="A240" s="114">
        <v>5115950000</v>
      </c>
      <c r="B240" s="114" t="s">
        <v>409</v>
      </c>
    </row>
    <row r="241" spans="1:2" x14ac:dyDescent="0.2">
      <c r="A241" s="114">
        <v>5215100000</v>
      </c>
      <c r="B241" s="114" t="s">
        <v>409</v>
      </c>
    </row>
    <row r="242" spans="1:2" x14ac:dyDescent="0.2">
      <c r="A242" s="114">
        <v>5215950000</v>
      </c>
      <c r="B242" s="114" t="s">
        <v>409</v>
      </c>
    </row>
    <row r="243" spans="1:2" x14ac:dyDescent="0.2">
      <c r="A243" s="114">
        <v>5240100000</v>
      </c>
      <c r="B243" s="114" t="s">
        <v>409</v>
      </c>
    </row>
    <row r="244" spans="1:2" x14ac:dyDescent="0.2">
      <c r="A244" s="114">
        <v>5240150000</v>
      </c>
      <c r="B244" s="114" t="s">
        <v>409</v>
      </c>
    </row>
    <row r="245" spans="1:2" x14ac:dyDescent="0.2">
      <c r="A245" s="114">
        <v>5245400000</v>
      </c>
      <c r="B245" s="114" t="s">
        <v>410</v>
      </c>
    </row>
    <row r="246" spans="1:2" x14ac:dyDescent="0.2">
      <c r="A246" s="114">
        <v>5295350000</v>
      </c>
      <c r="B246" s="114" t="s">
        <v>410</v>
      </c>
    </row>
    <row r="247" spans="1:2" x14ac:dyDescent="0.2">
      <c r="A247" s="114">
        <v>5295100000</v>
      </c>
      <c r="B247" s="114" t="s">
        <v>411</v>
      </c>
    </row>
    <row r="248" spans="1:2" x14ac:dyDescent="0.2">
      <c r="A248" s="114">
        <v>5295300000</v>
      </c>
      <c r="B248" s="114" t="s">
        <v>411</v>
      </c>
    </row>
    <row r="249" spans="1:2" x14ac:dyDescent="0.2">
      <c r="A249" s="114">
        <v>5235600000</v>
      </c>
      <c r="B249" s="114" t="s">
        <v>412</v>
      </c>
    </row>
    <row r="250" spans="1:2" x14ac:dyDescent="0.2">
      <c r="A250" s="114">
        <v>5235350000</v>
      </c>
      <c r="B250" s="114" t="s">
        <v>413</v>
      </c>
    </row>
    <row r="251" spans="1:2" x14ac:dyDescent="0.2">
      <c r="A251" s="114">
        <v>5235400100</v>
      </c>
      <c r="B251" s="114" t="s">
        <v>413</v>
      </c>
    </row>
    <row r="252" spans="1:2" x14ac:dyDescent="0.2">
      <c r="A252" s="114">
        <v>5235400200</v>
      </c>
      <c r="B252" s="114" t="s">
        <v>413</v>
      </c>
    </row>
    <row r="253" spans="1:2" x14ac:dyDescent="0.2">
      <c r="A253" s="114">
        <v>5235450000</v>
      </c>
      <c r="B253" s="114" t="s">
        <v>413</v>
      </c>
    </row>
    <row r="254" spans="1:2" x14ac:dyDescent="0.2">
      <c r="A254" s="114">
        <v>5230250000</v>
      </c>
      <c r="B254" s="114" t="s">
        <v>414</v>
      </c>
    </row>
    <row r="255" spans="1:2" x14ac:dyDescent="0.2">
      <c r="A255" s="114">
        <v>5230950000</v>
      </c>
      <c r="B255" s="114" t="s">
        <v>414</v>
      </c>
    </row>
    <row r="256" spans="1:2" x14ac:dyDescent="0.2">
      <c r="A256" s="114">
        <v>5295700000</v>
      </c>
      <c r="B256" s="114" t="s">
        <v>414</v>
      </c>
    </row>
    <row r="257" spans="1:2" x14ac:dyDescent="0.2">
      <c r="A257" s="114">
        <v>5225100000</v>
      </c>
      <c r="B257" s="114" t="s">
        <v>415</v>
      </c>
    </row>
    <row r="258" spans="1:2" x14ac:dyDescent="0.2">
      <c r="A258" s="114">
        <v>5205480100</v>
      </c>
      <c r="B258" s="114" t="s">
        <v>416</v>
      </c>
    </row>
    <row r="259" spans="1:2" x14ac:dyDescent="0.2">
      <c r="A259" s="114">
        <v>5205480200</v>
      </c>
      <c r="B259" s="114" t="s">
        <v>416</v>
      </c>
    </row>
    <row r="260" spans="1:2" x14ac:dyDescent="0.2">
      <c r="A260" s="114">
        <v>5205481000</v>
      </c>
      <c r="B260" s="114" t="s">
        <v>416</v>
      </c>
    </row>
    <row r="261" spans="1:2" x14ac:dyDescent="0.2">
      <c r="A261" s="114">
        <v>5205481100</v>
      </c>
      <c r="B261" s="114" t="s">
        <v>416</v>
      </c>
    </row>
    <row r="262" spans="1:2" x14ac:dyDescent="0.2">
      <c r="A262" s="114">
        <v>5205210100</v>
      </c>
      <c r="B262" s="114" t="s">
        <v>417</v>
      </c>
    </row>
    <row r="263" spans="1:2" x14ac:dyDescent="0.2">
      <c r="A263" s="114">
        <v>5205210200</v>
      </c>
      <c r="B263" s="114" t="s">
        <v>417</v>
      </c>
    </row>
    <row r="264" spans="1:2" x14ac:dyDescent="0.2">
      <c r="A264" s="114">
        <v>5255050100</v>
      </c>
      <c r="B264" s="114" t="s">
        <v>417</v>
      </c>
    </row>
    <row r="265" spans="1:2" x14ac:dyDescent="0.2">
      <c r="A265" s="114">
        <v>5255060100</v>
      </c>
      <c r="B265" s="114" t="s">
        <v>417</v>
      </c>
    </row>
    <row r="266" spans="1:2" x14ac:dyDescent="0.2">
      <c r="A266" s="114">
        <v>5255150100</v>
      </c>
      <c r="B266" s="114" t="s">
        <v>417</v>
      </c>
    </row>
    <row r="267" spans="1:2" x14ac:dyDescent="0.2">
      <c r="A267" s="114">
        <v>5255200100</v>
      </c>
      <c r="B267" s="114" t="s">
        <v>417</v>
      </c>
    </row>
    <row r="268" spans="1:2" x14ac:dyDescent="0.2">
      <c r="A268" s="114">
        <v>5255200200</v>
      </c>
      <c r="B268" s="114" t="s">
        <v>417</v>
      </c>
    </row>
    <row r="269" spans="1:2" x14ac:dyDescent="0.2">
      <c r="A269" s="114">
        <v>5255950100</v>
      </c>
      <c r="B269" s="114" t="s">
        <v>417</v>
      </c>
    </row>
    <row r="270" spans="1:2" x14ac:dyDescent="0.2">
      <c r="A270" s="114">
        <v>5240050000</v>
      </c>
      <c r="B270" s="114" t="s">
        <v>418</v>
      </c>
    </row>
    <row r="271" spans="1:2" x14ac:dyDescent="0.2">
      <c r="A271" s="114">
        <v>5240200400</v>
      </c>
      <c r="B271" s="114" t="s">
        <v>418</v>
      </c>
    </row>
    <row r="272" spans="1:2" x14ac:dyDescent="0.2">
      <c r="A272" s="114">
        <v>5220050000</v>
      </c>
      <c r="B272" s="114" t="s">
        <v>419</v>
      </c>
    </row>
    <row r="273" spans="1:2" x14ac:dyDescent="0.2">
      <c r="A273" s="114">
        <v>5220100000</v>
      </c>
      <c r="B273" s="114" t="s">
        <v>419</v>
      </c>
    </row>
    <row r="274" spans="1:2" x14ac:dyDescent="0.2">
      <c r="A274" s="114">
        <v>5220100100</v>
      </c>
      <c r="B274" s="114" t="s">
        <v>419</v>
      </c>
    </row>
    <row r="275" spans="1:2" x14ac:dyDescent="0.2">
      <c r="A275" s="114">
        <v>5220950000</v>
      </c>
      <c r="B275" s="114" t="s">
        <v>419</v>
      </c>
    </row>
    <row r="278" spans="1:2" x14ac:dyDescent="0.2">
      <c r="B278" s="114" t="s">
        <v>420</v>
      </c>
    </row>
    <row r="279" spans="1:2" x14ac:dyDescent="0.2">
      <c r="A279" s="114">
        <v>5105060000</v>
      </c>
      <c r="B279" s="114" t="s">
        <v>421</v>
      </c>
    </row>
    <row r="280" spans="1:2" x14ac:dyDescent="0.2">
      <c r="A280" s="114">
        <v>5105150000</v>
      </c>
      <c r="B280" s="114" t="s">
        <v>421</v>
      </c>
    </row>
    <row r="281" spans="1:2" x14ac:dyDescent="0.2">
      <c r="A281" s="114">
        <v>5105360000</v>
      </c>
      <c r="B281" s="114" t="s">
        <v>422</v>
      </c>
    </row>
    <row r="282" spans="1:2" x14ac:dyDescent="0.2">
      <c r="A282" s="114">
        <v>5105390000</v>
      </c>
      <c r="B282" s="114" t="s">
        <v>422</v>
      </c>
    </row>
    <row r="283" spans="1:2" x14ac:dyDescent="0.2">
      <c r="A283" s="114">
        <v>5105600000</v>
      </c>
      <c r="B283" s="114" t="s">
        <v>422</v>
      </c>
    </row>
    <row r="284" spans="1:2" x14ac:dyDescent="0.2">
      <c r="A284" s="114">
        <v>5105690000</v>
      </c>
      <c r="B284" s="114" t="s">
        <v>422</v>
      </c>
    </row>
    <row r="285" spans="1:2" x14ac:dyDescent="0.2">
      <c r="A285" s="114">
        <v>5105700000</v>
      </c>
      <c r="B285" s="114" t="s">
        <v>422</v>
      </c>
    </row>
    <row r="286" spans="1:2" x14ac:dyDescent="0.2">
      <c r="A286" s="114">
        <v>5105780000</v>
      </c>
      <c r="B286" s="114" t="s">
        <v>422</v>
      </c>
    </row>
    <row r="287" spans="1:2" x14ac:dyDescent="0.2">
      <c r="A287" s="114">
        <v>5105950000</v>
      </c>
      <c r="B287" s="114" t="s">
        <v>422</v>
      </c>
    </row>
    <row r="288" spans="1:2" x14ac:dyDescent="0.2">
      <c r="A288" s="114">
        <v>5105180000</v>
      </c>
      <c r="B288" s="114" t="s">
        <v>423</v>
      </c>
    </row>
    <row r="289" spans="1:2" x14ac:dyDescent="0.2">
      <c r="A289" s="114">
        <v>5105630000</v>
      </c>
      <c r="B289" s="114" t="s">
        <v>424</v>
      </c>
    </row>
    <row r="290" spans="1:2" x14ac:dyDescent="0.2">
      <c r="A290" s="114">
        <v>5105391000</v>
      </c>
      <c r="B290" s="114" t="s">
        <v>425</v>
      </c>
    </row>
    <row r="291" spans="1:2" x14ac:dyDescent="0.2">
      <c r="A291" s="114">
        <v>5105691000</v>
      </c>
      <c r="B291" s="114" t="s">
        <v>425</v>
      </c>
    </row>
    <row r="292" spans="1:2" x14ac:dyDescent="0.2">
      <c r="A292" s="114">
        <v>5105701000</v>
      </c>
      <c r="B292" s="114" t="s">
        <v>425</v>
      </c>
    </row>
    <row r="293" spans="1:2" x14ac:dyDescent="0.2">
      <c r="A293" s="114">
        <v>5135050000</v>
      </c>
      <c r="B293" s="114" t="s">
        <v>399</v>
      </c>
    </row>
    <row r="294" spans="1:2" x14ac:dyDescent="0.2">
      <c r="A294" s="114">
        <v>5135150000</v>
      </c>
      <c r="B294" s="114" t="s">
        <v>399</v>
      </c>
    </row>
    <row r="295" spans="1:2" x14ac:dyDescent="0.2">
      <c r="A295" s="114">
        <v>5135200000</v>
      </c>
      <c r="B295" s="114" t="s">
        <v>399</v>
      </c>
    </row>
    <row r="296" spans="1:2" x14ac:dyDescent="0.2">
      <c r="A296" s="114">
        <v>5135950500</v>
      </c>
      <c r="B296" s="114" t="s">
        <v>399</v>
      </c>
    </row>
    <row r="297" spans="1:2" x14ac:dyDescent="0.2">
      <c r="A297" s="114">
        <v>5120100000</v>
      </c>
      <c r="B297" s="114" t="s">
        <v>426</v>
      </c>
    </row>
    <row r="298" spans="1:2" x14ac:dyDescent="0.2">
      <c r="A298" s="114">
        <v>5105660000</v>
      </c>
      <c r="B298" s="114" t="s">
        <v>427</v>
      </c>
    </row>
    <row r="299" spans="1:2" x14ac:dyDescent="0.2">
      <c r="A299" s="114">
        <v>5155960000</v>
      </c>
      <c r="B299" s="114" t="s">
        <v>427</v>
      </c>
    </row>
    <row r="300" spans="1:2" x14ac:dyDescent="0.2">
      <c r="A300" s="114">
        <v>5195950300</v>
      </c>
      <c r="B300" s="114" t="s">
        <v>428</v>
      </c>
    </row>
    <row r="301" spans="1:2" x14ac:dyDescent="0.2">
      <c r="A301" s="114">
        <v>5110100000</v>
      </c>
      <c r="B301" s="114" t="s">
        <v>429</v>
      </c>
    </row>
    <row r="302" spans="1:2" x14ac:dyDescent="0.2">
      <c r="A302" s="114">
        <v>5110200000</v>
      </c>
      <c r="B302" s="114" t="s">
        <v>429</v>
      </c>
    </row>
    <row r="303" spans="1:2" x14ac:dyDescent="0.2">
      <c r="A303" s="114">
        <v>5110250000</v>
      </c>
      <c r="B303" s="114" t="s">
        <v>429</v>
      </c>
    </row>
    <row r="304" spans="1:2" x14ac:dyDescent="0.2">
      <c r="A304" s="114">
        <v>5110300000</v>
      </c>
      <c r="B304" s="114" t="s">
        <v>429</v>
      </c>
    </row>
    <row r="305" spans="1:2" x14ac:dyDescent="0.2">
      <c r="A305" s="114">
        <v>5110350000</v>
      </c>
      <c r="B305" s="114" t="s">
        <v>429</v>
      </c>
    </row>
    <row r="306" spans="1:2" x14ac:dyDescent="0.2">
      <c r="A306" s="114">
        <v>5110950000</v>
      </c>
      <c r="B306" s="114" t="s">
        <v>429</v>
      </c>
    </row>
    <row r="307" spans="1:2" x14ac:dyDescent="0.2">
      <c r="A307" s="114">
        <v>5130</v>
      </c>
      <c r="B307" s="114" t="s">
        <v>430</v>
      </c>
    </row>
    <row r="308" spans="1:2" x14ac:dyDescent="0.2">
      <c r="A308" s="114">
        <v>5145400000</v>
      </c>
      <c r="B308" s="114" t="s">
        <v>431</v>
      </c>
    </row>
    <row r="309" spans="1:2" x14ac:dyDescent="0.2">
      <c r="A309" s="114">
        <v>5195350000</v>
      </c>
      <c r="B309" s="114" t="s">
        <v>431</v>
      </c>
    </row>
    <row r="310" spans="1:2" x14ac:dyDescent="0.2">
      <c r="A310" s="114">
        <v>5195300000</v>
      </c>
      <c r="B310" s="114" t="s">
        <v>411</v>
      </c>
    </row>
    <row r="311" spans="1:2" x14ac:dyDescent="0.2">
      <c r="A311" s="114">
        <v>5135350000</v>
      </c>
      <c r="B311" s="114" t="s">
        <v>432</v>
      </c>
    </row>
    <row r="312" spans="1:2" x14ac:dyDescent="0.2">
      <c r="A312" s="114">
        <v>5145050000</v>
      </c>
      <c r="B312" s="114" t="s">
        <v>433</v>
      </c>
    </row>
    <row r="313" spans="1:2" x14ac:dyDescent="0.2">
      <c r="A313" s="114">
        <v>5145100000</v>
      </c>
      <c r="B313" s="114" t="s">
        <v>433</v>
      </c>
    </row>
    <row r="314" spans="1:2" x14ac:dyDescent="0.2">
      <c r="A314" s="114">
        <v>5145200000</v>
      </c>
      <c r="B314" s="114" t="s">
        <v>433</v>
      </c>
    </row>
    <row r="315" spans="1:2" x14ac:dyDescent="0.2">
      <c r="A315" s="114">
        <v>5145250000</v>
      </c>
      <c r="B315" s="114" t="s">
        <v>433</v>
      </c>
    </row>
    <row r="316" spans="1:2" x14ac:dyDescent="0.2">
      <c r="A316" s="114">
        <v>5150050000</v>
      </c>
      <c r="B316" s="114" t="s">
        <v>433</v>
      </c>
    </row>
    <row r="317" spans="1:2" x14ac:dyDescent="0.2">
      <c r="A317" s="114">
        <v>5150100000</v>
      </c>
      <c r="B317" s="114" t="s">
        <v>433</v>
      </c>
    </row>
    <row r="318" spans="1:2" x14ac:dyDescent="0.2">
      <c r="A318" s="114">
        <v>5150150000</v>
      </c>
      <c r="B318" s="114" t="s">
        <v>433</v>
      </c>
    </row>
    <row r="319" spans="1:2" x14ac:dyDescent="0.2">
      <c r="A319" s="114">
        <v>5150950000</v>
      </c>
      <c r="B319" s="114" t="s">
        <v>433</v>
      </c>
    </row>
    <row r="320" spans="1:2" x14ac:dyDescent="0.2">
      <c r="A320" s="114">
        <v>5195150000</v>
      </c>
      <c r="B320" s="114" t="s">
        <v>433</v>
      </c>
    </row>
    <row r="321" spans="1:2" x14ac:dyDescent="0.2">
      <c r="A321" s="114">
        <v>5195250000</v>
      </c>
      <c r="B321" s="114" t="s">
        <v>433</v>
      </c>
    </row>
    <row r="322" spans="1:2" x14ac:dyDescent="0.2">
      <c r="A322" s="114">
        <v>5195400000</v>
      </c>
      <c r="B322" s="114" t="s">
        <v>433</v>
      </c>
    </row>
    <row r="323" spans="1:2" x14ac:dyDescent="0.2">
      <c r="A323" s="128">
        <v>5140050000</v>
      </c>
      <c r="B323" s="114" t="s">
        <v>434</v>
      </c>
    </row>
    <row r="324" spans="1:2" x14ac:dyDescent="0.2">
      <c r="A324" s="128">
        <v>5140100000</v>
      </c>
      <c r="B324" s="114" t="s">
        <v>435</v>
      </c>
    </row>
    <row r="325" spans="1:2" x14ac:dyDescent="0.2">
      <c r="A325" s="114">
        <v>5105210000</v>
      </c>
      <c r="B325" s="114" t="s">
        <v>436</v>
      </c>
    </row>
    <row r="326" spans="1:2" x14ac:dyDescent="0.2">
      <c r="A326" s="114">
        <v>5155050000</v>
      </c>
      <c r="B326" s="114" t="s">
        <v>436</v>
      </c>
    </row>
    <row r="327" spans="1:2" x14ac:dyDescent="0.2">
      <c r="A327" s="114">
        <v>5155060000</v>
      </c>
      <c r="B327" s="114" t="s">
        <v>436</v>
      </c>
    </row>
    <row r="328" spans="1:2" x14ac:dyDescent="0.2">
      <c r="A328" s="114">
        <v>5155150000</v>
      </c>
      <c r="B328" s="114" t="s">
        <v>436</v>
      </c>
    </row>
    <row r="329" spans="1:2" x14ac:dyDescent="0.2">
      <c r="A329" s="114">
        <v>5155200000</v>
      </c>
      <c r="B329" s="114" t="s">
        <v>436</v>
      </c>
    </row>
    <row r="330" spans="1:2" x14ac:dyDescent="0.2">
      <c r="A330" s="114">
        <v>5155950000</v>
      </c>
      <c r="B330" s="114" t="s">
        <v>436</v>
      </c>
    </row>
    <row r="332" spans="1:2" x14ac:dyDescent="0.2">
      <c r="B332" s="114" t="s">
        <v>437</v>
      </c>
    </row>
    <row r="333" spans="1:2" x14ac:dyDescent="0.2">
      <c r="A333" s="114">
        <v>5135950300</v>
      </c>
      <c r="B333" s="114" t="s">
        <v>438</v>
      </c>
    </row>
    <row r="334" spans="1:2" x14ac:dyDescent="0.2">
      <c r="A334" s="114">
        <v>5198530000</v>
      </c>
      <c r="B334" s="114" t="s">
        <v>438</v>
      </c>
    </row>
    <row r="335" spans="1:2" x14ac:dyDescent="0.2">
      <c r="A335" s="114">
        <v>5398050000</v>
      </c>
      <c r="B335" s="114" t="s">
        <v>438</v>
      </c>
    </row>
    <row r="336" spans="1:2" x14ac:dyDescent="0.2">
      <c r="A336" s="114">
        <v>5398210000</v>
      </c>
      <c r="B336" s="114" t="s">
        <v>439</v>
      </c>
    </row>
    <row r="337" spans="1:2" x14ac:dyDescent="0.2">
      <c r="A337" s="114">
        <v>5110358000</v>
      </c>
      <c r="B337" s="114" t="s">
        <v>440</v>
      </c>
    </row>
    <row r="338" spans="1:2" x14ac:dyDescent="0.2">
      <c r="A338" s="114">
        <v>5210358000</v>
      </c>
      <c r="B338" s="114" t="s">
        <v>440</v>
      </c>
    </row>
    <row r="340" spans="1:2" x14ac:dyDescent="0.2">
      <c r="B340" s="114" t="s">
        <v>441</v>
      </c>
    </row>
    <row r="341" spans="1:2" x14ac:dyDescent="0.2">
      <c r="A341" s="114">
        <v>4210200100</v>
      </c>
      <c r="B341" s="114" t="s">
        <v>442</v>
      </c>
    </row>
    <row r="342" spans="1:2" x14ac:dyDescent="0.2">
      <c r="A342" s="114">
        <v>4210200200</v>
      </c>
      <c r="B342" s="114" t="s">
        <v>442</v>
      </c>
    </row>
    <row r="343" spans="1:2" x14ac:dyDescent="0.2">
      <c r="A343" s="114">
        <v>4210200400</v>
      </c>
      <c r="B343" s="114" t="s">
        <v>443</v>
      </c>
    </row>
    <row r="344" spans="1:2" x14ac:dyDescent="0.2">
      <c r="A344" s="114">
        <v>4210200500</v>
      </c>
      <c r="B344" s="114" t="s">
        <v>443</v>
      </c>
    </row>
    <row r="345" spans="1:2" x14ac:dyDescent="0.2">
      <c r="A345" s="114">
        <v>4210200501</v>
      </c>
      <c r="B345" s="114" t="s">
        <v>443</v>
      </c>
    </row>
    <row r="346" spans="1:2" x14ac:dyDescent="0.2">
      <c r="A346" s="114">
        <v>4210201000</v>
      </c>
      <c r="B346" s="114" t="s">
        <v>443</v>
      </c>
    </row>
    <row r="347" spans="1:2" x14ac:dyDescent="0.2">
      <c r="A347" s="114">
        <v>4210201001</v>
      </c>
      <c r="B347" s="114" t="s">
        <v>443</v>
      </c>
    </row>
    <row r="348" spans="1:2" x14ac:dyDescent="0.2">
      <c r="A348" s="114">
        <v>4210201100</v>
      </c>
      <c r="B348" s="114" t="s">
        <v>443</v>
      </c>
    </row>
    <row r="349" spans="1:2" x14ac:dyDescent="0.2">
      <c r="A349" s="114">
        <v>4210051000</v>
      </c>
      <c r="B349" s="114" t="s">
        <v>444</v>
      </c>
    </row>
    <row r="350" spans="1:2" x14ac:dyDescent="0.2">
      <c r="A350" s="114">
        <v>4210201000</v>
      </c>
      <c r="B350" s="114" t="s">
        <v>444</v>
      </c>
    </row>
    <row r="351" spans="1:2" x14ac:dyDescent="0.2">
      <c r="A351" s="114">
        <v>4210400000</v>
      </c>
      <c r="B351" s="114" t="s">
        <v>444</v>
      </c>
    </row>
    <row r="352" spans="1:2" x14ac:dyDescent="0.2">
      <c r="A352" s="114">
        <v>4245010000</v>
      </c>
      <c r="B352" s="114" t="s">
        <v>444</v>
      </c>
    </row>
    <row r="353" spans="1:2" x14ac:dyDescent="0.2">
      <c r="A353" s="114">
        <v>4250500100</v>
      </c>
      <c r="B353" s="114" t="s">
        <v>444</v>
      </c>
    </row>
    <row r="354" spans="1:2" x14ac:dyDescent="0.2">
      <c r="A354" s="114">
        <v>4250500200</v>
      </c>
      <c r="B354" s="114" t="s">
        <v>444</v>
      </c>
    </row>
    <row r="355" spans="1:2" x14ac:dyDescent="0.2">
      <c r="A355" s="114">
        <v>4250500300</v>
      </c>
      <c r="B355" s="114" t="s">
        <v>444</v>
      </c>
    </row>
    <row r="356" spans="1:2" x14ac:dyDescent="0.2">
      <c r="A356" s="114">
        <v>4250506600</v>
      </c>
      <c r="B356" s="114" t="s">
        <v>444</v>
      </c>
    </row>
    <row r="357" spans="1:2" x14ac:dyDescent="0.2">
      <c r="A357" s="114">
        <v>4255200000</v>
      </c>
      <c r="B357" s="114" t="s">
        <v>444</v>
      </c>
    </row>
    <row r="358" spans="1:2" x14ac:dyDescent="0.2">
      <c r="A358" s="114">
        <v>4295050000</v>
      </c>
      <c r="B358" s="114" t="s">
        <v>444</v>
      </c>
    </row>
    <row r="359" spans="1:2" x14ac:dyDescent="0.2">
      <c r="A359" s="114">
        <v>4295810000</v>
      </c>
      <c r="B359" s="114" t="s">
        <v>444</v>
      </c>
    </row>
    <row r="361" spans="1:2" x14ac:dyDescent="0.2">
      <c r="B361" s="114" t="s">
        <v>445</v>
      </c>
    </row>
    <row r="362" spans="1:2" x14ac:dyDescent="0.2">
      <c r="A362" s="114">
        <v>5305350000</v>
      </c>
      <c r="B362" s="114" t="s">
        <v>446</v>
      </c>
    </row>
    <row r="363" spans="1:2" x14ac:dyDescent="0.2">
      <c r="A363" s="114">
        <v>5310150000</v>
      </c>
      <c r="B363" s="114" t="s">
        <v>446</v>
      </c>
    </row>
    <row r="364" spans="1:2" x14ac:dyDescent="0.2">
      <c r="A364" s="114">
        <v>5310300000</v>
      </c>
      <c r="B364" s="114" t="s">
        <v>446</v>
      </c>
    </row>
    <row r="365" spans="1:2" x14ac:dyDescent="0.2">
      <c r="A365" s="114">
        <v>5310350000</v>
      </c>
      <c r="B365" s="114" t="s">
        <v>446</v>
      </c>
    </row>
    <row r="366" spans="1:2" x14ac:dyDescent="0.2">
      <c r="A366" s="114">
        <v>5313050000</v>
      </c>
      <c r="B366" s="114" t="s">
        <v>446</v>
      </c>
    </row>
    <row r="367" spans="1:2" x14ac:dyDescent="0.2">
      <c r="A367" s="114">
        <v>5315150200</v>
      </c>
      <c r="B367" s="114" t="s">
        <v>446</v>
      </c>
    </row>
    <row r="368" spans="1:2" x14ac:dyDescent="0.2">
      <c r="A368" s="114">
        <v>5315160000</v>
      </c>
      <c r="B368" s="114" t="s">
        <v>446</v>
      </c>
    </row>
    <row r="369" spans="1:3" x14ac:dyDescent="0.2">
      <c r="A369" s="114">
        <v>5315200000</v>
      </c>
      <c r="B369" s="114" t="s">
        <v>446</v>
      </c>
    </row>
    <row r="370" spans="1:3" x14ac:dyDescent="0.2">
      <c r="A370" s="114">
        <v>5315200100</v>
      </c>
      <c r="B370" s="114" t="s">
        <v>446</v>
      </c>
    </row>
    <row r="371" spans="1:3" x14ac:dyDescent="0.2">
      <c r="A371" s="114">
        <v>5315950000</v>
      </c>
      <c r="B371" s="114" t="s">
        <v>446</v>
      </c>
    </row>
    <row r="372" spans="1:3" x14ac:dyDescent="0.2">
      <c r="A372" s="114">
        <v>5395200000</v>
      </c>
      <c r="B372" s="114" t="s">
        <v>446</v>
      </c>
    </row>
    <row r="373" spans="1:3" x14ac:dyDescent="0.2">
      <c r="A373" s="114">
        <v>5395300000</v>
      </c>
      <c r="B373" s="114" t="s">
        <v>446</v>
      </c>
    </row>
    <row r="374" spans="1:3" x14ac:dyDescent="0.2">
      <c r="A374" s="114">
        <v>5395950000</v>
      </c>
      <c r="B374" s="114" t="s">
        <v>446</v>
      </c>
    </row>
    <row r="375" spans="1:3" x14ac:dyDescent="0.2">
      <c r="A375" s="114">
        <v>5305250500</v>
      </c>
      <c r="B375" s="114" t="s">
        <v>447</v>
      </c>
    </row>
    <row r="376" spans="1:3" x14ac:dyDescent="0.2">
      <c r="A376" s="114">
        <v>5305050000</v>
      </c>
      <c r="B376" s="114" t="s">
        <v>448</v>
      </c>
      <c r="C376" s="114">
        <v>5305050000</v>
      </c>
    </row>
    <row r="377" spans="1:3" x14ac:dyDescent="0.2">
      <c r="A377" s="114">
        <v>5305150000</v>
      </c>
      <c r="B377" s="114" t="s">
        <v>448</v>
      </c>
      <c r="C377" s="114">
        <v>5305200100</v>
      </c>
    </row>
    <row r="378" spans="1:3" x14ac:dyDescent="0.2">
      <c r="A378" s="114">
        <v>5305200100</v>
      </c>
      <c r="B378" s="114" t="s">
        <v>448</v>
      </c>
      <c r="C378" s="114">
        <v>5305202200</v>
      </c>
    </row>
    <row r="379" spans="1:3" x14ac:dyDescent="0.2">
      <c r="A379" s="114">
        <v>5305200200</v>
      </c>
      <c r="B379" s="114" t="s">
        <v>448</v>
      </c>
      <c r="C379" s="114">
        <v>5305150000</v>
      </c>
    </row>
    <row r="380" spans="1:3" x14ac:dyDescent="0.2">
      <c r="A380" s="114">
        <v>5305200300</v>
      </c>
      <c r="B380" s="114" t="s">
        <v>448</v>
      </c>
      <c r="C380" s="114">
        <v>5305200101</v>
      </c>
    </row>
    <row r="381" spans="1:3" x14ac:dyDescent="0.2">
      <c r="A381" s="114">
        <v>5305200400</v>
      </c>
      <c r="B381" s="114" t="s">
        <v>448</v>
      </c>
    </row>
    <row r="382" spans="1:3" x14ac:dyDescent="0.2">
      <c r="A382" s="114">
        <v>5305950000</v>
      </c>
      <c r="B382" s="114" t="s">
        <v>448</v>
      </c>
    </row>
    <row r="383" spans="1:3" x14ac:dyDescent="0.2">
      <c r="A383" s="114">
        <v>5315150000</v>
      </c>
      <c r="B383" s="114" t="s">
        <v>448</v>
      </c>
    </row>
    <row r="385" spans="1:2" x14ac:dyDescent="0.2">
      <c r="A385" s="114">
        <v>5405050100</v>
      </c>
      <c r="B385" s="114" t="s">
        <v>449</v>
      </c>
    </row>
    <row r="389" spans="1:2" x14ac:dyDescent="0.2">
      <c r="B389" s="114" t="s">
        <v>370</v>
      </c>
    </row>
    <row r="390" spans="1:2" x14ac:dyDescent="0.2">
      <c r="A390" s="114">
        <v>5205180100</v>
      </c>
      <c r="B390" s="114" t="s">
        <v>386</v>
      </c>
    </row>
    <row r="391" spans="1:2" x14ac:dyDescent="0.2">
      <c r="A391" s="114">
        <v>5205361000</v>
      </c>
      <c r="B391" s="114" t="s">
        <v>388</v>
      </c>
    </row>
    <row r="392" spans="1:2" x14ac:dyDescent="0.2">
      <c r="A392" s="114">
        <v>5205391000</v>
      </c>
      <c r="B392" s="114" t="s">
        <v>388</v>
      </c>
    </row>
    <row r="393" spans="1:2" x14ac:dyDescent="0.2">
      <c r="A393" s="114">
        <v>5205422000</v>
      </c>
      <c r="B393" s="114" t="s">
        <v>388</v>
      </c>
    </row>
    <row r="394" spans="1:2" x14ac:dyDescent="0.2">
      <c r="A394" s="114">
        <v>5205691000</v>
      </c>
      <c r="B394" s="114" t="s">
        <v>388</v>
      </c>
    </row>
    <row r="395" spans="1:2" x14ac:dyDescent="0.2">
      <c r="A395" s="114">
        <v>5205701000</v>
      </c>
      <c r="B395" s="114" t="s">
        <v>388</v>
      </c>
    </row>
    <row r="396" spans="1:2" x14ac:dyDescent="0.2">
      <c r="A396" s="114">
        <v>5205060100</v>
      </c>
      <c r="B396" s="114" t="s">
        <v>405</v>
      </c>
    </row>
    <row r="397" spans="1:2" x14ac:dyDescent="0.2">
      <c r="A397" s="114">
        <v>5205150100</v>
      </c>
      <c r="B397" s="114" t="s">
        <v>405</v>
      </c>
    </row>
    <row r="398" spans="1:2" x14ac:dyDescent="0.2">
      <c r="A398" s="114">
        <v>5205360100</v>
      </c>
      <c r="B398" s="114" t="s">
        <v>406</v>
      </c>
    </row>
    <row r="399" spans="1:2" x14ac:dyDescent="0.2">
      <c r="A399" s="114">
        <v>5205390100</v>
      </c>
      <c r="B399" s="114" t="s">
        <v>406</v>
      </c>
    </row>
    <row r="400" spans="1:2" x14ac:dyDescent="0.2">
      <c r="A400" s="114">
        <v>5205600100</v>
      </c>
      <c r="B400" s="114" t="s">
        <v>406</v>
      </c>
    </row>
    <row r="401" spans="1:2" x14ac:dyDescent="0.2">
      <c r="A401" s="114">
        <v>5205690100</v>
      </c>
      <c r="B401" s="114" t="s">
        <v>406</v>
      </c>
    </row>
    <row r="402" spans="1:2" x14ac:dyDescent="0.2">
      <c r="A402" s="114">
        <v>5205700100</v>
      </c>
      <c r="B402" s="114" t="s">
        <v>406</v>
      </c>
    </row>
    <row r="403" spans="1:2" x14ac:dyDescent="0.2">
      <c r="A403" s="114">
        <v>5205700100</v>
      </c>
      <c r="B403" s="114" t="s">
        <v>406</v>
      </c>
    </row>
    <row r="404" spans="1:2" x14ac:dyDescent="0.2">
      <c r="A404" s="114">
        <v>5205700200</v>
      </c>
      <c r="B404" s="114" t="s">
        <v>406</v>
      </c>
    </row>
    <row r="405" spans="1:2" x14ac:dyDescent="0.2">
      <c r="A405" s="114">
        <v>5205780100</v>
      </c>
      <c r="B405" s="114" t="s">
        <v>406</v>
      </c>
    </row>
    <row r="406" spans="1:2" x14ac:dyDescent="0.2">
      <c r="A406" s="114">
        <v>5105060000</v>
      </c>
      <c r="B406" s="114" t="s">
        <v>421</v>
      </c>
    </row>
    <row r="407" spans="1:2" x14ac:dyDescent="0.2">
      <c r="A407" s="114">
        <v>5105150000</v>
      </c>
      <c r="B407" s="114" t="s">
        <v>421</v>
      </c>
    </row>
    <row r="408" spans="1:2" x14ac:dyDescent="0.2">
      <c r="A408" s="114">
        <v>5105360000</v>
      </c>
      <c r="B408" s="114" t="s">
        <v>422</v>
      </c>
    </row>
    <row r="409" spans="1:2" x14ac:dyDescent="0.2">
      <c r="A409" s="114">
        <v>5105390000</v>
      </c>
      <c r="B409" s="114" t="s">
        <v>422</v>
      </c>
    </row>
    <row r="410" spans="1:2" x14ac:dyDescent="0.2">
      <c r="A410" s="114">
        <v>5105600000</v>
      </c>
      <c r="B410" s="114" t="s">
        <v>422</v>
      </c>
    </row>
    <row r="411" spans="1:2" x14ac:dyDescent="0.2">
      <c r="A411" s="114">
        <v>5105690000</v>
      </c>
      <c r="B411" s="114" t="s">
        <v>422</v>
      </c>
    </row>
    <row r="412" spans="1:2" x14ac:dyDescent="0.2">
      <c r="A412" s="114">
        <v>5105700000</v>
      </c>
      <c r="B412" s="114" t="s">
        <v>422</v>
      </c>
    </row>
    <row r="413" spans="1:2" x14ac:dyDescent="0.2">
      <c r="A413" s="114">
        <v>5105780000</v>
      </c>
      <c r="B413" s="114" t="s">
        <v>422</v>
      </c>
    </row>
    <row r="414" spans="1:2" x14ac:dyDescent="0.2">
      <c r="A414" s="114">
        <v>5105950000</v>
      </c>
      <c r="B414" s="114" t="s">
        <v>422</v>
      </c>
    </row>
    <row r="415" spans="1:2" x14ac:dyDescent="0.2">
      <c r="A415" s="114">
        <v>5105180000</v>
      </c>
      <c r="B415" s="114" t="s">
        <v>423</v>
      </c>
    </row>
    <row r="416" spans="1:2" x14ac:dyDescent="0.2">
      <c r="A416" s="114">
        <v>5105391000</v>
      </c>
      <c r="B416" s="114" t="s">
        <v>425</v>
      </c>
    </row>
    <row r="417" spans="1:3" x14ac:dyDescent="0.2">
      <c r="A417" s="114">
        <v>5105691000</v>
      </c>
      <c r="B417" s="114" t="s">
        <v>425</v>
      </c>
    </row>
    <row r="418" spans="1:3" x14ac:dyDescent="0.2">
      <c r="A418" s="114">
        <v>5105701000</v>
      </c>
      <c r="B418" s="114" t="s">
        <v>425</v>
      </c>
    </row>
    <row r="421" spans="1:3" x14ac:dyDescent="0.2">
      <c r="A421" s="114">
        <v>5160100000</v>
      </c>
      <c r="B421" s="114" t="s">
        <v>450</v>
      </c>
      <c r="C421" s="114" t="s">
        <v>451</v>
      </c>
    </row>
    <row r="427" spans="1:3" x14ac:dyDescent="0.2">
      <c r="A427" s="115" t="s">
        <v>452</v>
      </c>
    </row>
    <row r="428" spans="1:3" x14ac:dyDescent="0.2">
      <c r="A428" s="114">
        <v>1105050100</v>
      </c>
      <c r="B428" s="114" t="s">
        <v>453</v>
      </c>
      <c r="C428" s="116">
        <v>0</v>
      </c>
    </row>
    <row r="429" spans="1:3" x14ac:dyDescent="0.2">
      <c r="A429" s="114">
        <v>1105100200</v>
      </c>
      <c r="B429" s="114" t="s">
        <v>454</v>
      </c>
      <c r="C429" s="116">
        <v>7650000</v>
      </c>
    </row>
    <row r="430" spans="1:3" x14ac:dyDescent="0.2">
      <c r="A430" s="114">
        <v>1110050101</v>
      </c>
      <c r="B430" s="114" t="s">
        <v>455</v>
      </c>
      <c r="C430" s="116">
        <v>87094833.519999996</v>
      </c>
    </row>
    <row r="431" spans="1:3" x14ac:dyDescent="0.2">
      <c r="A431" s="114">
        <v>1110050106</v>
      </c>
      <c r="B431" s="114" t="s">
        <v>456</v>
      </c>
      <c r="C431" s="116">
        <v>4020934.46</v>
      </c>
    </row>
    <row r="432" spans="1:3" x14ac:dyDescent="0.2">
      <c r="A432" s="114">
        <v>1110050108</v>
      </c>
      <c r="B432" s="114" t="s">
        <v>457</v>
      </c>
      <c r="C432" s="116">
        <v>2182803.0099999998</v>
      </c>
    </row>
    <row r="433" spans="1:3" x14ac:dyDescent="0.2">
      <c r="A433" s="114">
        <v>1110050110</v>
      </c>
      <c r="B433" s="114" t="s">
        <v>458</v>
      </c>
      <c r="C433" s="116">
        <v>562187.67000000004</v>
      </c>
    </row>
    <row r="434" spans="1:3" x14ac:dyDescent="0.2">
      <c r="A434" s="114">
        <v>1110050111</v>
      </c>
      <c r="B434" s="114" t="s">
        <v>459</v>
      </c>
      <c r="C434" s="116">
        <v>4855691.87</v>
      </c>
    </row>
    <row r="435" spans="1:3" x14ac:dyDescent="0.2">
      <c r="A435" s="114">
        <v>1110100101</v>
      </c>
      <c r="B435" s="114" t="s">
        <v>460</v>
      </c>
      <c r="C435" s="116">
        <v>6300643.9299999997</v>
      </c>
    </row>
    <row r="436" spans="1:3" x14ac:dyDescent="0.2">
      <c r="A436" s="114">
        <v>1125100200</v>
      </c>
      <c r="B436" s="114" t="s">
        <v>461</v>
      </c>
      <c r="C436" s="116">
        <v>1355004.36</v>
      </c>
    </row>
    <row r="437" spans="1:3" x14ac:dyDescent="0.2">
      <c r="A437" s="114">
        <v>1130050100</v>
      </c>
      <c r="B437" s="114" t="s">
        <v>462</v>
      </c>
      <c r="C437" s="116">
        <v>377428.44</v>
      </c>
    </row>
    <row r="438" spans="1:3" x14ac:dyDescent="0.2">
      <c r="A438" s="115"/>
      <c r="C438" s="116">
        <f>SUM(C428:C437)</f>
        <v>114399527.26000001</v>
      </c>
    </row>
    <row r="439" spans="1:3" x14ac:dyDescent="0.2">
      <c r="A439" s="115"/>
    </row>
    <row r="440" spans="1:3" x14ac:dyDescent="0.2">
      <c r="A440" s="114">
        <v>1101</v>
      </c>
      <c r="B440" s="114" t="s">
        <v>463</v>
      </c>
    </row>
    <row r="441" spans="1:3" x14ac:dyDescent="0.2">
      <c r="A441" s="114">
        <v>1102</v>
      </c>
      <c r="B441" s="114" t="s">
        <v>464</v>
      </c>
    </row>
    <row r="442" spans="1:3" x14ac:dyDescent="0.2">
      <c r="A442" s="114">
        <v>1103</v>
      </c>
      <c r="B442" s="114" t="s">
        <v>465</v>
      </c>
    </row>
    <row r="443" spans="1:3" x14ac:dyDescent="0.2">
      <c r="A443" s="114">
        <v>1104</v>
      </c>
      <c r="B443" s="114" t="s">
        <v>466</v>
      </c>
    </row>
    <row r="444" spans="1:3" x14ac:dyDescent="0.2">
      <c r="A444" s="114" t="s">
        <v>467</v>
      </c>
      <c r="B444" s="114" t="s">
        <v>468</v>
      </c>
    </row>
    <row r="445" spans="1:3" x14ac:dyDescent="0.2">
      <c r="A445" s="114">
        <v>1106</v>
      </c>
      <c r="B445" s="114" t="s">
        <v>469</v>
      </c>
    </row>
    <row r="446" spans="1:3" x14ac:dyDescent="0.2">
      <c r="B446" s="114" t="s">
        <v>470</v>
      </c>
    </row>
    <row r="448" spans="1:3" x14ac:dyDescent="0.2">
      <c r="B448" s="114" t="s">
        <v>471</v>
      </c>
    </row>
    <row r="450" spans="1:2" x14ac:dyDescent="0.2">
      <c r="B450" s="114" t="s">
        <v>98</v>
      </c>
    </row>
    <row r="451" spans="1:2" x14ac:dyDescent="0.2">
      <c r="A451" s="114">
        <v>1201</v>
      </c>
      <c r="B451" s="114" t="s">
        <v>472</v>
      </c>
    </row>
    <row r="452" spans="1:2" x14ac:dyDescent="0.2">
      <c r="A452" s="114">
        <v>1202</v>
      </c>
      <c r="B452" s="114" t="s">
        <v>473</v>
      </c>
    </row>
    <row r="453" spans="1:2" x14ac:dyDescent="0.2">
      <c r="A453" s="114">
        <v>1203</v>
      </c>
      <c r="B453" s="114" t="s">
        <v>474</v>
      </c>
    </row>
    <row r="454" spans="1:2" x14ac:dyDescent="0.2">
      <c r="A454" s="114">
        <v>1204</v>
      </c>
      <c r="B454" s="114" t="s">
        <v>475</v>
      </c>
    </row>
    <row r="455" spans="1:2" x14ac:dyDescent="0.2">
      <c r="A455" s="114">
        <v>1205</v>
      </c>
      <c r="B455" s="114" t="s">
        <v>476</v>
      </c>
    </row>
    <row r="456" spans="1:2" x14ac:dyDescent="0.2">
      <c r="A456" s="114">
        <v>1206</v>
      </c>
      <c r="B456" s="114" t="s">
        <v>477</v>
      </c>
    </row>
    <row r="458" spans="1:2" x14ac:dyDescent="0.2">
      <c r="B458" s="114" t="s">
        <v>478</v>
      </c>
    </row>
    <row r="460" spans="1:2" x14ac:dyDescent="0.2">
      <c r="B460" s="114" t="s">
        <v>479</v>
      </c>
    </row>
    <row r="461" spans="1:2" x14ac:dyDescent="0.2">
      <c r="A461" s="114">
        <v>1208</v>
      </c>
      <c r="B461" s="114" t="s">
        <v>480</v>
      </c>
    </row>
    <row r="463" spans="1:2" x14ac:dyDescent="0.2">
      <c r="B463" s="114" t="s">
        <v>99</v>
      </c>
    </row>
    <row r="464" spans="1:2" x14ac:dyDescent="0.2">
      <c r="A464" s="114" t="s">
        <v>481</v>
      </c>
      <c r="B464" s="114" t="s">
        <v>482</v>
      </c>
    </row>
    <row r="465" spans="1:2" x14ac:dyDescent="0.2">
      <c r="A465" s="114">
        <v>1210</v>
      </c>
      <c r="B465" s="114" t="s">
        <v>483</v>
      </c>
    </row>
    <row r="466" spans="1:2" x14ac:dyDescent="0.2">
      <c r="A466" s="114">
        <v>1211</v>
      </c>
      <c r="B466" s="114" t="s">
        <v>484</v>
      </c>
    </row>
    <row r="467" spans="1:2" x14ac:dyDescent="0.2">
      <c r="A467" s="114">
        <v>1212</v>
      </c>
      <c r="B467" s="114" t="s">
        <v>485</v>
      </c>
    </row>
    <row r="468" spans="1:2" x14ac:dyDescent="0.2">
      <c r="B468" s="114" t="s">
        <v>486</v>
      </c>
    </row>
    <row r="470" spans="1:2" x14ac:dyDescent="0.2">
      <c r="B470" s="114" t="s">
        <v>100</v>
      </c>
    </row>
    <row r="471" spans="1:2" x14ac:dyDescent="0.2">
      <c r="A471" s="114">
        <v>1214</v>
      </c>
      <c r="B471" s="114" t="s">
        <v>487</v>
      </c>
    </row>
    <row r="472" spans="1:2" x14ac:dyDescent="0.2">
      <c r="A472" s="114">
        <v>1242</v>
      </c>
      <c r="B472" s="114" t="s">
        <v>488</v>
      </c>
    </row>
    <row r="473" spans="1:2" x14ac:dyDescent="0.2">
      <c r="A473" s="114">
        <v>1243</v>
      </c>
      <c r="B473" s="114" t="s">
        <v>489</v>
      </c>
    </row>
    <row r="474" spans="1:2" x14ac:dyDescent="0.2">
      <c r="A474" s="114">
        <v>1244</v>
      </c>
      <c r="B474" s="114" t="s">
        <v>490</v>
      </c>
    </row>
    <row r="475" spans="1:2" x14ac:dyDescent="0.2">
      <c r="A475" s="114">
        <v>1245</v>
      </c>
      <c r="B475" s="114" t="s">
        <v>491</v>
      </c>
    </row>
    <row r="476" spans="1:2" x14ac:dyDescent="0.2">
      <c r="A476" s="114">
        <v>1246</v>
      </c>
      <c r="B476" s="114" t="s">
        <v>492</v>
      </c>
    </row>
    <row r="477" spans="1:2" x14ac:dyDescent="0.2">
      <c r="A477" s="114">
        <v>1215</v>
      </c>
      <c r="B477" s="114" t="s">
        <v>493</v>
      </c>
    </row>
    <row r="478" spans="1:2" x14ac:dyDescent="0.2">
      <c r="A478" s="114">
        <v>1216</v>
      </c>
      <c r="B478" s="114" t="s">
        <v>494</v>
      </c>
    </row>
    <row r="479" spans="1:2" x14ac:dyDescent="0.2">
      <c r="A479" s="114">
        <v>1217</v>
      </c>
      <c r="B479" s="114" t="s">
        <v>495</v>
      </c>
    </row>
    <row r="480" spans="1:2" x14ac:dyDescent="0.2">
      <c r="A480" s="114">
        <v>1218</v>
      </c>
      <c r="B480" s="114" t="s">
        <v>496</v>
      </c>
    </row>
    <row r="481" spans="1:2" x14ac:dyDescent="0.2">
      <c r="A481" s="114">
        <v>1219</v>
      </c>
      <c r="B481" s="114" t="s">
        <v>497</v>
      </c>
    </row>
    <row r="482" spans="1:2" x14ac:dyDescent="0.2">
      <c r="A482" s="114">
        <v>1220</v>
      </c>
      <c r="B482" s="114" t="s">
        <v>498</v>
      </c>
    </row>
    <row r="483" spans="1:2" x14ac:dyDescent="0.2">
      <c r="A483" s="114">
        <v>1221</v>
      </c>
      <c r="B483" s="114" t="s">
        <v>499</v>
      </c>
    </row>
    <row r="484" spans="1:2" x14ac:dyDescent="0.2">
      <c r="A484" s="114">
        <v>1222</v>
      </c>
      <c r="B484" s="114" t="s">
        <v>500</v>
      </c>
    </row>
    <row r="485" spans="1:2" x14ac:dyDescent="0.2">
      <c r="A485" s="114">
        <v>1223</v>
      </c>
      <c r="B485" s="114" t="s">
        <v>501</v>
      </c>
    </row>
    <row r="486" spans="1:2" x14ac:dyDescent="0.2">
      <c r="A486" s="114">
        <v>1224</v>
      </c>
      <c r="B486" s="114" t="s">
        <v>502</v>
      </c>
    </row>
    <row r="487" spans="1:2" x14ac:dyDescent="0.2">
      <c r="A487" s="114">
        <v>1225</v>
      </c>
      <c r="B487" s="114" t="s">
        <v>503</v>
      </c>
    </row>
    <row r="488" spans="1:2" x14ac:dyDescent="0.2">
      <c r="A488" s="114">
        <v>1226</v>
      </c>
      <c r="B488" s="114" t="s">
        <v>504</v>
      </c>
    </row>
    <row r="489" spans="1:2" x14ac:dyDescent="0.2">
      <c r="A489" s="114">
        <v>1227</v>
      </c>
      <c r="B489" s="114" t="s">
        <v>505</v>
      </c>
    </row>
    <row r="490" spans="1:2" x14ac:dyDescent="0.2">
      <c r="A490" s="114">
        <v>1228</v>
      </c>
      <c r="B490" s="114" t="s">
        <v>506</v>
      </c>
    </row>
    <row r="491" spans="1:2" x14ac:dyDescent="0.2">
      <c r="A491" s="114">
        <v>1229</v>
      </c>
      <c r="B491" s="114" t="s">
        <v>507</v>
      </c>
    </row>
    <row r="492" spans="1:2" x14ac:dyDescent="0.2">
      <c r="A492" s="114">
        <v>1230</v>
      </c>
      <c r="B492" s="114" t="s">
        <v>508</v>
      </c>
    </row>
    <row r="493" spans="1:2" x14ac:dyDescent="0.2">
      <c r="A493" s="114">
        <v>1231</v>
      </c>
      <c r="B493" s="114" t="s">
        <v>509</v>
      </c>
    </row>
    <row r="494" spans="1:2" x14ac:dyDescent="0.2">
      <c r="A494" s="114">
        <v>1232</v>
      </c>
      <c r="B494" s="114" t="s">
        <v>510</v>
      </c>
    </row>
    <row r="495" spans="1:2" x14ac:dyDescent="0.2">
      <c r="A495" s="114">
        <v>1233</v>
      </c>
      <c r="B495" s="114" t="s">
        <v>511</v>
      </c>
    </row>
    <row r="496" spans="1:2" x14ac:dyDescent="0.2">
      <c r="A496" s="114">
        <v>1234</v>
      </c>
      <c r="B496" s="114" t="s">
        <v>512</v>
      </c>
    </row>
    <row r="497" spans="1:2" x14ac:dyDescent="0.2">
      <c r="A497" s="114">
        <v>1235</v>
      </c>
      <c r="B497" s="114" t="s">
        <v>513</v>
      </c>
    </row>
    <row r="498" spans="1:2" x14ac:dyDescent="0.2">
      <c r="A498" s="114">
        <v>1236</v>
      </c>
      <c r="B498" s="114" t="s">
        <v>514</v>
      </c>
    </row>
    <row r="499" spans="1:2" x14ac:dyDescent="0.2">
      <c r="A499" s="114">
        <v>1237</v>
      </c>
      <c r="B499" s="114" t="s">
        <v>515</v>
      </c>
    </row>
    <row r="500" spans="1:2" x14ac:dyDescent="0.2">
      <c r="A500" s="114">
        <v>1238</v>
      </c>
      <c r="B500" s="114" t="s">
        <v>516</v>
      </c>
    </row>
    <row r="501" spans="1:2" x14ac:dyDescent="0.2">
      <c r="A501" s="114">
        <v>1239</v>
      </c>
      <c r="B501" s="114" t="s">
        <v>517</v>
      </c>
    </row>
    <row r="502" spans="1:2" x14ac:dyDescent="0.2">
      <c r="A502" s="114">
        <v>1240</v>
      </c>
      <c r="B502" s="114" t="s">
        <v>518</v>
      </c>
    </row>
    <row r="503" spans="1:2" x14ac:dyDescent="0.2">
      <c r="A503" s="114">
        <v>1241</v>
      </c>
      <c r="B503" s="114" t="s">
        <v>519</v>
      </c>
    </row>
    <row r="504" spans="1:2" x14ac:dyDescent="0.2">
      <c r="B504" s="114" t="s">
        <v>520</v>
      </c>
    </row>
    <row r="506" spans="1:2" x14ac:dyDescent="0.2">
      <c r="B506" s="114" t="s">
        <v>521</v>
      </c>
    </row>
    <row r="508" spans="1:2" x14ac:dyDescent="0.2">
      <c r="B508" s="114" t="s">
        <v>522</v>
      </c>
    </row>
    <row r="510" spans="1:2" x14ac:dyDescent="0.2">
      <c r="B510" s="114" t="s">
        <v>523</v>
      </c>
    </row>
    <row r="512" spans="1:2" x14ac:dyDescent="0.2">
      <c r="B512" s="114" t="s">
        <v>524</v>
      </c>
    </row>
    <row r="513" spans="1:2" x14ac:dyDescent="0.2">
      <c r="A513" s="114">
        <v>2101</v>
      </c>
      <c r="B513" s="114" t="s">
        <v>525</v>
      </c>
    </row>
    <row r="514" spans="1:2" x14ac:dyDescent="0.2">
      <c r="A514" s="114">
        <v>2102</v>
      </c>
      <c r="B514" s="114" t="s">
        <v>526</v>
      </c>
    </row>
    <row r="515" spans="1:2" x14ac:dyDescent="0.2">
      <c r="A515" s="114">
        <v>2103</v>
      </c>
      <c r="B515" s="114" t="s">
        <v>527</v>
      </c>
    </row>
    <row r="516" spans="1:2" x14ac:dyDescent="0.2">
      <c r="A516" s="114">
        <v>1207</v>
      </c>
      <c r="B516" s="114" t="s">
        <v>528</v>
      </c>
    </row>
    <row r="517" spans="1:2" x14ac:dyDescent="0.2">
      <c r="B517" s="114" t="s">
        <v>529</v>
      </c>
    </row>
    <row r="519" spans="1:2" x14ac:dyDescent="0.2">
      <c r="B519" s="114" t="s">
        <v>101</v>
      </c>
    </row>
    <row r="520" spans="1:2" x14ac:dyDescent="0.2">
      <c r="A520" s="114">
        <v>3101</v>
      </c>
      <c r="B520" s="114" t="s">
        <v>530</v>
      </c>
    </row>
    <row r="521" spans="1:2" x14ac:dyDescent="0.2">
      <c r="A521" s="114" t="s">
        <v>531</v>
      </c>
      <c r="B521" s="114" t="s">
        <v>532</v>
      </c>
    </row>
    <row r="522" spans="1:2" x14ac:dyDescent="0.2">
      <c r="A522" s="114">
        <v>3103</v>
      </c>
      <c r="B522" s="114" t="s">
        <v>533</v>
      </c>
    </row>
    <row r="523" spans="1:2" x14ac:dyDescent="0.2">
      <c r="A523" s="114">
        <v>3104</v>
      </c>
      <c r="B523" s="114" t="s">
        <v>534</v>
      </c>
    </row>
    <row r="524" spans="1:2" x14ac:dyDescent="0.2">
      <c r="B524" s="114" t="s">
        <v>535</v>
      </c>
    </row>
    <row r="526" spans="1:2" x14ac:dyDescent="0.2">
      <c r="B526" s="114" t="s">
        <v>536</v>
      </c>
    </row>
    <row r="534" spans="1:12" x14ac:dyDescent="0.2">
      <c r="B534" s="114" t="s">
        <v>537</v>
      </c>
    </row>
    <row r="535" spans="1:12" x14ac:dyDescent="0.2">
      <c r="B535" s="114" t="s">
        <v>538</v>
      </c>
    </row>
    <row r="536" spans="1:12" x14ac:dyDescent="0.2">
      <c r="A536" s="114">
        <v>5101</v>
      </c>
      <c r="B536" s="114" t="s">
        <v>539</v>
      </c>
    </row>
    <row r="537" spans="1:12" x14ac:dyDescent="0.2">
      <c r="A537" s="114">
        <v>5102</v>
      </c>
      <c r="B537" s="114" t="s">
        <v>540</v>
      </c>
    </row>
    <row r="538" spans="1:12" x14ac:dyDescent="0.2">
      <c r="A538" s="114">
        <v>5103</v>
      </c>
      <c r="B538" s="114" t="s">
        <v>541</v>
      </c>
    </row>
    <row r="539" spans="1:12" x14ac:dyDescent="0.2">
      <c r="A539" s="114">
        <v>5104</v>
      </c>
      <c r="B539" s="114" t="s">
        <v>542</v>
      </c>
    </row>
    <row r="540" spans="1:12" x14ac:dyDescent="0.2">
      <c r="A540" s="114">
        <v>5105</v>
      </c>
      <c r="B540" s="114" t="s">
        <v>543</v>
      </c>
      <c r="E540" s="114" t="s">
        <v>544</v>
      </c>
      <c r="F540" s="114" t="s">
        <v>545</v>
      </c>
    </row>
    <row r="541" spans="1:12" x14ac:dyDescent="0.2">
      <c r="B541" s="114" t="s">
        <v>546</v>
      </c>
    </row>
    <row r="542" spans="1:12" x14ac:dyDescent="0.2">
      <c r="E542" s="114" t="s">
        <v>547</v>
      </c>
      <c r="G542" s="114"/>
      <c r="H542" s="114"/>
      <c r="I542" s="114"/>
      <c r="J542" s="114"/>
      <c r="K542" s="114"/>
      <c r="L542" s="114"/>
    </row>
    <row r="543" spans="1:12" x14ac:dyDescent="0.2">
      <c r="B543" s="114" t="s">
        <v>536</v>
      </c>
      <c r="E543" s="114" t="s">
        <v>548</v>
      </c>
      <c r="F543" s="114" t="s">
        <v>549</v>
      </c>
      <c r="G543" s="114" t="s">
        <v>113</v>
      </c>
      <c r="H543" s="114"/>
      <c r="I543" s="114"/>
      <c r="J543" s="114"/>
      <c r="K543" s="114"/>
      <c r="L543" s="114"/>
    </row>
    <row r="544" spans="1:12" x14ac:dyDescent="0.2">
      <c r="A544" s="114">
        <v>6190</v>
      </c>
      <c r="B544" s="114" t="s">
        <v>550</v>
      </c>
      <c r="E544" s="114" t="s">
        <v>551</v>
      </c>
      <c r="F544" s="114" t="s">
        <v>552</v>
      </c>
      <c r="G544" s="125">
        <v>15856000</v>
      </c>
      <c r="H544" s="114"/>
      <c r="I544" s="114"/>
      <c r="J544" s="114"/>
      <c r="K544" s="114"/>
      <c r="L544" s="114"/>
    </row>
    <row r="545" spans="1:12" x14ac:dyDescent="0.2">
      <c r="A545" s="114">
        <v>7101</v>
      </c>
      <c r="B545" s="114" t="s">
        <v>553</v>
      </c>
      <c r="E545" s="114" t="s">
        <v>554</v>
      </c>
      <c r="F545" s="114" t="s">
        <v>555</v>
      </c>
      <c r="G545" s="125">
        <v>89381000</v>
      </c>
      <c r="H545" s="114"/>
      <c r="I545" s="114"/>
      <c r="J545" s="114"/>
      <c r="K545" s="114"/>
      <c r="L545" s="114"/>
    </row>
    <row r="546" spans="1:12" x14ac:dyDescent="0.2">
      <c r="A546" s="114">
        <v>7102</v>
      </c>
      <c r="B546" s="114" t="s">
        <v>555</v>
      </c>
      <c r="E546" s="114" t="s">
        <v>556</v>
      </c>
      <c r="F546" s="114" t="s">
        <v>557</v>
      </c>
      <c r="G546" s="125">
        <v>42000000</v>
      </c>
      <c r="H546" s="114"/>
      <c r="I546" s="114"/>
      <c r="J546" s="114"/>
      <c r="K546" s="114"/>
      <c r="L546" s="114"/>
    </row>
    <row r="547" spans="1:12" x14ac:dyDescent="0.2">
      <c r="A547" s="114">
        <v>7103</v>
      </c>
      <c r="B547" s="114" t="s">
        <v>558</v>
      </c>
      <c r="E547" s="114" t="s">
        <v>342</v>
      </c>
      <c r="G547" s="125">
        <v>147237000</v>
      </c>
      <c r="H547" s="114"/>
      <c r="I547" s="114"/>
      <c r="J547" s="114"/>
      <c r="K547" s="114"/>
      <c r="L547" s="114"/>
    </row>
    <row r="548" spans="1:12" x14ac:dyDescent="0.2">
      <c r="A548" s="114">
        <v>7104</v>
      </c>
      <c r="B548" s="114" t="s">
        <v>559</v>
      </c>
      <c r="G548" s="114"/>
      <c r="H548" s="114"/>
      <c r="I548" s="114"/>
      <c r="J548" s="114"/>
      <c r="K548" s="114"/>
      <c r="L548" s="114"/>
    </row>
    <row r="549" spans="1:12" x14ac:dyDescent="0.2">
      <c r="A549" s="114">
        <v>7105</v>
      </c>
      <c r="B549" s="114" t="s">
        <v>560</v>
      </c>
      <c r="G549" s="114"/>
      <c r="H549" s="114"/>
      <c r="I549" s="114"/>
      <c r="J549" s="114"/>
      <c r="K549" s="114"/>
      <c r="L549" s="114"/>
    </row>
    <row r="550" spans="1:12" x14ac:dyDescent="0.2">
      <c r="A550" s="114" t="s">
        <v>561</v>
      </c>
      <c r="B550" s="114" t="s">
        <v>562</v>
      </c>
      <c r="G550" s="114"/>
      <c r="H550" s="114"/>
      <c r="I550" s="114"/>
      <c r="J550" s="114"/>
      <c r="K550" s="114"/>
      <c r="L550" s="114"/>
    </row>
    <row r="551" spans="1:12" x14ac:dyDescent="0.2">
      <c r="A551" s="114">
        <v>4101</v>
      </c>
      <c r="B551" s="114" t="s">
        <v>563</v>
      </c>
      <c r="G551" s="114"/>
      <c r="H551" s="114"/>
      <c r="I551" s="114"/>
      <c r="J551" s="114"/>
      <c r="K551" s="114"/>
    </row>
    <row r="552" spans="1:12" x14ac:dyDescent="0.2">
      <c r="A552" s="114">
        <v>4102</v>
      </c>
      <c r="B552" s="114" t="s">
        <v>552</v>
      </c>
      <c r="G552" s="114"/>
      <c r="H552" s="114"/>
      <c r="I552" s="114"/>
      <c r="J552" s="114"/>
      <c r="K552" s="114"/>
    </row>
    <row r="553" spans="1:12" x14ac:dyDescent="0.2">
      <c r="G553" s="114"/>
      <c r="H553" s="114"/>
      <c r="I553" s="114"/>
      <c r="J553" s="114"/>
      <c r="K553" s="114"/>
    </row>
    <row r="554" spans="1:12" x14ac:dyDescent="0.2">
      <c r="G554" s="114"/>
      <c r="H554" s="114"/>
      <c r="I554" s="114"/>
      <c r="J554" s="114"/>
      <c r="K554" s="114"/>
    </row>
    <row r="555" spans="1:12" x14ac:dyDescent="0.2">
      <c r="B555" s="114" t="s">
        <v>564</v>
      </c>
      <c r="G555" s="114"/>
      <c r="H555" s="114"/>
      <c r="I555" s="114"/>
      <c r="J555" s="114"/>
      <c r="K555" s="114"/>
    </row>
    <row r="556" spans="1:12" x14ac:dyDescent="0.2">
      <c r="A556" s="115" t="s">
        <v>565</v>
      </c>
      <c r="G556" s="114"/>
    </row>
    <row r="557" spans="1:12" x14ac:dyDescent="0.2">
      <c r="A557" s="129">
        <v>1110050100</v>
      </c>
      <c r="B557" s="130" t="s">
        <v>566</v>
      </c>
      <c r="G557" s="114"/>
    </row>
    <row r="558" spans="1:12" x14ac:dyDescent="0.2">
      <c r="A558" s="129">
        <v>1110050200</v>
      </c>
      <c r="B558" s="114" t="s">
        <v>567</v>
      </c>
      <c r="G558" s="114"/>
    </row>
    <row r="559" spans="1:12" x14ac:dyDescent="0.2">
      <c r="G559" s="114"/>
    </row>
    <row r="563" spans="1:2" x14ac:dyDescent="0.2">
      <c r="A563" s="114">
        <v>4170250000</v>
      </c>
      <c r="B563" s="114" t="s">
        <v>568</v>
      </c>
    </row>
    <row r="565" spans="1:2" x14ac:dyDescent="0.2">
      <c r="A565" s="114">
        <v>4218050000</v>
      </c>
      <c r="B565" s="114" t="s">
        <v>569</v>
      </c>
    </row>
    <row r="568" spans="1:2" x14ac:dyDescent="0.2">
      <c r="A568" s="114">
        <v>5210350000</v>
      </c>
      <c r="B568" s="114" t="s">
        <v>570</v>
      </c>
    </row>
    <row r="569" spans="1:2" x14ac:dyDescent="0.2">
      <c r="A569" s="114">
        <v>5140950000</v>
      </c>
    </row>
    <row r="571" spans="1:2" x14ac:dyDescent="0.2">
      <c r="A571" s="129">
        <v>5305950000</v>
      </c>
      <c r="B571" s="114" t="s">
        <v>571</v>
      </c>
    </row>
    <row r="572" spans="1:2" x14ac:dyDescent="0.2">
      <c r="A572" s="129">
        <v>5313050000</v>
      </c>
      <c r="B572" s="114" t="s">
        <v>569</v>
      </c>
    </row>
    <row r="573" spans="1:2" x14ac:dyDescent="0.2">
      <c r="A573" s="114">
        <v>5310950000</v>
      </c>
      <c r="B573" s="114" t="s">
        <v>572</v>
      </c>
    </row>
    <row r="577" spans="1:3" x14ac:dyDescent="0.2">
      <c r="A577" s="114">
        <v>1101</v>
      </c>
      <c r="B577" s="114" t="s">
        <v>573</v>
      </c>
    </row>
    <row r="578" spans="1:3" x14ac:dyDescent="0.2">
      <c r="A578" s="114">
        <v>1102</v>
      </c>
      <c r="B578" s="114" t="s">
        <v>574</v>
      </c>
    </row>
    <row r="579" spans="1:3" x14ac:dyDescent="0.2">
      <c r="A579" s="114">
        <v>1103</v>
      </c>
      <c r="B579" s="114" t="s">
        <v>575</v>
      </c>
    </row>
    <row r="580" spans="1:3" x14ac:dyDescent="0.2">
      <c r="A580" s="114">
        <v>1104</v>
      </c>
      <c r="B580" s="114" t="s">
        <v>576</v>
      </c>
    </row>
    <row r="581" spans="1:3" x14ac:dyDescent="0.2">
      <c r="A581" s="114">
        <v>1106</v>
      </c>
      <c r="B581" s="114" t="s">
        <v>577</v>
      </c>
    </row>
    <row r="582" spans="1:3" x14ac:dyDescent="0.2">
      <c r="A582" s="114">
        <v>9999</v>
      </c>
      <c r="B582" s="114" t="s">
        <v>578</v>
      </c>
      <c r="C582" s="114" t="s">
        <v>579</v>
      </c>
    </row>
    <row r="584" spans="1:3" x14ac:dyDescent="0.2">
      <c r="A584" s="114">
        <v>1218</v>
      </c>
      <c r="B584" s="114" t="s">
        <v>580</v>
      </c>
    </row>
    <row r="585" spans="1:3" x14ac:dyDescent="0.2">
      <c r="A585" s="114">
        <v>1223</v>
      </c>
      <c r="B585" s="114" t="s">
        <v>581</v>
      </c>
    </row>
    <row r="586" spans="1:3" x14ac:dyDescent="0.2">
      <c r="A586" s="114">
        <v>1231</v>
      </c>
      <c r="B586" s="114" t="s">
        <v>582</v>
      </c>
    </row>
    <row r="587" spans="1:3" x14ac:dyDescent="0.2">
      <c r="A587" s="114">
        <v>1235</v>
      </c>
      <c r="B587" s="114" t="s">
        <v>583</v>
      </c>
    </row>
    <row r="588" spans="1:3" x14ac:dyDescent="0.2">
      <c r="A588" s="114">
        <v>1201</v>
      </c>
      <c r="B588" s="114" t="s">
        <v>584</v>
      </c>
    </row>
    <row r="591" spans="1:3" x14ac:dyDescent="0.2">
      <c r="A591" s="114">
        <v>5103</v>
      </c>
      <c r="B591" s="114" t="s">
        <v>541</v>
      </c>
      <c r="C591" s="114" t="s">
        <v>585</v>
      </c>
    </row>
    <row r="592" spans="1:3" x14ac:dyDescent="0.2">
      <c r="A592" s="114">
        <v>5104</v>
      </c>
      <c r="B592" s="114" t="s">
        <v>542</v>
      </c>
      <c r="C592" s="114" t="s">
        <v>579</v>
      </c>
    </row>
    <row r="593" spans="1:3" x14ac:dyDescent="0.2">
      <c r="A593" s="114">
        <v>5105</v>
      </c>
      <c r="B593" s="114" t="s">
        <v>586</v>
      </c>
      <c r="C593" s="114" t="s">
        <v>579</v>
      </c>
    </row>
    <row r="594" spans="1:3" x14ac:dyDescent="0.2">
      <c r="A594" s="114">
        <v>5106</v>
      </c>
      <c r="B594" s="114" t="s">
        <v>587</v>
      </c>
      <c r="C594" s="114" t="s">
        <v>585</v>
      </c>
    </row>
    <row r="595" spans="1:3" x14ac:dyDescent="0.2">
      <c r="A595" s="114">
        <v>7101</v>
      </c>
      <c r="B595" s="114" t="s">
        <v>588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CDD51-F406-461B-A0EB-84A530B0325F}">
  <sheetPr>
    <tabColor theme="2" tint="-0.749992370372631"/>
  </sheetPr>
  <dimension ref="A1:AG47"/>
  <sheetViews>
    <sheetView showGridLines="0" tabSelected="1" topLeftCell="C3" zoomScaleNormal="100" workbookViewId="0">
      <selection activeCell="V36" sqref="V36"/>
    </sheetView>
  </sheetViews>
  <sheetFormatPr baseColWidth="10" defaultRowHeight="12.75" x14ac:dyDescent="0.2"/>
  <cols>
    <col min="1" max="1" width="4.140625" style="12" customWidth="1"/>
    <col min="2" max="2" width="26.28515625" style="12" customWidth="1"/>
    <col min="3" max="3" width="9.42578125" style="12" customWidth="1"/>
    <col min="4" max="4" width="6.42578125" style="12" customWidth="1"/>
    <col min="5" max="5" width="10.28515625" style="12" customWidth="1"/>
    <col min="6" max="7" width="7.140625" style="12" customWidth="1"/>
    <col min="8" max="8" width="11" style="12" customWidth="1"/>
    <col min="9" max="9" width="6.42578125" style="12" customWidth="1"/>
    <col min="10" max="10" width="9.5703125" style="12" customWidth="1"/>
    <col min="11" max="11" width="10.5703125" style="12" customWidth="1"/>
    <col min="12" max="12" width="5.42578125" style="12" customWidth="1"/>
    <col min="13" max="13" width="9.140625" style="12" bestFit="1" customWidth="1"/>
    <col min="14" max="14" width="5.42578125" style="12" customWidth="1"/>
    <col min="15" max="15" width="7.140625" style="12" customWidth="1"/>
    <col min="16" max="16" width="10.7109375" style="12" customWidth="1"/>
    <col min="17" max="17" width="5.140625" style="12" customWidth="1"/>
    <col min="18" max="18" width="7.140625" style="12" customWidth="1"/>
    <col min="19" max="19" width="10.85546875" style="13" customWidth="1"/>
    <col min="20" max="20" width="17.42578125" style="12" customWidth="1"/>
    <col min="21" max="28" width="11.42578125" style="12"/>
    <col min="29" max="29" width="5.7109375" style="12" bestFit="1" customWidth="1"/>
    <col min="30" max="31" width="11.42578125" style="12"/>
    <col min="32" max="32" width="13.42578125" style="12" customWidth="1"/>
    <col min="33" max="16384" width="11.42578125" style="12"/>
  </cols>
  <sheetData>
    <row r="1" spans="1:33" s="9" customFormat="1" ht="12.75" customHeight="1" x14ac:dyDescent="0.2">
      <c r="B1" s="10"/>
      <c r="S1" s="11"/>
    </row>
    <row r="2" spans="1:33" ht="11.25" customHeight="1" x14ac:dyDescent="0.2">
      <c r="A2" s="9"/>
      <c r="X2" s="14"/>
      <c r="Y2" s="14"/>
      <c r="Z2" s="14"/>
      <c r="AA2" s="14"/>
      <c r="AB2" s="14"/>
    </row>
    <row r="3" spans="1:33" ht="18" x14ac:dyDescent="0.25">
      <c r="B3" s="15" t="s">
        <v>18</v>
      </c>
      <c r="S3" s="16"/>
      <c r="T3" s="17" t="str">
        <f>+B3</f>
        <v>MUSICAR S.A. COLOMBIA CONSOLIDADO</v>
      </c>
    </row>
    <row r="4" spans="1:33" x14ac:dyDescent="0.2">
      <c r="B4" s="2" t="s">
        <v>19</v>
      </c>
      <c r="S4" s="16"/>
      <c r="T4" s="18" t="s">
        <v>20</v>
      </c>
    </row>
    <row r="5" spans="1:33" x14ac:dyDescent="0.2">
      <c r="B5" s="3" t="s">
        <v>21</v>
      </c>
      <c r="S5" s="16"/>
      <c r="T5" s="18" t="s">
        <v>21</v>
      </c>
    </row>
    <row r="6" spans="1:33" ht="13.5" thickBot="1" x14ac:dyDescent="0.25">
      <c r="B6" s="19" t="str">
        <f>+'COLOMB$ '!B6</f>
        <v>NOVIEMBRE De 2022</v>
      </c>
      <c r="K6" s="20" t="s">
        <v>22</v>
      </c>
      <c r="L6" s="20"/>
      <c r="M6" s="20"/>
      <c r="N6" s="20"/>
      <c r="O6" s="20"/>
      <c r="P6" s="20"/>
      <c r="Q6" s="20"/>
      <c r="R6" s="20"/>
      <c r="S6" s="16"/>
      <c r="T6" s="12" t="str">
        <f>+B6</f>
        <v>NOVIEMBRE De 2022</v>
      </c>
      <c r="X6" s="20" t="s">
        <v>22</v>
      </c>
      <c r="Y6" s="20"/>
      <c r="Z6" s="20"/>
      <c r="AA6" s="20"/>
      <c r="AB6" s="20"/>
      <c r="AC6" s="20"/>
    </row>
    <row r="7" spans="1:33" ht="17.25" customHeight="1" x14ac:dyDescent="0.2">
      <c r="C7" s="21" t="str">
        <f>+'COLOMB$ '!D7:D7</f>
        <v>Ppto 2022</v>
      </c>
      <c r="E7" s="12" t="str">
        <f>+'COLOMB$ '!F7:F7</f>
        <v>Real 2022</v>
      </c>
      <c r="G7" s="9" t="s">
        <v>23</v>
      </c>
      <c r="H7" s="12" t="str">
        <f>+'COLOMB$ '!I7:I7</f>
        <v>Real 2021</v>
      </c>
      <c r="J7" s="9" t="s">
        <v>24</v>
      </c>
      <c r="K7" s="12" t="str">
        <f>+C7</f>
        <v>Ppto 2022</v>
      </c>
      <c r="M7" s="22" t="str">
        <f>+E7</f>
        <v>Real 2022</v>
      </c>
      <c r="N7" s="22"/>
      <c r="O7" s="9" t="s">
        <v>23</v>
      </c>
      <c r="P7" s="12" t="str">
        <f>+H7</f>
        <v>Real 2021</v>
      </c>
      <c r="R7" s="9" t="s">
        <v>24</v>
      </c>
      <c r="S7" s="23"/>
      <c r="T7" s="14"/>
      <c r="U7" s="14" t="str">
        <f>+C7</f>
        <v>Ppto 2022</v>
      </c>
      <c r="V7" s="14" t="str">
        <f>+M7</f>
        <v>Real 2022</v>
      </c>
      <c r="W7" s="14" t="str">
        <f>+H7</f>
        <v>Real 2021</v>
      </c>
      <c r="X7" s="14" t="str">
        <f>+U7</f>
        <v>Ppto 2022</v>
      </c>
      <c r="Y7" s="14" t="str">
        <f>+V7</f>
        <v>Real 2022</v>
      </c>
      <c r="Z7" s="14" t="s">
        <v>25</v>
      </c>
      <c r="AA7" s="14" t="s">
        <v>23</v>
      </c>
      <c r="AB7" s="14" t="str">
        <f>+W7</f>
        <v>Real 2021</v>
      </c>
      <c r="AC7" s="14" t="s">
        <v>24</v>
      </c>
    </row>
    <row r="8" spans="1:33" ht="15.75" customHeight="1" thickBot="1" x14ac:dyDescent="0.25">
      <c r="B8" s="24" t="s">
        <v>26</v>
      </c>
      <c r="C8" s="25" t="s">
        <v>27</v>
      </c>
      <c r="D8" s="25" t="s">
        <v>28</v>
      </c>
      <c r="E8" s="25" t="s">
        <v>27</v>
      </c>
      <c r="F8" s="25" t="s">
        <v>28</v>
      </c>
      <c r="G8" s="25" t="s">
        <v>29</v>
      </c>
      <c r="H8" s="25" t="s">
        <v>27</v>
      </c>
      <c r="I8" s="25" t="s">
        <v>28</v>
      </c>
      <c r="J8" s="25" t="s">
        <v>29</v>
      </c>
      <c r="K8" s="25" t="s">
        <v>27</v>
      </c>
      <c r="L8" s="25" t="s">
        <v>28</v>
      </c>
      <c r="M8" s="25" t="s">
        <v>27</v>
      </c>
      <c r="N8" s="25" t="s">
        <v>28</v>
      </c>
      <c r="O8" s="25" t="s">
        <v>29</v>
      </c>
      <c r="P8" s="25" t="s">
        <v>27</v>
      </c>
      <c r="Q8" s="25" t="s">
        <v>28</v>
      </c>
      <c r="R8" s="25" t="s">
        <v>29</v>
      </c>
      <c r="S8" s="11"/>
      <c r="T8" s="26"/>
      <c r="U8" s="27"/>
      <c r="V8" s="27"/>
      <c r="W8" s="27"/>
      <c r="X8" s="27"/>
      <c r="Y8" s="27"/>
      <c r="Z8" s="27"/>
      <c r="AA8" s="27" t="s">
        <v>29</v>
      </c>
      <c r="AB8" s="27"/>
      <c r="AC8" s="27" t="s">
        <v>29</v>
      </c>
    </row>
    <row r="9" spans="1:33" x14ac:dyDescent="0.2">
      <c r="S9" s="16"/>
      <c r="U9" s="14"/>
      <c r="V9" s="14"/>
      <c r="W9" s="14"/>
      <c r="X9" s="14"/>
      <c r="Y9" s="14"/>
      <c r="Z9" s="14"/>
      <c r="AB9" s="14"/>
    </row>
    <row r="10" spans="1:33" x14ac:dyDescent="0.2">
      <c r="B10" s="18" t="str">
        <f>+'COLOMB$ '!B10</f>
        <v>Musical Experience  (Ambiental)</v>
      </c>
      <c r="C10" s="28">
        <f>+'COLOMB$ '!C10+'PROY SAT$'!C10</f>
        <v>384095</v>
      </c>
      <c r="D10" s="29">
        <f t="shared" ref="D10:D20" si="0">+C10/$C$20</f>
        <v>0.41618764553483678</v>
      </c>
      <c r="E10" s="28">
        <f>+'COLOMB$ '!E10+'PROY SAT$'!E10</f>
        <v>356803.88199999998</v>
      </c>
      <c r="F10" s="29">
        <f t="shared" ref="F10:F20" si="1">+E10/$E$20</f>
        <v>0.38176922338553682</v>
      </c>
      <c r="G10" s="29">
        <f t="shared" ref="G10:G20" si="2">IF(C10=0,"",(E10-C10)/ABS(C10)+1)</f>
        <v>0.92894695843476216</v>
      </c>
      <c r="H10" s="28">
        <f>+'COLOMB$ '!H10+'PROY SAT$'!H10</f>
        <v>367285.99800000002</v>
      </c>
      <c r="I10" s="29">
        <f t="shared" ref="I10:I19" si="3">+H10/$H$20</f>
        <v>0.37266000079439571</v>
      </c>
      <c r="J10" s="30">
        <f t="shared" ref="J10:J20" si="4">IF(H10=0,"",(E10-H10)/ABS(H10))</f>
        <v>-2.8539383633132777E-2</v>
      </c>
      <c r="K10" s="28">
        <f>+'COLOMB$ '!K10+'PROY SAT$'!K10</f>
        <v>4061959</v>
      </c>
      <c r="L10" s="29">
        <f t="shared" ref="L10:L20" si="5">+K10/$K$20</f>
        <v>0.41282315654357221</v>
      </c>
      <c r="M10" s="28">
        <f>+'COLOMB$ '!M10+'PROY SAT$'!M10</f>
        <v>3934643.2609999999</v>
      </c>
      <c r="N10" s="29">
        <f t="shared" ref="N10:N20" si="6">+M10/$M$20</f>
        <v>0.40478651479087358</v>
      </c>
      <c r="O10" s="29">
        <f t="shared" ref="O10:O20" si="7">IF(K10=0,"",(M10-K10)/ABS(K10)+1)</f>
        <v>0.96865656718839355</v>
      </c>
      <c r="P10" s="28">
        <f>+'COLOMB$ '!P10+'PROY SAT$'!P10</f>
        <v>3790683.77</v>
      </c>
      <c r="Q10" s="29">
        <f t="shared" ref="Q10:Q20" si="8">+P10/$P$20</f>
        <v>0.4315031187770399</v>
      </c>
      <c r="R10" s="30">
        <f t="shared" ref="R10:R20" si="9">IF(P10=0,"",(M10-P10)/ABS(P10))</f>
        <v>3.7977182939741748E-2</v>
      </c>
      <c r="S10" s="23"/>
      <c r="T10" s="18" t="s">
        <v>30</v>
      </c>
      <c r="U10" s="28">
        <f>+'COLOMB$ '!U10</f>
        <v>130390</v>
      </c>
      <c r="V10" s="28">
        <f>+'COLOMB$ '!V10</f>
        <v>174883.31042000043</v>
      </c>
      <c r="W10" s="28">
        <f>+'COLOMB$ '!W10</f>
        <v>885356.70428999991</v>
      </c>
      <c r="X10" s="28">
        <f>+'COLOMB$ '!X10</f>
        <v>484392</v>
      </c>
      <c r="Y10" s="28">
        <f>+'COLOMB$ '!Y10</f>
        <v>484392</v>
      </c>
      <c r="Z10" s="31">
        <f>+Y10-X10</f>
        <v>0</v>
      </c>
      <c r="AA10" s="32">
        <f>IF(X10=0,"",(Y10-X10)/ABS(X10)+1)</f>
        <v>1</v>
      </c>
      <c r="AB10" s="28">
        <f>+'COLOMB$ '!AB10</f>
        <v>590384</v>
      </c>
      <c r="AC10" s="30">
        <f>IF(W10=0,"",(Y10-AB10)/ABS(AB10))</f>
        <v>-0.17953061058565273</v>
      </c>
    </row>
    <row r="11" spans="1:33" x14ac:dyDescent="0.2">
      <c r="B11" s="18" t="str">
        <f>+'COLOMB$ '!B11</f>
        <v>Instalaciones</v>
      </c>
      <c r="C11" s="28">
        <f>+'COLOMB$ '!C11+'PROY SAT$'!C11</f>
        <v>49028</v>
      </c>
      <c r="D11" s="29">
        <f t="shared" si="0"/>
        <v>5.3124481925778726E-2</v>
      </c>
      <c r="E11" s="28">
        <f>+'COLOMB$ '!E11+'PROY SAT$'!E11</f>
        <v>25189.276999999998</v>
      </c>
      <c r="F11" s="29">
        <f t="shared" si="1"/>
        <v>2.695175473996991E-2</v>
      </c>
      <c r="G11" s="29">
        <f t="shared" si="2"/>
        <v>0.51377329281227047</v>
      </c>
      <c r="H11" s="28">
        <f>+'COLOMB$ '!H11+'PROY SAT$'!H11</f>
        <v>107957.40300000001</v>
      </c>
      <c r="I11" s="29">
        <f t="shared" si="3"/>
        <v>0.10953699870622594</v>
      </c>
      <c r="J11" s="30">
        <f t="shared" si="4"/>
        <v>-0.76667392601135465</v>
      </c>
      <c r="K11" s="28">
        <f>+'COLOMB$ '!K11+'PROY SAT$'!K11</f>
        <v>501178</v>
      </c>
      <c r="L11" s="29">
        <f t="shared" si="5"/>
        <v>5.0935492935845594E-2</v>
      </c>
      <c r="M11" s="28">
        <f>+'COLOMB$ '!M11+'PROY SAT$'!M11</f>
        <v>417471.51699999999</v>
      </c>
      <c r="N11" s="29">
        <f t="shared" si="6"/>
        <v>4.2948452802793732E-2</v>
      </c>
      <c r="O11" s="29">
        <f t="shared" si="7"/>
        <v>0.83298053186692156</v>
      </c>
      <c r="P11" s="28">
        <f>+'COLOMB$ '!P11+'PROY SAT$'!P11</f>
        <v>416338.935</v>
      </c>
      <c r="Q11" s="29">
        <f t="shared" si="8"/>
        <v>4.7392913738307244E-2</v>
      </c>
      <c r="R11" s="30">
        <f t="shared" si="9"/>
        <v>2.7203364969937173E-3</v>
      </c>
      <c r="S11" s="23"/>
      <c r="T11" s="18" t="s">
        <v>31</v>
      </c>
      <c r="U11" s="28">
        <f>+'COLOMB$ '!U11</f>
        <v>1099339</v>
      </c>
      <c r="V11" s="28">
        <f>+'COLOMB$ '!V11</f>
        <v>995962.53977000003</v>
      </c>
      <c r="W11" s="28">
        <f>+'COLOMB$ '!W11</f>
        <v>881034.19727</v>
      </c>
      <c r="X11" s="28">
        <f>+'COLOMB$ '!X11</f>
        <v>11274602</v>
      </c>
      <c r="Y11" s="28">
        <f>+'COLOMB$ '!Y11</f>
        <v>11258624.76213</v>
      </c>
      <c r="Z11" s="31">
        <f>+Y11-X11</f>
        <v>-15977.237870000303</v>
      </c>
      <c r="AA11" s="32">
        <f>IF(X11=0,"",(Y11-X11)/ABS(X11)+1)</f>
        <v>0.99858290005536332</v>
      </c>
      <c r="AB11" s="28">
        <f>+'COLOMB$ '!AB11</f>
        <v>10437142.568089999</v>
      </c>
      <c r="AC11" s="30">
        <f>IF(AB11=0,"",(Y11-AB11)/ABS(AB11))</f>
        <v>7.8707576204962382E-2</v>
      </c>
    </row>
    <row r="12" spans="1:33" x14ac:dyDescent="0.2">
      <c r="B12" s="18" t="str">
        <f>+'COLOMB$ '!B12</f>
        <v>Voice Experience (Publihold)</v>
      </c>
      <c r="C12" s="28">
        <f>+'COLOMB$ '!C12+'PROY SAT$'!C12</f>
        <v>68712</v>
      </c>
      <c r="D12" s="29">
        <f t="shared" si="0"/>
        <v>7.4453157421965149E-2</v>
      </c>
      <c r="E12" s="28">
        <f>+'COLOMB$ '!E12+'PROY SAT$'!E12</f>
        <v>71356.388999999996</v>
      </c>
      <c r="F12" s="29">
        <f t="shared" si="1"/>
        <v>7.6349150293511275E-2</v>
      </c>
      <c r="G12" s="29">
        <f t="shared" si="2"/>
        <v>1.0384851117708696</v>
      </c>
      <c r="H12" s="28">
        <f>+'COLOMB$ '!H12+'PROY SAT$'!H12</f>
        <v>77785.274999999994</v>
      </c>
      <c r="I12" s="29">
        <f t="shared" si="3"/>
        <v>7.8923402474200197E-2</v>
      </c>
      <c r="J12" s="30">
        <f t="shared" si="4"/>
        <v>-8.264913892764407E-2</v>
      </c>
      <c r="K12" s="28">
        <f>+'COLOMB$ '!K12+'PROY SAT$'!K12</f>
        <v>870114</v>
      </c>
      <c r="L12" s="29">
        <f t="shared" si="5"/>
        <v>8.8431027499970782E-2</v>
      </c>
      <c r="M12" s="28">
        <f>+'COLOMB$ '!M12+'PROY SAT$'!M12</f>
        <v>944674.35279999999</v>
      </c>
      <c r="N12" s="29">
        <f t="shared" si="6"/>
        <v>9.7185796403064587E-2</v>
      </c>
      <c r="O12" s="29">
        <f t="shared" si="7"/>
        <v>1.0856903265549112</v>
      </c>
      <c r="P12" s="28">
        <f>+'COLOMB$ '!P12+'PROY SAT$'!P12</f>
        <v>1008866.6782000001</v>
      </c>
      <c r="Q12" s="29">
        <f t="shared" si="8"/>
        <v>0.11484184503038414</v>
      </c>
      <c r="R12" s="30">
        <f t="shared" si="9"/>
        <v>-6.3628155024934283E-2</v>
      </c>
      <c r="S12" s="23"/>
      <c r="AC12" s="2"/>
    </row>
    <row r="13" spans="1:33" x14ac:dyDescent="0.2">
      <c r="B13" s="18" t="str">
        <f>+'COLOMB$ '!B13</f>
        <v>Service &amp; Equipment Experience</v>
      </c>
      <c r="C13" s="28">
        <f>+'COLOMB$ '!C13+'PROY SAT$'!C13</f>
        <v>101429</v>
      </c>
      <c r="D13" s="29">
        <f t="shared" si="0"/>
        <v>0.10990379124683466</v>
      </c>
      <c r="E13" s="28">
        <f>+'COLOMB$ '!E13+'PROY SAT$'!E13</f>
        <v>162265.56</v>
      </c>
      <c r="F13" s="29">
        <f t="shared" si="1"/>
        <v>0.17361917834576482</v>
      </c>
      <c r="G13" s="29">
        <f t="shared" si="2"/>
        <v>1.599794536079425</v>
      </c>
      <c r="H13" s="28">
        <f>+'COLOMB$ '!H13+'PROY SAT$'!H13</f>
        <v>157587.33100000001</v>
      </c>
      <c r="I13" s="29">
        <f t="shared" si="3"/>
        <v>0.15989309479651523</v>
      </c>
      <c r="J13" s="30">
        <f t="shared" si="4"/>
        <v>2.9686580579247147E-2</v>
      </c>
      <c r="K13" s="28">
        <f>+'COLOMB$ '!K13+'PROY SAT$'!K13</f>
        <v>1045234</v>
      </c>
      <c r="L13" s="29">
        <f t="shared" si="5"/>
        <v>0.10622874312780217</v>
      </c>
      <c r="M13" s="28">
        <f>+'COLOMB$ '!M13+'PROY SAT$'!M13</f>
        <v>1047850.137</v>
      </c>
      <c r="N13" s="29">
        <f t="shared" si="6"/>
        <v>0.10780026976869286</v>
      </c>
      <c r="O13" s="29">
        <f t="shared" si="7"/>
        <v>1.0025029199203241</v>
      </c>
      <c r="P13" s="28">
        <f>+'COLOMB$ '!P13+'PROY SAT$'!P13</f>
        <v>751389.81099999999</v>
      </c>
      <c r="Q13" s="29">
        <f t="shared" si="8"/>
        <v>8.5532602173193292E-2</v>
      </c>
      <c r="R13" s="30">
        <f t="shared" si="9"/>
        <v>0.39454930271871891</v>
      </c>
      <c r="S13" s="23"/>
      <c r="T13" s="18" t="s">
        <v>32</v>
      </c>
      <c r="U13" s="28">
        <f>+'COLOMB$ '!U13</f>
        <v>97278</v>
      </c>
      <c r="V13" s="28">
        <f>+'COLOMB$ '!V13</f>
        <v>148734.557</v>
      </c>
      <c r="W13" s="28">
        <f>+'COLOMB$ '!W13</f>
        <v>327219.74804000003</v>
      </c>
      <c r="X13" s="28">
        <f>+'COLOMB$ '!X13</f>
        <v>1415706</v>
      </c>
      <c r="Y13" s="28">
        <f>+'COLOMB$ '!Y13</f>
        <v>1417335.4794300001</v>
      </c>
      <c r="Z13" s="31">
        <f>+X13-Y13</f>
        <v>-1629.4794300000649</v>
      </c>
      <c r="AA13" s="32">
        <f>IF(X13=0,"",(Y13-X13)/ABS(X13)+1)</f>
        <v>1.0011510012884031</v>
      </c>
      <c r="AB13" s="28">
        <f>+'COLOMB$ '!AB13</f>
        <v>2600542.6661700001</v>
      </c>
      <c r="AC13" s="30">
        <f>IF(AB13=0,"",(Y13-AB13)/ABS(AB13))</f>
        <v>-0.45498472381635308</v>
      </c>
      <c r="AE13" s="33"/>
      <c r="AF13" s="33"/>
    </row>
    <row r="14" spans="1:33" x14ac:dyDescent="0.2">
      <c r="B14" s="18" t="str">
        <f>+'COLOMB$ '!B14</f>
        <v>POP Satelital</v>
      </c>
      <c r="C14" s="28">
        <f>+'COLOMB$ '!C14+'PROY SAT$'!C14</f>
        <v>0</v>
      </c>
      <c r="D14" s="29">
        <f t="shared" si="0"/>
        <v>0</v>
      </c>
      <c r="E14" s="28">
        <f>+'COLOMB$ '!E14+'PROY SAT$'!E14</f>
        <v>0</v>
      </c>
      <c r="F14" s="29">
        <f t="shared" si="1"/>
        <v>0</v>
      </c>
      <c r="G14" s="29" t="str">
        <f t="shared" si="2"/>
        <v/>
      </c>
      <c r="H14" s="28">
        <f>+'COLOMB$ '!H14+'PROY SAT$'!H14</f>
        <v>0</v>
      </c>
      <c r="I14" s="29">
        <f t="shared" si="3"/>
        <v>0</v>
      </c>
      <c r="J14" s="30" t="str">
        <f t="shared" si="4"/>
        <v/>
      </c>
      <c r="K14" s="28">
        <f>+'COLOMB$ '!K14+'PROY SAT$'!K14</f>
        <v>0</v>
      </c>
      <c r="L14" s="29">
        <f t="shared" si="5"/>
        <v>0</v>
      </c>
      <c r="M14" s="28">
        <f>+'COLOMB$ '!M14+'PROY SAT$'!M14</f>
        <v>0</v>
      </c>
      <c r="N14" s="29">
        <f t="shared" si="6"/>
        <v>0</v>
      </c>
      <c r="O14" s="29" t="str">
        <f t="shared" si="7"/>
        <v/>
      </c>
      <c r="P14" s="28">
        <f>+'COLOMB$ '!P14+'PROY SAT$'!P14</f>
        <v>0</v>
      </c>
      <c r="Q14" s="29">
        <f t="shared" si="8"/>
        <v>0</v>
      </c>
      <c r="R14" s="30" t="str">
        <f t="shared" si="9"/>
        <v/>
      </c>
      <c r="S14" s="23"/>
      <c r="T14" s="18" t="s">
        <v>33</v>
      </c>
      <c r="U14" s="28">
        <f>+'COLOMB$ '!U14</f>
        <v>8350</v>
      </c>
      <c r="V14" s="28">
        <f>+'COLOMB$ '!V14</f>
        <v>11537.251380000002</v>
      </c>
      <c r="W14" s="28">
        <f>+'COLOMB$ '!W14</f>
        <v>8844.0020000000004</v>
      </c>
      <c r="X14" s="28">
        <f>+'COLOMB$ '!X14</f>
        <v>91880</v>
      </c>
      <c r="Y14" s="28">
        <f>+'COLOMB$ '!Y14</f>
        <v>114814.81534</v>
      </c>
      <c r="Z14" s="31">
        <f>+X14-Y14</f>
        <v>-22934.815340000001</v>
      </c>
      <c r="AA14" s="32">
        <f>IF(X14=0,"",(Y14-X14)/ABS(X14)+1)</f>
        <v>1.2496170585546365</v>
      </c>
      <c r="AB14" s="28">
        <f>+'COLOMB$ '!AB14</f>
        <v>82299.005999999994</v>
      </c>
      <c r="AC14" s="30">
        <f>IF(AB14=0,"",(Y14-AB14)/ABS(AB14))</f>
        <v>0.39509358521292481</v>
      </c>
      <c r="AE14" s="33"/>
    </row>
    <row r="15" spans="1:33" x14ac:dyDescent="0.2">
      <c r="B15" s="18" t="str">
        <f>+'COLOMB$ '!B15</f>
        <v>Voice Experience (Audicóm)</v>
      </c>
      <c r="C15" s="28">
        <f>+'COLOMB$ '!C15+'PROY SAT$'!C15</f>
        <v>129932</v>
      </c>
      <c r="D15" s="29">
        <f t="shared" si="0"/>
        <v>0.14078832882394307</v>
      </c>
      <c r="E15" s="28">
        <f>+'COLOMB$ '!E15+'PROY SAT$'!E15</f>
        <v>123221.632</v>
      </c>
      <c r="F15" s="29">
        <f t="shared" si="1"/>
        <v>0.13184337146011885</v>
      </c>
      <c r="G15" s="29">
        <f t="shared" si="2"/>
        <v>0.94835477018748271</v>
      </c>
      <c r="H15" s="28">
        <f>+'COLOMB$ '!H15+'PROY SAT$'!H15</f>
        <v>113709.644</v>
      </c>
      <c r="I15" s="29">
        <f t="shared" si="3"/>
        <v>0.11537340452431419</v>
      </c>
      <c r="J15" s="30">
        <f t="shared" si="4"/>
        <v>8.3651550259008792E-2</v>
      </c>
      <c r="K15" s="28">
        <f>+'COLOMB$ '!K15+'PROY SAT$'!K15</f>
        <v>1373755</v>
      </c>
      <c r="L15" s="29">
        <f t="shared" si="5"/>
        <v>0.139616838923661</v>
      </c>
      <c r="M15" s="28">
        <f>+'COLOMB$ '!M15+'PROY SAT$'!M15</f>
        <v>1351227.9339999999</v>
      </c>
      <c r="N15" s="29">
        <f t="shared" si="6"/>
        <v>0.13901103856437583</v>
      </c>
      <c r="O15" s="29">
        <f t="shared" si="7"/>
        <v>0.98360183147650049</v>
      </c>
      <c r="P15" s="28">
        <f>+'COLOMB$ '!P15+'PROY SAT$'!P15</f>
        <v>1268838.93</v>
      </c>
      <c r="Q15" s="29">
        <f t="shared" si="8"/>
        <v>0.14443514382649814</v>
      </c>
      <c r="R15" s="30">
        <f t="shared" si="9"/>
        <v>6.4932594714760178E-2</v>
      </c>
      <c r="S15" s="23"/>
      <c r="T15" s="18" t="s">
        <v>34</v>
      </c>
      <c r="U15" s="28">
        <f>+'COLOMB$ '!U15</f>
        <v>369555</v>
      </c>
      <c r="V15" s="28">
        <f>+'COLOMB$ '!V15</f>
        <v>354187.8</v>
      </c>
      <c r="W15" s="28">
        <f>+'COLOMB$ '!W15</f>
        <v>364722.255</v>
      </c>
      <c r="X15" s="28">
        <f>+'COLOMB$ '!X15</f>
        <v>4275816</v>
      </c>
      <c r="Y15" s="28">
        <f>+'COLOMB$ '!Y15</f>
        <v>4169821.1852800003</v>
      </c>
      <c r="Z15" s="31">
        <f>+X15-Y15</f>
        <v>105994.81471999967</v>
      </c>
      <c r="AA15" s="32">
        <f>IF(X15=0,"",(Y15-X15)/ABS(X15)+1)</f>
        <v>0.97521062302026096</v>
      </c>
      <c r="AB15" s="28">
        <f>+'COLOMB$ '!AB15</f>
        <v>3645376.9410000001</v>
      </c>
      <c r="AC15" s="30">
        <f>IF(AB15=0,"",(Y15-AB15)/ABS(AB15))</f>
        <v>0.14386557351079712</v>
      </c>
      <c r="AE15" s="33"/>
      <c r="AF15" s="33"/>
      <c r="AG15" s="33"/>
    </row>
    <row r="16" spans="1:33" x14ac:dyDescent="0.2">
      <c r="B16" s="18" t="str">
        <f>+'COLOMB$ '!B16</f>
        <v>Fact. Servicio Satelital</v>
      </c>
      <c r="C16" s="28">
        <f>+'COLOMB$ '!C16+'PROY SAT$'!C16</f>
        <v>0</v>
      </c>
      <c r="D16" s="29">
        <f t="shared" si="0"/>
        <v>0</v>
      </c>
      <c r="E16" s="28">
        <f>+'COLOMB$ '!E16+'PROY SAT$'!E16</f>
        <v>0</v>
      </c>
      <c r="F16" s="29">
        <f t="shared" si="1"/>
        <v>0</v>
      </c>
      <c r="G16" s="29" t="str">
        <f t="shared" si="2"/>
        <v/>
      </c>
      <c r="H16" s="28">
        <f>+'COLOMB$ '!H16+'PROY SAT$'!H16</f>
        <v>0</v>
      </c>
      <c r="I16" s="29">
        <f t="shared" si="3"/>
        <v>0</v>
      </c>
      <c r="J16" s="30" t="str">
        <f t="shared" si="4"/>
        <v/>
      </c>
      <c r="K16" s="28">
        <f>+'COLOMB$ '!K16+'PROY SAT$'!K16</f>
        <v>0</v>
      </c>
      <c r="L16" s="29">
        <f t="shared" si="5"/>
        <v>0</v>
      </c>
      <c r="M16" s="28">
        <f>+'COLOMB$ '!M16+'PROY SAT$'!M16</f>
        <v>0</v>
      </c>
      <c r="N16" s="29">
        <f t="shared" si="6"/>
        <v>0</v>
      </c>
      <c r="O16" s="29" t="str">
        <f t="shared" si="7"/>
        <v/>
      </c>
      <c r="P16" s="28">
        <f>+'COLOMB$ '!P16+'PROY SAT$'!P16</f>
        <v>0</v>
      </c>
      <c r="Q16" s="29">
        <f t="shared" si="8"/>
        <v>0</v>
      </c>
      <c r="R16" s="30" t="str">
        <f t="shared" si="9"/>
        <v/>
      </c>
      <c r="S16" s="23"/>
      <c r="T16" s="18" t="s">
        <v>35</v>
      </c>
      <c r="U16" s="28">
        <f>+'COLOMB$ '!U16</f>
        <v>238361</v>
      </c>
      <c r="V16" s="28">
        <f>+'COLOMB$ '!V16</f>
        <v>230213.51349000001</v>
      </c>
      <c r="W16" s="28">
        <f>+'COLOMB$ '!W16</f>
        <v>214772.49406999999</v>
      </c>
      <c r="X16" s="28">
        <f>+'COLOMB$ '!X16</f>
        <v>2718640</v>
      </c>
      <c r="Y16" s="28">
        <f>+'COLOMB$ '!Y16</f>
        <v>2687879.1518600001</v>
      </c>
      <c r="Z16" s="31">
        <f>+X16-Y16</f>
        <v>30760.8481399999</v>
      </c>
      <c r="AA16" s="32">
        <f>IF(X16=0,"",(Y16-X16)/ABS(X16)+1)</f>
        <v>0.98868520725804077</v>
      </c>
      <c r="AB16" s="28">
        <f>+'COLOMB$ '!AB16</f>
        <v>1846997.6433599999</v>
      </c>
      <c r="AC16" s="30">
        <f>IF(AB16=0,"",(Y16-AB16)/ABS(AB16))</f>
        <v>0.45526939978672365</v>
      </c>
      <c r="AE16" s="33"/>
      <c r="AF16" s="13"/>
    </row>
    <row r="17" spans="2:32" x14ac:dyDescent="0.2">
      <c r="B17" s="18" t="str">
        <f>+'COLOMB$ '!B17</f>
        <v>Visual Experience</v>
      </c>
      <c r="C17" s="28">
        <f>+'COLOMB$ '!C17+'PROY SAT$'!C17</f>
        <v>20487</v>
      </c>
      <c r="D17" s="29">
        <f t="shared" si="0"/>
        <v>2.2198769299449878E-2</v>
      </c>
      <c r="E17" s="28">
        <f>+'COLOMB$ '!E17+'PROY SAT$'!E17</f>
        <v>20065.703000000001</v>
      </c>
      <c r="F17" s="29">
        <f t="shared" si="1"/>
        <v>2.146968751588537E-2</v>
      </c>
      <c r="G17" s="29">
        <f t="shared" si="2"/>
        <v>0.97943588617171873</v>
      </c>
      <c r="H17" s="28">
        <f>+'COLOMB$ '!H17+'PROY SAT$'!H17</f>
        <v>17548.378000000001</v>
      </c>
      <c r="I17" s="29">
        <f t="shared" si="3"/>
        <v>1.7805139850227442E-2</v>
      </c>
      <c r="J17" s="30">
        <f t="shared" si="4"/>
        <v>0.14345057987695506</v>
      </c>
      <c r="K17" s="28">
        <f>+'COLOMB$ '!K17+'PROY SAT$'!K17</f>
        <v>286352</v>
      </c>
      <c r="L17" s="29">
        <f t="shared" si="5"/>
        <v>2.9102395302996655E-2</v>
      </c>
      <c r="M17" s="28">
        <f>+'COLOMB$ '!M17+'PROY SAT$'!M17</f>
        <v>286437.25599999999</v>
      </c>
      <c r="N17" s="29">
        <f t="shared" si="6"/>
        <v>2.9467967200928216E-2</v>
      </c>
      <c r="O17" s="29">
        <f t="shared" si="7"/>
        <v>1.0002977314633736</v>
      </c>
      <c r="P17" s="28">
        <f>+'COLOMB$ '!P17+'PROY SAT$'!P17</f>
        <v>246055.622</v>
      </c>
      <c r="Q17" s="29">
        <f t="shared" si="8"/>
        <v>2.8009133635967853E-2</v>
      </c>
      <c r="R17" s="30">
        <f t="shared" si="9"/>
        <v>0.16411587620623433</v>
      </c>
      <c r="S17" s="23"/>
      <c r="T17" s="18" t="s">
        <v>36</v>
      </c>
      <c r="U17" s="28">
        <f>U13+U14+U15+U16</f>
        <v>713544</v>
      </c>
      <c r="V17" s="28">
        <f>V13+V14+V15+V16</f>
        <v>744673.12187000003</v>
      </c>
      <c r="W17" s="28">
        <f>W13+W14+W15+W16</f>
        <v>915558.49910999998</v>
      </c>
      <c r="X17" s="28">
        <f>X13+X14+X15+X16</f>
        <v>8502042</v>
      </c>
      <c r="Y17" s="28">
        <f>Y13+Y14+Y15+Y16</f>
        <v>8389850.63191</v>
      </c>
      <c r="Z17" s="31">
        <f>+Y17-X17</f>
        <v>-112191.36809</v>
      </c>
      <c r="AA17" s="32">
        <f>IF(X17=0,"",(Y17-X17)/ABS(X17)+1)</f>
        <v>0.98680418561917238</v>
      </c>
      <c r="AB17" s="28">
        <f>+'COLOMB$ '!AB17</f>
        <v>8175216.2565299999</v>
      </c>
      <c r="AC17" s="30">
        <f>IF(AB17=0,"",(Y17-AB17)/ABS(AB17))</f>
        <v>2.6254274950654632E-2</v>
      </c>
      <c r="AE17" s="33"/>
      <c r="AF17" s="33"/>
    </row>
    <row r="18" spans="2:32" x14ac:dyDescent="0.2">
      <c r="B18" s="18" t="str">
        <f>+'COLOMB$ '!B18</f>
        <v>Olfa Experience</v>
      </c>
      <c r="C18" s="28">
        <f>+'COLOMB$ '!C18+'PROY SAT$'!C18</f>
        <v>125234</v>
      </c>
      <c r="D18" s="29">
        <f t="shared" si="0"/>
        <v>0.13569779247558483</v>
      </c>
      <c r="E18" s="28">
        <f>+'COLOMB$ '!E18+'PROY SAT$'!E18</f>
        <v>122553.288</v>
      </c>
      <c r="F18" s="29">
        <f t="shared" si="1"/>
        <v>0.13112826385421453</v>
      </c>
      <c r="G18" s="29">
        <f t="shared" si="2"/>
        <v>0.97859437532938343</v>
      </c>
      <c r="H18" s="28">
        <f>+'COLOMB$ '!H18+'PROY SAT$'!H18</f>
        <v>109350.99400000001</v>
      </c>
      <c r="I18" s="29">
        <f t="shared" si="3"/>
        <v>0.1109509802519288</v>
      </c>
      <c r="J18" s="34">
        <f t="shared" si="4"/>
        <v>0.12073318693381054</v>
      </c>
      <c r="K18" s="28">
        <f>+'COLOMB$ '!K18+'PROY SAT$'!K18</f>
        <v>1224014</v>
      </c>
      <c r="L18" s="29">
        <f t="shared" si="5"/>
        <v>0.12439843019920291</v>
      </c>
      <c r="M18" s="28">
        <f>+'COLOMB$ '!M18+'PROY SAT$'!M18</f>
        <v>1159430.8910000001</v>
      </c>
      <c r="N18" s="29">
        <f t="shared" si="6"/>
        <v>0.11927942595474025</v>
      </c>
      <c r="O18" s="29">
        <f t="shared" si="7"/>
        <v>0.94723662556147237</v>
      </c>
      <c r="P18" s="28">
        <f>+'COLOMB$ '!P18+'PROY SAT$'!P18</f>
        <v>929381.40399999998</v>
      </c>
      <c r="Q18" s="29">
        <f t="shared" si="8"/>
        <v>0.10579383527932326</v>
      </c>
      <c r="R18" s="30">
        <f t="shared" si="9"/>
        <v>0.24752968588555929</v>
      </c>
      <c r="S18" s="23"/>
      <c r="AC18" s="2"/>
      <c r="AE18" s="33"/>
    </row>
    <row r="19" spans="2:32" x14ac:dyDescent="0.2">
      <c r="B19" s="18" t="str">
        <f>+'COLOMB$ '!B19</f>
        <v>Locutor virtual</v>
      </c>
      <c r="C19" s="28">
        <f>+'COLOMB$ '!C19+'PROY SAT$'!C19</f>
        <v>43972</v>
      </c>
      <c r="D19" s="29">
        <f t="shared" si="0"/>
        <v>4.764603327160688E-2</v>
      </c>
      <c r="E19" s="28">
        <f>+'COLOMB$ '!E19+'PROY SAT$'!E19</f>
        <v>53150.466</v>
      </c>
      <c r="F19" s="29">
        <f t="shared" si="1"/>
        <v>5.6869370404998509E-2</v>
      </c>
      <c r="G19" s="29">
        <f t="shared" si="2"/>
        <v>1.2087343309378695</v>
      </c>
      <c r="H19" s="28">
        <f>+'COLOMB$ '!H19+'PROY SAT$'!H19</f>
        <v>34354.317999999999</v>
      </c>
      <c r="I19" s="29">
        <f t="shared" si="3"/>
        <v>3.4856978602192515E-2</v>
      </c>
      <c r="J19" s="30">
        <f t="shared" si="4"/>
        <v>0.54712621569143072</v>
      </c>
      <c r="K19" s="28">
        <f>+'COLOMB$ '!K19+'PROY SAT$'!K19</f>
        <v>476859</v>
      </c>
      <c r="L19" s="29">
        <f t="shared" si="5"/>
        <v>4.8463915466948664E-2</v>
      </c>
      <c r="M19" s="28">
        <f>+'COLOMB$ '!M19+'PROY SAT$'!M19</f>
        <v>578556.99600000004</v>
      </c>
      <c r="N19" s="29">
        <f t="shared" si="6"/>
        <v>5.9520534514531022E-2</v>
      </c>
      <c r="O19" s="29">
        <f t="shared" si="7"/>
        <v>1.213266386919404</v>
      </c>
      <c r="P19" s="28">
        <f>+'COLOMB$ '!P19+'PROY SAT$'!P19</f>
        <v>373280.011</v>
      </c>
      <c r="Q19" s="29">
        <f t="shared" si="8"/>
        <v>4.249140753928618E-2</v>
      </c>
      <c r="R19" s="30">
        <f t="shared" si="9"/>
        <v>0.5499276118484685</v>
      </c>
      <c r="S19" s="23"/>
      <c r="T19" s="18" t="s">
        <v>37</v>
      </c>
      <c r="U19" s="28">
        <f>U11-U17</f>
        <v>385795</v>
      </c>
      <c r="V19" s="28">
        <f>V11-V17</f>
        <v>251289.4179</v>
      </c>
      <c r="W19" s="28">
        <f>W11-W17</f>
        <v>-34524.301839999971</v>
      </c>
      <c r="X19" s="28">
        <f>X11-X17</f>
        <v>2772560</v>
      </c>
      <c r="Y19" s="28">
        <f>Y11-Y17</f>
        <v>2868774.1302199997</v>
      </c>
      <c r="Z19" s="31">
        <f>+Y19-X19</f>
        <v>96214.130219999701</v>
      </c>
      <c r="AA19" s="32">
        <f>IF(X19=0,"",(Y19-X19)/ABS(X19)+1)</f>
        <v>1.0347022716262226</v>
      </c>
      <c r="AB19" s="28">
        <f>AB11-AB17</f>
        <v>2261926.3115599994</v>
      </c>
      <c r="AC19" s="30">
        <f>IF(AB19=0,"",(Y19-AB19)/ABS(AB19))</f>
        <v>0.26828805852719012</v>
      </c>
      <c r="AE19" s="33"/>
    </row>
    <row r="20" spans="2:32" x14ac:dyDescent="0.2">
      <c r="B20" s="35" t="s">
        <v>38</v>
      </c>
      <c r="C20" s="36">
        <f>SUM(C10:C19)</f>
        <v>922889</v>
      </c>
      <c r="D20" s="37">
        <f t="shared" si="0"/>
        <v>1</v>
      </c>
      <c r="E20" s="36">
        <f>SUM(E10:E19)</f>
        <v>934606.19699999993</v>
      </c>
      <c r="F20" s="37">
        <f t="shared" si="1"/>
        <v>1</v>
      </c>
      <c r="G20" s="37">
        <f t="shared" si="2"/>
        <v>1.0126962148210672</v>
      </c>
      <c r="H20" s="36">
        <f>SUM(H10:H19)</f>
        <v>985579.34100000001</v>
      </c>
      <c r="I20" s="37">
        <f>+H22/$H$22</f>
        <v>1</v>
      </c>
      <c r="J20" s="38">
        <f t="shared" si="4"/>
        <v>-5.1718965566263923E-2</v>
      </c>
      <c r="K20" s="36">
        <f>SUM(K10:K19)</f>
        <v>9839465</v>
      </c>
      <c r="L20" s="37">
        <f t="shared" si="5"/>
        <v>1</v>
      </c>
      <c r="M20" s="36">
        <f>SUM(M10:M19)</f>
        <v>9720292.3447999991</v>
      </c>
      <c r="N20" s="37">
        <f t="shared" si="6"/>
        <v>1</v>
      </c>
      <c r="O20" s="37">
        <f t="shared" si="7"/>
        <v>0.98788829929269517</v>
      </c>
      <c r="P20" s="36">
        <f>SUM(P10:P19)</f>
        <v>8784835.1612</v>
      </c>
      <c r="Q20" s="37">
        <f t="shared" si="8"/>
        <v>1</v>
      </c>
      <c r="R20" s="38">
        <f t="shared" si="9"/>
        <v>0.10648545663459172</v>
      </c>
      <c r="S20" s="23"/>
      <c r="T20" s="18"/>
      <c r="U20" s="28"/>
      <c r="V20" s="28"/>
      <c r="W20" s="28"/>
      <c r="X20" s="28"/>
      <c r="Y20" s="28"/>
      <c r="Z20" s="31"/>
      <c r="AA20" s="32"/>
      <c r="AB20" s="28"/>
      <c r="AC20" s="30" t="str">
        <f>IF(AB20=0,"",(Y20-AB20)/ABS(AB20))</f>
        <v/>
      </c>
      <c r="AE20" s="33"/>
    </row>
    <row r="21" spans="2:32" x14ac:dyDescent="0.2">
      <c r="J21" s="30"/>
      <c r="R21" s="30"/>
      <c r="S21" s="23"/>
      <c r="T21" s="18" t="s">
        <v>39</v>
      </c>
      <c r="U21" s="28">
        <f>+U10+U19</f>
        <v>516185</v>
      </c>
      <c r="V21" s="28">
        <f>+V10+V19</f>
        <v>426172.72832000046</v>
      </c>
      <c r="W21" s="28">
        <f>+'COLOMB$ '!W21</f>
        <v>850832.40244999994</v>
      </c>
      <c r="X21" s="28">
        <f>+X10+X19</f>
        <v>3256952</v>
      </c>
      <c r="Y21" s="28">
        <f>+Y10+Y19</f>
        <v>3353166.1302199997</v>
      </c>
      <c r="Z21" s="31">
        <f>+Y21-X21</f>
        <v>96214.130219999701</v>
      </c>
      <c r="AA21" s="32">
        <f>IF(X21=0,"",(Y21-X21)/ABS(X21)+1)</f>
        <v>1.029541156952881</v>
      </c>
      <c r="AB21" s="28">
        <f>+'COLOMB$ '!AB21</f>
        <v>2852310.3115599994</v>
      </c>
      <c r="AC21" s="30">
        <f>IF(AB21=0,"",(Y21-AB21)/ABS(AB21))</f>
        <v>0.17559653892849753</v>
      </c>
    </row>
    <row r="22" spans="2:32" x14ac:dyDescent="0.2">
      <c r="B22" s="18" t="s">
        <v>40</v>
      </c>
      <c r="C22" s="28">
        <f>+'COLOMB$ '!C22+'PROY SAT$'!C22</f>
        <v>87008</v>
      </c>
      <c r="D22" s="29">
        <f>+C22/$C$20</f>
        <v>9.4277860067678784E-2</v>
      </c>
      <c r="E22" s="28">
        <f>+'COLOMB$ '!E22+'PROY SAT$'!E22</f>
        <v>122633.97957</v>
      </c>
      <c r="F22" s="29">
        <f>+E22/$E$20</f>
        <v>0.13121460136220348</v>
      </c>
      <c r="G22" s="29">
        <f>IF(C22=0,"",(E22-C22)/ABS(C22)+1)</f>
        <v>1.4094563668858036</v>
      </c>
      <c r="H22" s="28">
        <f>+'COLOMB$ '!H22+'PROY SAT$'!H22</f>
        <v>116372.80132</v>
      </c>
      <c r="I22" s="29">
        <f>+H22/$H$20</f>
        <v>0.1180755282491255</v>
      </c>
      <c r="J22" s="30">
        <f>IF(H22=0,"",(E22-H22)/ABS(H22))</f>
        <v>5.38027630080255E-2</v>
      </c>
      <c r="K22" s="28">
        <f>+'COLOMB$ '!K22+'PROY SAT$'!K22</f>
        <v>849378</v>
      </c>
      <c r="L22" s="29">
        <f>+K22/$K$20</f>
        <v>8.6323595845912357E-2</v>
      </c>
      <c r="M22" s="28">
        <f>+'COLOMB$ '!M22+'PROY SAT$'!M22</f>
        <v>913832.88694999996</v>
      </c>
      <c r="N22" s="29">
        <f>+M22/$M$20</f>
        <v>9.4012901519249792E-2</v>
      </c>
      <c r="O22" s="29">
        <f>IF(K22=0,"",(M22-K22)/ABS(K22)+1)</f>
        <v>1.0758848085893442</v>
      </c>
      <c r="P22" s="28">
        <f>+'COLOMB$ '!P22+'PROY SAT$'!P22</f>
        <v>593039.15051000006</v>
      </c>
      <c r="Q22" s="29">
        <f>+P22/$P$20</f>
        <v>6.7507146079334224E-2</v>
      </c>
      <c r="R22" s="30">
        <f>IF(P22=0,"",(M22-P22)/ABS(P22))</f>
        <v>0.54093180216537917</v>
      </c>
      <c r="S22" s="23"/>
      <c r="AC22" s="30"/>
      <c r="AE22" s="33"/>
    </row>
    <row r="23" spans="2:32" x14ac:dyDescent="0.2">
      <c r="J23" s="30"/>
      <c r="R23" s="30"/>
      <c r="S23" s="23"/>
      <c r="T23" s="18" t="s">
        <v>41</v>
      </c>
      <c r="U23" s="28">
        <f>+'COLOMB$ '!U23</f>
        <v>0</v>
      </c>
      <c r="V23" s="28">
        <f>+'COLOMB$ '!V23</f>
        <v>18703.639030000002</v>
      </c>
      <c r="W23" s="28">
        <f>+'COLOMB$ '!W23</f>
        <v>105577.825</v>
      </c>
      <c r="X23" s="28">
        <f>+'COLOMB$ '!X23</f>
        <v>424785</v>
      </c>
      <c r="Y23" s="28">
        <f>+'COLOMB$ '!Y23</f>
        <v>829394.95190999995</v>
      </c>
      <c r="Z23" s="31">
        <f>+Y23-X23</f>
        <v>404609.95190999995</v>
      </c>
      <c r="AA23" s="32">
        <f>IF(X23=0,"",(Y23-X23)/ABS(X23)+1)</f>
        <v>1.9525052718669444</v>
      </c>
      <c r="AB23" s="28">
        <f>+'COLOMB$ '!AB23</f>
        <v>490269.59399999998</v>
      </c>
      <c r="AC23" s="30">
        <f>IF(AB23=0,"",(Y23-AB23)/ABS(AB23))</f>
        <v>0.69171199287141594</v>
      </c>
    </row>
    <row r="24" spans="2:32" x14ac:dyDescent="0.2">
      <c r="B24" s="39" t="s">
        <v>42</v>
      </c>
      <c r="C24" s="28">
        <f>+C20-C22</f>
        <v>835881</v>
      </c>
      <c r="D24" s="29">
        <f>+C24/$C$20</f>
        <v>0.9057221399323212</v>
      </c>
      <c r="E24" s="28">
        <f>+E20-E22</f>
        <v>811972.21742999996</v>
      </c>
      <c r="F24" s="29">
        <f>+E24/$E$20</f>
        <v>0.86878539863779658</v>
      </c>
      <c r="G24" s="29">
        <f>IF(C24=0,"",(E24-C24)/ABS(C24)+1)</f>
        <v>0.97139690629407771</v>
      </c>
      <c r="H24" s="28">
        <f>+H20-H22</f>
        <v>869206.53968000005</v>
      </c>
      <c r="I24" s="29">
        <f>+H24/$H$20</f>
        <v>0.88192447175087452</v>
      </c>
      <c r="J24" s="30">
        <f>IF(H24=0,"",(E24-H24)/ABS(H24))</f>
        <v>-6.5846630964225147E-2</v>
      </c>
      <c r="K24" s="28">
        <f>+K20-K22</f>
        <v>8990087</v>
      </c>
      <c r="L24" s="29">
        <f>+K24/$K$20</f>
        <v>0.91367640415408768</v>
      </c>
      <c r="M24" s="28">
        <f>+M20-M22</f>
        <v>8806459.4578499999</v>
      </c>
      <c r="N24" s="29">
        <f>+M24/$M$20</f>
        <v>0.90598709848075032</v>
      </c>
      <c r="O24" s="29">
        <f>IF(K24=0,"",(M24-K24)/ABS(K24)+1)</f>
        <v>0.97957444214388578</v>
      </c>
      <c r="P24" s="28">
        <f>+P20-P22</f>
        <v>8191796.0106899999</v>
      </c>
      <c r="Q24" s="29">
        <f>+P24/$P$20</f>
        <v>0.93249285392066572</v>
      </c>
      <c r="R24" s="30">
        <f>IF(P24=0,"",(M24-P24)/ABS(P24))</f>
        <v>7.5034027502379974E-2</v>
      </c>
      <c r="S24" s="23"/>
      <c r="AC24" s="30"/>
    </row>
    <row r="25" spans="2:32" x14ac:dyDescent="0.2">
      <c r="J25" s="30"/>
      <c r="R25" s="30"/>
      <c r="T25" s="18" t="s">
        <v>43</v>
      </c>
      <c r="U25" s="28">
        <f>+'COLOMB$ '!U25</f>
        <v>310886</v>
      </c>
      <c r="V25" s="28">
        <f>+'COLOMB$ '!V25</f>
        <v>245691.45824000001</v>
      </c>
      <c r="W25" s="28">
        <f>+'COLOMB$ '!W25</f>
        <v>246393.27753999998</v>
      </c>
      <c r="X25" s="28">
        <f>+'COLOMB$ '!X25</f>
        <v>2018773</v>
      </c>
      <c r="Y25" s="28">
        <f>+'COLOMB$ '!Y25</f>
        <v>1902541.8067399999</v>
      </c>
      <c r="Z25" s="31">
        <f>+Y25-X25</f>
        <v>-116231.19326000009</v>
      </c>
      <c r="AA25" s="32">
        <f>IF(X25=0,"",(Y25-X25)/ABS(X25)+1)</f>
        <v>0.94242483267806731</v>
      </c>
      <c r="AB25" s="28">
        <f>+'COLOMB$ '!AB25</f>
        <v>1723346.2288199998</v>
      </c>
      <c r="AC25" s="30">
        <f>IF(AB25=0,"",(Y25-AB25)/ABS(AB25))</f>
        <v>0.1039811820302052</v>
      </c>
    </row>
    <row r="26" spans="2:32" x14ac:dyDescent="0.2">
      <c r="B26" s="18" t="s">
        <v>44</v>
      </c>
      <c r="C26" s="28">
        <f>+'COLOMB$ '!C26+'PROY SAT$'!C26</f>
        <v>217814</v>
      </c>
      <c r="D26" s="29">
        <f>+C26/$C$20</f>
        <v>0.23601321502369191</v>
      </c>
      <c r="E26" s="28">
        <f>+'COLOMB$ '!E26+'PROY SAT$'!E26</f>
        <v>214884.5613</v>
      </c>
      <c r="F26" s="29">
        <f>+E26/$E$20</f>
        <v>0.2299198978026892</v>
      </c>
      <c r="G26" s="29">
        <f>IF(C26=0,"",(E26-C26)/ABS(C26)+1)</f>
        <v>0.9865507327352695</v>
      </c>
      <c r="H26" s="28">
        <f>+'COLOMB$ '!H26+'PROY SAT$'!H26</f>
        <v>239430.98080999998</v>
      </c>
      <c r="I26" s="29">
        <f>+H26/$H$20</f>
        <v>0.24293425282947359</v>
      </c>
      <c r="J26" s="30">
        <f>IF(H26=0,"",(E26-H26)/ABS(H26))</f>
        <v>-0.10251981354693086</v>
      </c>
      <c r="K26" s="28">
        <f>+'COLOMB$ '!K26+'PROY SAT$'!K26</f>
        <v>2199880</v>
      </c>
      <c r="L26" s="29">
        <f>+K26/$K$20</f>
        <v>0.22357719652440453</v>
      </c>
      <c r="M26" s="28">
        <f>+'COLOMB$ '!M26+'PROY SAT$'!M26</f>
        <v>2164606.9313300001</v>
      </c>
      <c r="N26" s="29">
        <f>+M26/$M$20</f>
        <v>0.22268948860246837</v>
      </c>
      <c r="O26" s="29">
        <f>IF(K26=0,"",(M26-K26)/ABS(K26)+1)</f>
        <v>0.98396591238158448</v>
      </c>
      <c r="P26" s="28">
        <f>+'COLOMB$ '!P26+'PROY SAT$'!P26</f>
        <v>1864617.7849000001</v>
      </c>
      <c r="Q26" s="29">
        <f>+P26/$P$20</f>
        <v>0.21225415738424569</v>
      </c>
      <c r="R26" s="30">
        <f>IF(P26=0,"",(M26-P26)/ABS(P26))</f>
        <v>0.16088506119557819</v>
      </c>
      <c r="S26" s="23"/>
      <c r="AC26" s="30"/>
    </row>
    <row r="27" spans="2:32" x14ac:dyDescent="0.2">
      <c r="B27" s="18" t="s">
        <v>45</v>
      </c>
      <c r="C27" s="28">
        <f>+'COLOMB$ '!C27+'PROY SAT$'!C27</f>
        <v>265636</v>
      </c>
      <c r="D27" s="29">
        <f>+C27/$C$20</f>
        <v>0.28783093091368517</v>
      </c>
      <c r="E27" s="28">
        <f>+'COLOMB$ '!E27+'PROY SAT$'!E27</f>
        <v>280887.35704000003</v>
      </c>
      <c r="F27" s="29">
        <f>+E27/$E$20</f>
        <v>0.30054086731034169</v>
      </c>
      <c r="G27" s="29">
        <f>IF(C27=0,"",(E27-C27)/ABS(C27)+1)</f>
        <v>1.0574144959267571</v>
      </c>
      <c r="H27" s="28">
        <f>+'COLOMB$ '!H27+'PROY SAT$'!H27</f>
        <v>301368.32595999999</v>
      </c>
      <c r="I27" s="29">
        <f>+H27/$H$20</f>
        <v>0.30577784397775842</v>
      </c>
      <c r="J27" s="30">
        <f>IF(H27=0,"",(E27-H27)/ABS(H27))</f>
        <v>-6.7959925299908103E-2</v>
      </c>
      <c r="K27" s="28">
        <f>+'COLOMB$ '!K27+'PROY SAT$'!K27</f>
        <v>3092730</v>
      </c>
      <c r="L27" s="29">
        <f>+K27/$K$20</f>
        <v>0.31431891876235141</v>
      </c>
      <c r="M27" s="28">
        <f>+'COLOMB$ '!M27+'PROY SAT$'!M27</f>
        <v>3138666.7192699998</v>
      </c>
      <c r="N27" s="29">
        <f>+M27/$M$20</f>
        <v>0.32289838699646434</v>
      </c>
      <c r="O27" s="29">
        <f>IF(K27=0,"",(M27-K27)/ABS(K27)+1)</f>
        <v>1.0148531295231074</v>
      </c>
      <c r="P27" s="28">
        <f>+'COLOMB$ '!P27+'PROY SAT$'!P27</f>
        <v>3245531.1843000003</v>
      </c>
      <c r="Q27" s="29">
        <f>+P27/$P$20</f>
        <v>0.36944702145744801</v>
      </c>
      <c r="R27" s="30">
        <f>IF(P27=0,"",(M27-P27)/ABS(P27))</f>
        <v>-3.2926648662921165E-2</v>
      </c>
      <c r="S27" s="23"/>
      <c r="T27" s="18" t="s">
        <v>46</v>
      </c>
      <c r="U27" s="28">
        <f>+'COLOMB$ '!U27</f>
        <v>80610</v>
      </c>
      <c r="V27" s="28">
        <f>+'COLOMB$ '!V27</f>
        <v>-2469.8958299999999</v>
      </c>
      <c r="W27" s="28">
        <f>+'COLOMB$ '!W27</f>
        <v>56230.941159999995</v>
      </c>
      <c r="X27" s="28">
        <f>+'COLOMB$ '!X27</f>
        <v>146205</v>
      </c>
      <c r="Y27" s="28">
        <f>+'COLOMB$ '!Y27</f>
        <v>-27589.795309999998</v>
      </c>
      <c r="Z27" s="31">
        <f>+Y27-X27</f>
        <v>-173794.79530999999</v>
      </c>
      <c r="AA27" s="32">
        <f>IF(X27=0,"",(Y27-X27)/ABS(X27)+1)</f>
        <v>-0.18870623651721896</v>
      </c>
      <c r="AB27" s="28">
        <f>+'COLOMB$ '!AB27</f>
        <v>196063.67552000002</v>
      </c>
      <c r="AC27" s="30">
        <f>IF(AB27=0,"",(Y27-AB27)/ABS(AB27))</f>
        <v>-1.1407185458337774</v>
      </c>
    </row>
    <row r="28" spans="2:32" x14ac:dyDescent="0.2">
      <c r="B28" s="18" t="s">
        <v>47</v>
      </c>
      <c r="C28" s="28">
        <f>SUM(C26:C27)</f>
        <v>483450</v>
      </c>
      <c r="D28" s="29">
        <f>+C28/$C$20</f>
        <v>0.52384414593737705</v>
      </c>
      <c r="E28" s="28">
        <f>SUM(E26:E27)</f>
        <v>495771.91834000003</v>
      </c>
      <c r="F28" s="29">
        <f>+E28/$E$20</f>
        <v>0.53046076511303086</v>
      </c>
      <c r="G28" s="29">
        <f>IF(C28=0,"",(E28-C28)/ABS(C28)+1)</f>
        <v>1.0254874720033096</v>
      </c>
      <c r="H28" s="28">
        <f>SUM(H26:H27)</f>
        <v>540799.30676999991</v>
      </c>
      <c r="I28" s="29">
        <f>+H28/$H$20</f>
        <v>0.54871209680723199</v>
      </c>
      <c r="J28" s="30">
        <f>IF(H28=0,"",(E28-H28)/ABS(H28))</f>
        <v>-8.3260810186559411E-2</v>
      </c>
      <c r="K28" s="28">
        <f>SUM(K26:K27)</f>
        <v>5292610</v>
      </c>
      <c r="L28" s="29">
        <f>+K28/$K$20</f>
        <v>0.53789611528675596</v>
      </c>
      <c r="M28" s="28">
        <f>SUM(M26:M27)</f>
        <v>5303273.6505999994</v>
      </c>
      <c r="N28" s="29">
        <f>+M28/$M$20</f>
        <v>0.54558787559893263</v>
      </c>
      <c r="O28" s="29">
        <f>IF(K28=0,"",(M28-K28)/ABS(K28)+1)</f>
        <v>1.002014818888979</v>
      </c>
      <c r="P28" s="28">
        <f>SUM(P26:P27)</f>
        <v>5110148.9692000002</v>
      </c>
      <c r="Q28" s="29">
        <f>+P28/$P$20</f>
        <v>0.5817011788416937</v>
      </c>
      <c r="R28" s="30">
        <f>IF(P28=0,"",(M28-P28)/ABS(P28))</f>
        <v>3.7792377984282734E-2</v>
      </c>
      <c r="S28" s="23"/>
      <c r="T28" s="18" t="s">
        <v>48</v>
      </c>
      <c r="U28" s="28">
        <f>+'COLOMB$ '!U28</f>
        <v>77500</v>
      </c>
      <c r="V28" s="28">
        <f>+'COLOMB$ '!V28</f>
        <v>87490.464000000007</v>
      </c>
      <c r="W28" s="28">
        <f>+'COLOMB$ '!W28</f>
        <v>0</v>
      </c>
      <c r="X28" s="28">
        <f>+'COLOMB$ '!X28</f>
        <v>620000</v>
      </c>
      <c r="Y28" s="28">
        <f>+'COLOMB$ '!Y28</f>
        <v>572062.10400000005</v>
      </c>
      <c r="Z28" s="31">
        <f>+Y28-X28</f>
        <v>-47937.89599999995</v>
      </c>
      <c r="AA28" s="32">
        <f>IF(X28=0,"",(Y28-X28)/ABS(X28)+1)</f>
        <v>0.9226808129032259</v>
      </c>
      <c r="AB28" s="28">
        <f>+'COLOMB$ '!AB28</f>
        <v>0</v>
      </c>
      <c r="AC28" s="30" t="str">
        <f>IF(AB28=0,"",(Y28-AB28)/ABS(AB28))</f>
        <v/>
      </c>
    </row>
    <row r="29" spans="2:32" x14ac:dyDescent="0.2">
      <c r="J29" s="30"/>
      <c r="R29" s="30"/>
      <c r="S29" s="23"/>
      <c r="AC29" s="2"/>
    </row>
    <row r="30" spans="2:32" x14ac:dyDescent="0.2">
      <c r="B30" s="18" t="s">
        <v>49</v>
      </c>
      <c r="C30" s="28">
        <f>+'COLOMB$ '!C30+'PROY SAT$'!C30</f>
        <v>57334</v>
      </c>
      <c r="D30" s="29">
        <f>+C30/$C$20</f>
        <v>6.21244808422248E-2</v>
      </c>
      <c r="E30" s="28">
        <f>+'COLOMB$ '!E30+'PROY SAT$'!E30</f>
        <v>56240.612999999998</v>
      </c>
      <c r="F30" s="29">
        <f>+E30/$E$20</f>
        <v>6.017573303122449E-2</v>
      </c>
      <c r="G30" s="29">
        <f>IF(C30=0,"",(E30-C30)/ABS(C30)+1)</f>
        <v>0.9809295182614155</v>
      </c>
      <c r="H30" s="28">
        <f>+'COLOMB$ '!H30+'PROY SAT$'!H30</f>
        <v>43685.829519999999</v>
      </c>
      <c r="I30" s="29">
        <f>+H30/$H$20</f>
        <v>4.4325025599334267E-2</v>
      </c>
      <c r="J30" s="30">
        <f>IF(H30=0,"",(E30-H30)/ABS(H30))</f>
        <v>0.2873880070024134</v>
      </c>
      <c r="K30" s="28">
        <f>+'COLOMB$ '!K30+'PROY SAT$'!K30</f>
        <v>595304</v>
      </c>
      <c r="L30" s="29">
        <f>+K30/$K$20</f>
        <v>6.0501663454263013E-2</v>
      </c>
      <c r="M30" s="28">
        <f>+'COLOMB$ '!M30+'PROY SAT$'!M30</f>
        <v>564146.44182999991</v>
      </c>
      <c r="N30" s="29">
        <f>+M30/$M$20</f>
        <v>5.8038011802371108E-2</v>
      </c>
      <c r="O30" s="29">
        <f>IF(K30=0,"",(M30-K30)/ABS(K30)+1)</f>
        <v>0.94766109723771375</v>
      </c>
      <c r="P30" s="28">
        <f>+'COLOMB$ '!P30+'PROY SAT$'!P30</f>
        <v>449603.74518000003</v>
      </c>
      <c r="Q30" s="29">
        <f>+P30/$P$20</f>
        <v>5.1179531195504481E-2</v>
      </c>
      <c r="R30" s="30">
        <f>IF(P30=0,"",(M30-P30)/ABS(P30))</f>
        <v>0.25476366217577306</v>
      </c>
      <c r="S30" s="23"/>
      <c r="T30" s="35" t="s">
        <v>50</v>
      </c>
      <c r="U30" s="36">
        <f>U21-U23-U25-U27-U28</f>
        <v>47189</v>
      </c>
      <c r="V30" s="36">
        <f>V21-V23-V25-V27-V28</f>
        <v>76757.06288000042</v>
      </c>
      <c r="W30" s="36">
        <f>W21-W23-W25-W27-W28</f>
        <v>442630.35875000001</v>
      </c>
      <c r="X30" s="36">
        <f>X21-X23-X25-X27-X28</f>
        <v>47189</v>
      </c>
      <c r="Y30" s="36">
        <f>Y21-Y23-Y25-Y27-Y28</f>
        <v>76757.062879999867</v>
      </c>
      <c r="Z30" s="40">
        <f>+Y30-X30</f>
        <v>29568.062879999867</v>
      </c>
      <c r="AA30" s="41">
        <f>IF(U30=0,"",(V30-U30)/ABS(U30)+1)</f>
        <v>1.6265880370425401</v>
      </c>
      <c r="AB30" s="36">
        <f>AB21-AB23-AB25-AB27-AB28</f>
        <v>442630.81321999943</v>
      </c>
      <c r="AC30" s="30">
        <f>IF(AB30=0,"",(Y30-AB30)/ABS(AB30))</f>
        <v>-0.82658897530965714</v>
      </c>
    </row>
    <row r="31" spans="2:32" x14ac:dyDescent="0.2">
      <c r="B31" s="18" t="s">
        <v>51</v>
      </c>
      <c r="C31" s="28">
        <f>+'COLOMB$ '!C31+'PROY SAT$'!C31</f>
        <v>168463</v>
      </c>
      <c r="D31" s="29">
        <f>+C31/$C$20</f>
        <v>0.18253874517953947</v>
      </c>
      <c r="E31" s="28">
        <f>+'COLOMB$ '!E31+'PROY SAT$'!E31</f>
        <v>166083.7065</v>
      </c>
      <c r="F31" s="29">
        <f>+E31/$E$20</f>
        <v>0.17770447813540446</v>
      </c>
      <c r="G31" s="29">
        <f>IF(C31=0,"",(E31-C31)/ABS(C31)+1)</f>
        <v>0.98587646248731176</v>
      </c>
      <c r="H31" s="28">
        <f>+'COLOMB$ '!H31+'PROY SAT$'!H31</f>
        <v>178292.72094999999</v>
      </c>
      <c r="I31" s="29">
        <f>+H31/$H$20</f>
        <v>0.18090143891317623</v>
      </c>
      <c r="J31" s="30">
        <f>IF(H31=0,"",(E31-H31)/ABS(H31))</f>
        <v>-6.8477357824517443E-2</v>
      </c>
      <c r="K31" s="28">
        <f>+'COLOMB$ '!K31+'PROY SAT$'!K31</f>
        <v>1901069</v>
      </c>
      <c r="L31" s="29">
        <f>+K31/$K$20</f>
        <v>0.19320857384014273</v>
      </c>
      <c r="M31" s="28">
        <f>+'COLOMB$ '!M31+'PROY SAT$'!M31</f>
        <v>1869947.8043099998</v>
      </c>
      <c r="N31" s="29">
        <f>+M31/$M$20</f>
        <v>0.19237567533762021</v>
      </c>
      <c r="O31" s="29">
        <f>IF(K31=0,"",(M31-K31)/ABS(K31)+1)</f>
        <v>0.98362963380603219</v>
      </c>
      <c r="P31" s="28">
        <f>+'COLOMB$ '!P31+'PROY SAT$'!P31</f>
        <v>1693136.39876</v>
      </c>
      <c r="Q31" s="29">
        <f>+P31/$P$20</f>
        <v>0.19273399758689602</v>
      </c>
      <c r="R31" s="30">
        <f>IF(P31=0,"",(M31-P31)/ABS(P31))</f>
        <v>0.10442832938887317</v>
      </c>
      <c r="S31" s="23"/>
    </row>
    <row r="32" spans="2:32" x14ac:dyDescent="0.2">
      <c r="B32" s="18" t="s">
        <v>52</v>
      </c>
      <c r="C32" s="28">
        <f>SUM(C30:C31)</f>
        <v>225797</v>
      </c>
      <c r="D32" s="29">
        <f>+C32/$C$20</f>
        <v>0.24466322602176427</v>
      </c>
      <c r="E32" s="28">
        <f>SUM(E30:E31)</f>
        <v>222324.31949999998</v>
      </c>
      <c r="F32" s="29">
        <f>+E32/$E$20</f>
        <v>0.23788021116662894</v>
      </c>
      <c r="G32" s="29">
        <f>IF(C32=0,"",(E32-C32)/ABS(C32)+1)</f>
        <v>0.9846203426086263</v>
      </c>
      <c r="H32" s="28">
        <f>SUM(H30:H31)</f>
        <v>221978.55046999999</v>
      </c>
      <c r="I32" s="29">
        <f>+H32/$H$20</f>
        <v>0.22522646451251049</v>
      </c>
      <c r="J32" s="30">
        <f>IF(H32=0,"",(E32-H32)/ABS(H32))</f>
        <v>1.5576686543266978E-3</v>
      </c>
      <c r="K32" s="28">
        <f>SUM(K30:K31)</f>
        <v>2496373</v>
      </c>
      <c r="L32" s="29">
        <f>+K32/$K$20</f>
        <v>0.25371023729440573</v>
      </c>
      <c r="M32" s="28">
        <f>SUM(M30:M31)</f>
        <v>2434094.2461399995</v>
      </c>
      <c r="N32" s="29">
        <f>+M32/$M$20</f>
        <v>0.25041368713999129</v>
      </c>
      <c r="O32" s="29">
        <f>IF(K32=0,"",(M32-K32)/ABS(K32)+1)</f>
        <v>0.97505230433913503</v>
      </c>
      <c r="P32" s="28">
        <f t="shared" ref="P32" si="10">SUM(P30:P31)</f>
        <v>2142740.1439399999</v>
      </c>
      <c r="Q32" s="29">
        <f>+P32/$P$20</f>
        <v>0.24391352878240047</v>
      </c>
      <c r="R32" s="30">
        <f>IF(P32=0,"",(M32-P32)/ABS(P32))</f>
        <v>0.13597267173249825</v>
      </c>
      <c r="S32" s="23"/>
    </row>
    <row r="33" spans="2:20" x14ac:dyDescent="0.2">
      <c r="J33" s="30"/>
      <c r="R33" s="30"/>
      <c r="S33" s="23"/>
    </row>
    <row r="34" spans="2:20" x14ac:dyDescent="0.2">
      <c r="B34" s="18" t="s">
        <v>53</v>
      </c>
      <c r="C34" s="28">
        <f>C28+C32</f>
        <v>709247</v>
      </c>
      <c r="D34" s="29">
        <f>+C34/$C$20</f>
        <v>0.76850737195914132</v>
      </c>
      <c r="E34" s="28">
        <f>E28+E32</f>
        <v>718096.23784000007</v>
      </c>
      <c r="F34" s="29">
        <f>+E34/$E$20</f>
        <v>0.76834097627965992</v>
      </c>
      <c r="G34" s="29">
        <f>IF(C34=0,"",(E34-C34)/ABS(C34)+1)</f>
        <v>1.0124769478616054</v>
      </c>
      <c r="H34" s="28">
        <f>H28+H32</f>
        <v>762777.85723999992</v>
      </c>
      <c r="I34" s="29">
        <f>+H34/$H$20</f>
        <v>0.77393856131974248</v>
      </c>
      <c r="J34" s="30">
        <f>IF(H34=0,"",(E34-H34)/ABS(H34))</f>
        <v>-5.8577499301924879E-2</v>
      </c>
      <c r="K34" s="28">
        <f>K28+K32</f>
        <v>7788983</v>
      </c>
      <c r="L34" s="29">
        <f>+K34/$K$20</f>
        <v>0.79160635258116163</v>
      </c>
      <c r="M34" s="28">
        <f>M28+M32</f>
        <v>7737367.8967399988</v>
      </c>
      <c r="N34" s="29">
        <f>+M34/$M$20</f>
        <v>0.79600156273892397</v>
      </c>
      <c r="O34" s="29">
        <f>IF(K34=0,"",(M34-K34)/ABS(K34)+1)</f>
        <v>0.99337331930753969</v>
      </c>
      <c r="P34" s="28">
        <f>P28+P32</f>
        <v>7252889.11314</v>
      </c>
      <c r="Q34" s="29">
        <f>+P34/$P$20</f>
        <v>0.82561470762409417</v>
      </c>
      <c r="R34" s="30">
        <f>IF(P34=0,"",(M34-P34)/ABS(P34))</f>
        <v>6.6798040896871358E-2</v>
      </c>
      <c r="S34" s="23"/>
    </row>
    <row r="35" spans="2:20" x14ac:dyDescent="0.2">
      <c r="J35" s="30"/>
      <c r="R35" s="30"/>
      <c r="S35" s="23"/>
    </row>
    <row r="36" spans="2:20" x14ac:dyDescent="0.2">
      <c r="B36" s="35" t="s">
        <v>54</v>
      </c>
      <c r="C36" s="36">
        <f>C24-C34</f>
        <v>126634</v>
      </c>
      <c r="D36" s="37">
        <f>+C36/$C$20</f>
        <v>0.13721476797317989</v>
      </c>
      <c r="E36" s="36">
        <f>E24-E34</f>
        <v>93875.979589999886</v>
      </c>
      <c r="F36" s="37">
        <f>+E36/$E$20</f>
        <v>0.10044442235813668</v>
      </c>
      <c r="G36" s="37">
        <f>IF(C36=0,"",(E36-C36)/ABS(C36)+1)</f>
        <v>0.74131733649730625</v>
      </c>
      <c r="H36" s="36">
        <f>H24-H34</f>
        <v>106428.68244000012</v>
      </c>
      <c r="I36" s="37">
        <f>+H36/$H$20</f>
        <v>0.10798591043113202</v>
      </c>
      <c r="J36" s="38">
        <f>IF(H36=0,"",(E36-H36)/ABS(H36))</f>
        <v>-0.11794473596980687</v>
      </c>
      <c r="K36" s="36">
        <f>K24-K34</f>
        <v>1201104</v>
      </c>
      <c r="L36" s="37">
        <f>+K36/$K$20</f>
        <v>0.12207005157292597</v>
      </c>
      <c r="M36" s="36">
        <f>+M24-M34</f>
        <v>1069091.5611100011</v>
      </c>
      <c r="N36" s="37">
        <f>+M36/$M$20</f>
        <v>0.10998553574182632</v>
      </c>
      <c r="O36" s="37">
        <f>IF(K36=0,"",(M36-K36)/ABS(K36)+1)</f>
        <v>0.890090750767628</v>
      </c>
      <c r="P36" s="36">
        <f>P24-P34</f>
        <v>938906.89754999988</v>
      </c>
      <c r="Q36" s="37">
        <f>+P36/$P$20</f>
        <v>0.10687814629657161</v>
      </c>
      <c r="R36" s="38">
        <f>IF(P36=0,"",(M36-P36)/ABS(P36))</f>
        <v>0.13865556201547494</v>
      </c>
      <c r="S36" s="23"/>
    </row>
    <row r="37" spans="2:20" x14ac:dyDescent="0.2">
      <c r="J37" s="30"/>
      <c r="R37" s="30"/>
      <c r="S37" s="23"/>
    </row>
    <row r="38" spans="2:20" x14ac:dyDescent="0.2">
      <c r="B38" s="18" t="s">
        <v>55</v>
      </c>
      <c r="C38" s="28">
        <f>+'COLOMB$ '!C38+'PROY SAT$'!C38</f>
        <v>640</v>
      </c>
      <c r="D38" s="29">
        <f>+C38/$C$20</f>
        <v>6.9347451318630955E-4</v>
      </c>
      <c r="E38" s="28">
        <f>+'COLOMB$ '!E38+'PROY SAT$'!E38</f>
        <v>127.16671000000001</v>
      </c>
      <c r="F38" s="29">
        <f>+E38/$E$20</f>
        <v>1.3606448406633026E-4</v>
      </c>
      <c r="G38" s="29">
        <f>IF(C38=0,"",(E38-C38)/ABS(C38)+1)</f>
        <v>0.19869798437499997</v>
      </c>
      <c r="H38" s="28">
        <f>+'COLOMB$ '!H38+'PROY SAT$'!H38</f>
        <v>6254.1690199999994</v>
      </c>
      <c r="I38" s="29">
        <f>+H38/$H$20</f>
        <v>6.345677876784959E-3</v>
      </c>
      <c r="J38" s="30">
        <f>IF(H38=0,"",(E38-H38)/ABS(H38))</f>
        <v>-0.97966688946311842</v>
      </c>
      <c r="K38" s="28">
        <f>+'COLOMB$ '!K38+'PROY SAT$'!K38</f>
        <v>7040</v>
      </c>
      <c r="L38" s="29">
        <f>+K38/$K$20</f>
        <v>7.1548605539020673E-4</v>
      </c>
      <c r="M38" s="28">
        <f>+'COLOMB$ '!M38+'PROY SAT$'!M38</f>
        <v>24164.477070000001</v>
      </c>
      <c r="N38" s="29">
        <f>+M38/$M$20</f>
        <v>2.4859825417624516E-3</v>
      </c>
      <c r="O38" s="29">
        <f>IF(K38=0,"",(M38-K38)/ABS(K38)+1)</f>
        <v>3.4324541292613637</v>
      </c>
      <c r="P38" s="28">
        <f>+'COLOMB$ '!P38+'PROY SAT$'!P38</f>
        <v>219336.56050999998</v>
      </c>
      <c r="Q38" s="29">
        <f>+P38/$P$20</f>
        <v>2.4967635303931965E-2</v>
      </c>
      <c r="R38" s="30">
        <f>IF(P38=0,"",(M38-P38)/ABS(P38))</f>
        <v>-0.88982923314830453</v>
      </c>
      <c r="S38" s="23"/>
    </row>
    <row r="39" spans="2:20" x14ac:dyDescent="0.2">
      <c r="B39" s="18" t="s">
        <v>56</v>
      </c>
      <c r="C39" s="28">
        <f>+'COLOMB$ '!C39+'PROY SAT$'!C39</f>
        <v>14346</v>
      </c>
      <c r="D39" s="29">
        <f>+C39/$C$20</f>
        <v>1.554466463464187E-2</v>
      </c>
      <c r="E39" s="28">
        <f>+'COLOMB$ '!E39+'PROY SAT$'!E39</f>
        <v>21606.4614</v>
      </c>
      <c r="F39" s="29">
        <f>+E39/$E$20</f>
        <v>2.3118251804187428E-2</v>
      </c>
      <c r="G39" s="29">
        <f>IF(C39=0,"",(E39-C39)/ABS(C39)+1)</f>
        <v>1.5060965704726055</v>
      </c>
      <c r="H39" s="28">
        <f>+'COLOMB$ '!H39+'PROY SAT$'!H39</f>
        <v>15763.61312</v>
      </c>
      <c r="I39" s="29">
        <f>+H39/$H$20</f>
        <v>1.5994260902430991E-2</v>
      </c>
      <c r="J39" s="30">
        <f>IF(H39=0,"",(E39-H39)/ABS(H39))</f>
        <v>0.37065412830938599</v>
      </c>
      <c r="K39" s="28">
        <f>+'COLOMB$ '!K39+'PROY SAT$'!K39</f>
        <v>164234</v>
      </c>
      <c r="L39" s="29">
        <f>+K39/$K$20</f>
        <v>1.66913546620675E-2</v>
      </c>
      <c r="M39" s="28">
        <f>+'COLOMB$ '!M39+'PROY SAT$'!M39</f>
        <v>213101.72454</v>
      </c>
      <c r="N39" s="29">
        <f>+M39/$M$20</f>
        <v>2.1923386353086553E-2</v>
      </c>
      <c r="O39" s="29">
        <f>IF(K39=0,"",(M39-K39)/ABS(K39)+1)</f>
        <v>1.2975493779607146</v>
      </c>
      <c r="P39" s="28">
        <f>+'COLOMB$ '!P39+'PROY SAT$'!P39</f>
        <v>284521.57841000002</v>
      </c>
      <c r="Q39" s="29">
        <f>+P39/$P$20</f>
        <v>3.2387810720302078E-2</v>
      </c>
      <c r="R39" s="30">
        <f>IF(P39=0,"",(M39-P39)/ABS(P39))</f>
        <v>-0.25101735435715494</v>
      </c>
      <c r="S39" s="23"/>
    </row>
    <row r="40" spans="2:20" x14ac:dyDescent="0.2">
      <c r="J40" s="30"/>
      <c r="R40" s="30"/>
    </row>
    <row r="41" spans="2:20" x14ac:dyDescent="0.2">
      <c r="B41" s="18" t="s">
        <v>57</v>
      </c>
      <c r="C41" s="28">
        <f>C36+C38-C39</f>
        <v>112928</v>
      </c>
      <c r="D41" s="29">
        <f>+C41/$C$20</f>
        <v>0.12236357785172432</v>
      </c>
      <c r="E41" s="28">
        <f>E36+E38-E39</f>
        <v>72396.684899999891</v>
      </c>
      <c r="F41" s="29">
        <f>+E41/$E$20</f>
        <v>7.7462235038015581E-2</v>
      </c>
      <c r="G41" s="29">
        <f>IF(C41=0,"",(E41-C41)/ABS(C41)+1)</f>
        <v>0.64108710771464905</v>
      </c>
      <c r="H41" s="28">
        <f>H36+H38-H39</f>
        <v>96919.238340000127</v>
      </c>
      <c r="I41" s="29">
        <f>+H41/$H$20</f>
        <v>9.8337327405485994E-2</v>
      </c>
      <c r="J41" s="30">
        <f>IF(H41=0,"",(E41-H41)/ABS(H41))</f>
        <v>-0.25302049273203364</v>
      </c>
      <c r="K41" s="28">
        <f>K36+K38-K39</f>
        <v>1043910</v>
      </c>
      <c r="L41" s="29">
        <f>+K41/$K$20</f>
        <v>0.10609418296624867</v>
      </c>
      <c r="M41" s="28">
        <f>M36+M38-M39</f>
        <v>880154.31364000111</v>
      </c>
      <c r="N41" s="29">
        <f>+M41/$M$20</f>
        <v>9.0548131930502221E-2</v>
      </c>
      <c r="O41" s="29">
        <f>IF(K41=0,"",(M41-K41)/ABS(K41)+1)</f>
        <v>0.84313237121974227</v>
      </c>
      <c r="P41" s="28">
        <f>P36+P38-P39</f>
        <v>873721.87964999978</v>
      </c>
      <c r="Q41" s="29">
        <f>+P41/$P$20</f>
        <v>9.9457970880201488E-2</v>
      </c>
      <c r="R41" s="30">
        <f>IF(P41=0,"",(M41-P41)/ABS(P41))</f>
        <v>7.3621070272133606E-3</v>
      </c>
    </row>
    <row r="42" spans="2:20" x14ac:dyDescent="0.2">
      <c r="B42" s="18" t="s">
        <v>43</v>
      </c>
      <c r="C42" s="28">
        <f>+'COLOMB$ '!C42+'PROY SAT$'!C42</f>
        <v>40652</v>
      </c>
      <c r="D42" s="29">
        <f>+C42/$C$20</f>
        <v>4.4048634234452898E-2</v>
      </c>
      <c r="E42" s="28">
        <f>+'COLOMB$ '!E42+'PROY SAT$'!E42</f>
        <v>27069.234</v>
      </c>
      <c r="F42" s="29">
        <f>+E42/$E$20</f>
        <v>2.8963251139238918E-2</v>
      </c>
      <c r="G42" s="29">
        <f>IF(C42=0,"",(E42-C42)/ABS(C42)+1)</f>
        <v>0.66587705401948249</v>
      </c>
      <c r="H42" s="28">
        <f>+'COLOMB$ '!H42+'PROY SAT$'!H42</f>
        <v>41021.451000000001</v>
      </c>
      <c r="I42" s="29">
        <f>+H42/$H$20</f>
        <v>4.162166280634326E-2</v>
      </c>
      <c r="J42" s="30">
        <f>IF(H42=0,"",(E42-H42)/ABS(H42))</f>
        <v>-0.34012002647102857</v>
      </c>
      <c r="K42" s="28">
        <f>+'COLOMB$ '!K42+'PROY SAT$'!K42</f>
        <v>375812</v>
      </c>
      <c r="L42" s="29">
        <f>+K42/$K$20</f>
        <v>3.8194353046634141E-2</v>
      </c>
      <c r="M42" s="28">
        <f>+'COLOMB$ '!M42+'PROY SAT$'!M42</f>
        <v>326959.68599999999</v>
      </c>
      <c r="N42" s="29">
        <f>+M42/$M$20</f>
        <v>3.3636816095856566E-2</v>
      </c>
      <c r="O42" s="29">
        <f>IF(K42=0,"",(M42-K42)/ABS(K42)+1)</f>
        <v>0.8700086372973721</v>
      </c>
      <c r="P42" s="28">
        <f>+'COLOMB$ '!P42+'PROY SAT$'!P42</f>
        <v>318950.636</v>
      </c>
      <c r="Q42" s="29">
        <f>+P42/$P$20</f>
        <v>3.6306957404130924E-2</v>
      </c>
      <c r="R42" s="30">
        <f>IF(P42=0,"",(M42-P42)/ABS(P42))</f>
        <v>2.5110625582825265E-2</v>
      </c>
    </row>
    <row r="43" spans="2:20" x14ac:dyDescent="0.2">
      <c r="B43" s="35" t="s">
        <v>58</v>
      </c>
      <c r="C43" s="36">
        <f>C41-C42</f>
        <v>72276</v>
      </c>
      <c r="D43" s="37">
        <f>+C43/$C$20</f>
        <v>7.8314943617271413E-2</v>
      </c>
      <c r="E43" s="36">
        <f>E41-E42</f>
        <v>45327.450899999894</v>
      </c>
      <c r="F43" s="37">
        <f>+E43/$E$20</f>
        <v>4.8498983898776674E-2</v>
      </c>
      <c r="G43" s="37">
        <f>IF(C43=0,"",(E43-C43)/ABS(C43)+1)</f>
        <v>0.62714387763572832</v>
      </c>
      <c r="H43" s="36">
        <f>H41-H42</f>
        <v>55897.787340000126</v>
      </c>
      <c r="I43" s="37">
        <f>+H43/$H$20</f>
        <v>5.6715664599142734E-2</v>
      </c>
      <c r="J43" s="38">
        <f>IF(H43=0,"",(E43-H43)/ABS(H43))</f>
        <v>-0.18910116022492651</v>
      </c>
      <c r="K43" s="36">
        <f>+K41-K42</f>
        <v>668098</v>
      </c>
      <c r="L43" s="37">
        <f>+K43/$K$20</f>
        <v>6.7899829919614532E-2</v>
      </c>
      <c r="M43" s="36">
        <f>+M41-M42</f>
        <v>553194.62764000113</v>
      </c>
      <c r="N43" s="37">
        <f>+M43/$M$20</f>
        <v>5.6911315834645655E-2</v>
      </c>
      <c r="O43" s="37">
        <f>IF(K43=0,"",(M43-K43)/ABS(K43)+1)</f>
        <v>0.82801419498337236</v>
      </c>
      <c r="P43" s="36">
        <f>+P41-P42</f>
        <v>554771.24364999984</v>
      </c>
      <c r="Q43" s="37">
        <f>+P43/$P$20</f>
        <v>6.3151013476070578E-2</v>
      </c>
      <c r="R43" s="38">
        <f>IF(P43=0,"",(M43-P43)/ABS(P43))</f>
        <v>-2.8419209323571034E-3</v>
      </c>
      <c r="T43" s="33"/>
    </row>
    <row r="44" spans="2:20" x14ac:dyDescent="0.2">
      <c r="J44" s="30"/>
      <c r="R44" s="30"/>
    </row>
    <row r="45" spans="2:20" x14ac:dyDescent="0.2">
      <c r="B45" s="18" t="s">
        <v>59</v>
      </c>
      <c r="C45" s="28">
        <f>+'COLOMB$ '!C45+'PROY SAT$'!C45</f>
        <v>167677</v>
      </c>
      <c r="D45" s="29">
        <f>+C45/$C$20</f>
        <v>0.18168707179303253</v>
      </c>
      <c r="E45" s="28">
        <f>+'COLOMB$ '!E45+'PROY SAT$'!E45</f>
        <v>136331.82307999997</v>
      </c>
      <c r="F45" s="29">
        <f>+E45/$E$20</f>
        <v>0.14587087429723086</v>
      </c>
      <c r="G45" s="29">
        <f>IF(C45=0,"",(E45-C45)/ABS(C45)+1)</f>
        <v>0.81306215569219376</v>
      </c>
      <c r="H45" s="28">
        <f>+'COLOMB$ '!H45+'PROY SAT$'!H45</f>
        <v>90426.027420000028</v>
      </c>
      <c r="I45" s="29">
        <f>+H45/$H$20</f>
        <v>9.1749110049578475E-2</v>
      </c>
      <c r="J45" s="30">
        <f>IF(H45=0,"",(E45-H45)/ABS(H45))</f>
        <v>0.50766131134769621</v>
      </c>
      <c r="K45" s="28">
        <f>+'COLOMB$ '!K45+'PROY SAT$'!K45</f>
        <v>1654758</v>
      </c>
      <c r="L45" s="29">
        <f>+K45/$K$20</f>
        <v>0.16817560710871984</v>
      </c>
      <c r="M45" s="28">
        <f>+'COLOMB$ '!M45+'PROY SAT$'!M45</f>
        <v>1536262.3454300009</v>
      </c>
      <c r="N45" s="29">
        <f>+M45/$M$20</f>
        <v>0.15804692811033044</v>
      </c>
      <c r="O45" s="29">
        <f>IF(K45=0,"",(M45-K45)/ABS(K45)+1)</f>
        <v>0.92839094624712548</v>
      </c>
      <c r="P45" s="28">
        <f>+'COLOMB$ '!P45+'PROY SAT$'!P45</f>
        <v>1336954.7231199995</v>
      </c>
      <c r="Q45" s="29">
        <f>+P45/$P$20</f>
        <v>0.1521889367970079</v>
      </c>
      <c r="R45" s="30">
        <f>IF(P45=0,"",(M45-P45)/ABS(P45))</f>
        <v>0.14907582049217413</v>
      </c>
    </row>
    <row r="46" spans="2:20" x14ac:dyDescent="0.2">
      <c r="B46" s="18" t="s">
        <v>34</v>
      </c>
      <c r="C46" s="28">
        <f>+'COLOMB$ '!C46+'PROY SAT$'!C46</f>
        <v>380074</v>
      </c>
      <c r="D46" s="29">
        <f>+C46/$C$20</f>
        <v>0.41183067519495842</v>
      </c>
      <c r="E46" s="28">
        <f>+'COLOMB$ '!E46+'PROY SAT$'!E46</f>
        <v>361695.23</v>
      </c>
      <c r="F46" s="29">
        <f>+E46/$E$20</f>
        <v>0.38700281590364849</v>
      </c>
      <c r="G46" s="29">
        <f>IF(C46=0,"",(E46-C46)/ABS(C46)+1)</f>
        <v>0.95164423243894602</v>
      </c>
      <c r="H46" s="28">
        <f>+'COLOMB$ '!H46+'PROY SAT$'!H46</f>
        <v>355618.67599999998</v>
      </c>
      <c r="I46" s="29">
        <f>+H46/$H$20</f>
        <v>0.36082196653917076</v>
      </c>
      <c r="J46" s="30">
        <f>IF(H46=0,"",(E46-H46)/ABS(H46))</f>
        <v>1.7087274685202429E-2</v>
      </c>
      <c r="K46" s="28">
        <f>+'COLOMB$ '!K46+'PROY SAT$'!K46</f>
        <v>4028825</v>
      </c>
      <c r="L46" s="29">
        <f>+K46/$K$20</f>
        <v>0.40945569703230816</v>
      </c>
      <c r="M46" s="28">
        <f>+'COLOMB$ '!M46+'PROY SAT$'!M46</f>
        <v>3869215.1510000001</v>
      </c>
      <c r="N46" s="29">
        <f>+M46/$M$20</f>
        <v>0.39805543020214701</v>
      </c>
      <c r="O46" s="29">
        <f>IF(K46=0,"",(M46-K46)/ABS(K46)+1)</f>
        <v>0.96038302755766258</v>
      </c>
      <c r="P46" s="28">
        <f>+'COLOMB$ '!P46+'PROY SAT$'!P46</f>
        <v>3529598.55</v>
      </c>
      <c r="Q46" s="29">
        <f>+P46/$P$20</f>
        <v>0.40178312799643473</v>
      </c>
      <c r="R46" s="30">
        <f>IF(P46=0,"",(M46-P46)/ABS(P46))</f>
        <v>9.6219611434280608E-2</v>
      </c>
    </row>
    <row r="47" spans="2:20" x14ac:dyDescent="0.2">
      <c r="C47" s="28" t="s">
        <v>60</v>
      </c>
      <c r="D47" s="28"/>
      <c r="E47" s="28" t="s">
        <v>61</v>
      </c>
      <c r="F47" s="28"/>
      <c r="G47" s="28"/>
      <c r="H47" s="28" t="s">
        <v>61</v>
      </c>
      <c r="I47" s="28"/>
      <c r="J47" s="28"/>
      <c r="K47" s="28" t="s">
        <v>60</v>
      </c>
      <c r="L47" s="28"/>
      <c r="M47" s="28" t="s">
        <v>60</v>
      </c>
      <c r="N47" s="28"/>
      <c r="O47" s="28"/>
      <c r="P47" s="28" t="s">
        <v>61</v>
      </c>
      <c r="Q47" s="28"/>
      <c r="R47" s="28"/>
    </row>
  </sheetData>
  <conditionalFormatting sqref="R10:R46">
    <cfRule type="cellIs" dxfId="68" priority="3" operator="lessThan">
      <formula>0</formula>
    </cfRule>
  </conditionalFormatting>
  <conditionalFormatting sqref="J10:J46">
    <cfRule type="cellIs" dxfId="67" priority="2" operator="lessThan">
      <formula>0</formula>
    </cfRule>
  </conditionalFormatting>
  <conditionalFormatting sqref="AC19:AC28 AC30 AC10:AC11 AC13:AC17">
    <cfRule type="cellIs" dxfId="66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496FF-D235-48A9-BBB3-8CD1154A46A2}">
  <sheetPr>
    <tabColor theme="2" tint="-0.499984740745262"/>
  </sheetPr>
  <dimension ref="A1:AI56"/>
  <sheetViews>
    <sheetView showGridLines="0" topLeftCell="D1" zoomScale="95" zoomScaleNormal="95" workbookViewId="0">
      <selection activeCell="T32" sqref="T32"/>
    </sheetView>
  </sheetViews>
  <sheetFormatPr baseColWidth="10" defaultRowHeight="12.75" x14ac:dyDescent="0.2"/>
  <cols>
    <col min="1" max="1" width="3.140625" style="46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9.4257812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47" customWidth="1"/>
    <col min="20" max="20" width="20.42578125" style="2" customWidth="1"/>
    <col min="21" max="21" width="9.85546875" style="2" bestFit="1" customWidth="1"/>
    <col min="22" max="23" width="9.7109375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44" customFormat="1" x14ac:dyDescent="0.2">
      <c r="A1" s="42"/>
      <c r="B1" s="43"/>
      <c r="S1" s="45"/>
    </row>
    <row r="2" spans="1:35" x14ac:dyDescent="0.2">
      <c r="X2" s="48"/>
      <c r="Y2" s="48"/>
      <c r="Z2" s="48"/>
      <c r="AA2" s="48"/>
      <c r="AB2" s="48"/>
    </row>
    <row r="3" spans="1:35" ht="18" x14ac:dyDescent="0.25">
      <c r="B3" s="15" t="s">
        <v>62</v>
      </c>
      <c r="T3" s="17" t="str">
        <f>+B3</f>
        <v>MUSICAR COLOMBIA</v>
      </c>
      <c r="Y3" s="49"/>
    </row>
    <row r="4" spans="1:35" x14ac:dyDescent="0.2">
      <c r="B4" s="2" t="s">
        <v>19</v>
      </c>
      <c r="T4" s="3" t="s">
        <v>20</v>
      </c>
      <c r="U4" s="48"/>
      <c r="V4" s="48"/>
      <c r="W4" s="48"/>
      <c r="X4" s="48"/>
      <c r="Y4" s="48"/>
      <c r="Z4" s="48"/>
      <c r="AA4" s="48"/>
      <c r="AB4" s="48"/>
      <c r="AC4" s="48"/>
    </row>
    <row r="5" spans="1:35" x14ac:dyDescent="0.2">
      <c r="B5" s="3" t="s">
        <v>21</v>
      </c>
      <c r="T5" s="3" t="s">
        <v>21</v>
      </c>
      <c r="U5" s="48"/>
      <c r="V5" s="48"/>
      <c r="W5" s="48"/>
      <c r="X5" s="48"/>
      <c r="Y5" s="48"/>
      <c r="Z5" s="48"/>
      <c r="AA5" s="48"/>
      <c r="AB5" s="48"/>
      <c r="AC5" s="48"/>
    </row>
    <row r="6" spans="1:35" ht="13.5" thickBot="1" x14ac:dyDescent="0.25">
      <c r="B6" s="3" t="str">
        <f>Paramet!B8&amp;" De "&amp;Paramet!C8</f>
        <v>NOVIEMBRE De 2022</v>
      </c>
      <c r="C6" s="50"/>
      <c r="D6" s="50"/>
      <c r="E6" s="50"/>
      <c r="F6" s="50"/>
      <c r="G6" s="50"/>
      <c r="H6" s="50"/>
      <c r="I6" s="50"/>
      <c r="J6" s="51"/>
      <c r="K6" s="20" t="s">
        <v>22</v>
      </c>
      <c r="L6" s="20"/>
      <c r="M6" s="20"/>
      <c r="N6" s="20"/>
      <c r="O6" s="20"/>
      <c r="P6" s="20"/>
      <c r="Q6" s="20"/>
      <c r="R6" s="20"/>
      <c r="S6" s="52"/>
      <c r="T6" s="3" t="str">
        <f>+B6</f>
        <v>NOVIEMBRE De 2022</v>
      </c>
      <c r="U6" s="53"/>
      <c r="V6" s="53"/>
      <c r="W6" s="53"/>
      <c r="X6" s="20" t="s">
        <v>22</v>
      </c>
      <c r="Y6" s="20"/>
      <c r="Z6" s="20"/>
      <c r="AA6" s="20"/>
      <c r="AB6" s="20"/>
      <c r="AC6" s="20"/>
    </row>
    <row r="7" spans="1:35" s="55" customFormat="1" ht="15.75" customHeight="1" x14ac:dyDescent="0.2">
      <c r="A7" s="54"/>
      <c r="D7" s="55" t="s">
        <v>63</v>
      </c>
      <c r="F7" s="55" t="s">
        <v>64</v>
      </c>
      <c r="G7" s="56" t="s">
        <v>23</v>
      </c>
      <c r="I7" s="55" t="s">
        <v>65</v>
      </c>
      <c r="J7" s="56" t="s">
        <v>24</v>
      </c>
      <c r="K7" s="56"/>
      <c r="L7" s="55" t="str">
        <f>+D7</f>
        <v>Ppto 2022</v>
      </c>
      <c r="M7" s="56"/>
      <c r="N7" s="55" t="str">
        <f>+F7</f>
        <v>Real 2022</v>
      </c>
      <c r="O7" s="56" t="s">
        <v>23</v>
      </c>
      <c r="P7" s="56" t="str">
        <f>+I7</f>
        <v>Real 2021</v>
      </c>
      <c r="Q7" s="56"/>
      <c r="R7" s="56" t="s">
        <v>24</v>
      </c>
      <c r="S7" s="57"/>
      <c r="U7" s="55" t="str">
        <f>+D7</f>
        <v>Ppto 2022</v>
      </c>
      <c r="V7" s="55" t="str">
        <f>+N7</f>
        <v>Real 2022</v>
      </c>
      <c r="W7" s="55" t="str">
        <f>+I7</f>
        <v>Real 2021</v>
      </c>
      <c r="X7" s="55" t="str">
        <f>+U7</f>
        <v>Ppto 2022</v>
      </c>
      <c r="Y7" s="55" t="str">
        <f>+V7</f>
        <v>Real 2022</v>
      </c>
      <c r="Z7" s="55" t="s">
        <v>25</v>
      </c>
      <c r="AA7" s="55" t="s">
        <v>23</v>
      </c>
      <c r="AB7" s="55" t="str">
        <f>+W7</f>
        <v>Real 2021</v>
      </c>
      <c r="AC7" s="55" t="s">
        <v>24</v>
      </c>
    </row>
    <row r="8" spans="1:35" ht="13.5" thickBot="1" x14ac:dyDescent="0.25">
      <c r="A8" s="58" t="s">
        <v>66</v>
      </c>
      <c r="B8" s="59" t="s">
        <v>26</v>
      </c>
      <c r="C8" s="60" t="s">
        <v>27</v>
      </c>
      <c r="D8" s="60" t="s">
        <v>28</v>
      </c>
      <c r="E8" s="60" t="s">
        <v>27</v>
      </c>
      <c r="F8" s="60" t="s">
        <v>28</v>
      </c>
      <c r="G8" s="60" t="s">
        <v>29</v>
      </c>
      <c r="H8" s="60" t="s">
        <v>27</v>
      </c>
      <c r="I8" s="60" t="s">
        <v>28</v>
      </c>
      <c r="J8" s="60" t="s">
        <v>29</v>
      </c>
      <c r="K8" s="60" t="s">
        <v>27</v>
      </c>
      <c r="L8" s="60" t="s">
        <v>28</v>
      </c>
      <c r="M8" s="60" t="s">
        <v>27</v>
      </c>
      <c r="N8" s="60" t="s">
        <v>28</v>
      </c>
      <c r="O8" s="60" t="s">
        <v>29</v>
      </c>
      <c r="P8" s="60" t="s">
        <v>27</v>
      </c>
      <c r="Q8" s="60" t="s">
        <v>28</v>
      </c>
      <c r="R8" s="60" t="s">
        <v>29</v>
      </c>
      <c r="S8" s="52"/>
      <c r="T8" s="26"/>
      <c r="U8" s="27"/>
      <c r="V8" s="27"/>
      <c r="W8" s="27"/>
      <c r="X8" s="27"/>
      <c r="Y8" s="27"/>
      <c r="Z8" s="27"/>
      <c r="AA8" s="27" t="s">
        <v>29</v>
      </c>
      <c r="AB8" s="27"/>
      <c r="AC8" s="27" t="s">
        <v>29</v>
      </c>
      <c r="AD8" s="48"/>
      <c r="AE8" s="48"/>
      <c r="AF8" s="48"/>
    </row>
    <row r="9" spans="1:35" x14ac:dyDescent="0.2">
      <c r="A9" s="58"/>
      <c r="B9" s="3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52"/>
      <c r="T9" s="3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</row>
    <row r="10" spans="1:35" x14ac:dyDescent="0.2">
      <c r="A10" s="46" t="s">
        <v>67</v>
      </c>
      <c r="B10" s="3" t="s">
        <v>68</v>
      </c>
      <c r="C10" s="61">
        <v>384095</v>
      </c>
      <c r="D10" s="30">
        <f t="shared" ref="D10:D15" si="0">+C10/$C$20</f>
        <v>0.41692718170489723</v>
      </c>
      <c r="E10" s="61">
        <v>356803.88199999998</v>
      </c>
      <c r="F10" s="30">
        <f t="shared" ref="F10:F20" si="1">+E10/$E$20</f>
        <v>0.38176922338553682</v>
      </c>
      <c r="G10" s="30">
        <f t="shared" ref="G10:G20" si="2">IF(C10=0,"",(E10-C10)/ABS(C10)+1)</f>
        <v>0.92894695843476216</v>
      </c>
      <c r="H10" s="61">
        <v>367285.99800000002</v>
      </c>
      <c r="I10" s="30">
        <f t="shared" ref="I10:I18" si="3">+H10/$H$20</f>
        <v>0.37292976036283182</v>
      </c>
      <c r="J10" s="30">
        <f t="shared" ref="J10:J20" si="4">IF(H10=0,"",(E10-H10)/ABS(H10))</f>
        <v>-2.8539383633132777E-2</v>
      </c>
      <c r="K10" s="61">
        <v>4061959</v>
      </c>
      <c r="L10" s="30">
        <f t="shared" ref="L10:L46" si="5">+K10/$K$20</f>
        <v>0.41352661027838805</v>
      </c>
      <c r="M10" s="61">
        <v>3934643.2609999999</v>
      </c>
      <c r="N10" s="30">
        <f t="shared" ref="N10:N20" si="6">+M10/$M$20</f>
        <v>0.40482529588781507</v>
      </c>
      <c r="O10" s="30">
        <f t="shared" ref="O10:O18" si="7">IF(K10=0,"",(M10-K10)/ABS(K10)+1)</f>
        <v>0.96865656718839355</v>
      </c>
      <c r="P10" s="61">
        <v>3790683.77</v>
      </c>
      <c r="Q10" s="30">
        <f t="shared" ref="Q10:Q46" si="8">+P10/$P$20</f>
        <v>0.43227731377754353</v>
      </c>
      <c r="R10" s="30">
        <f t="shared" ref="R10:R18" si="9">IF(P10=0,"",(M10-P10)/ABS(P10))</f>
        <v>3.7977182939741748E-2</v>
      </c>
      <c r="S10" s="62"/>
      <c r="T10" s="3" t="s">
        <v>30</v>
      </c>
      <c r="U10" s="61">
        <v>130390</v>
      </c>
      <c r="V10" s="61">
        <v>174883.31042000043</v>
      </c>
      <c r="W10" s="61">
        <v>885356.70428999991</v>
      </c>
      <c r="X10" s="61">
        <v>484392</v>
      </c>
      <c r="Y10" s="61">
        <v>484392</v>
      </c>
      <c r="Z10" s="57">
        <f>+Y10-X10</f>
        <v>0</v>
      </c>
      <c r="AA10" s="63">
        <f>IF(X10=0,"",(Y10-X10)/ABS(X10)+1)</f>
        <v>1</v>
      </c>
      <c r="AB10" s="61">
        <v>590384</v>
      </c>
      <c r="AC10" s="30">
        <f>IF(W10=0,"",(Y10-AB10)/ABS(AB10))</f>
        <v>-0.17953061058565273</v>
      </c>
      <c r="AD10" s="47"/>
      <c r="AE10" s="47"/>
      <c r="AF10" s="47"/>
      <c r="AH10" s="47"/>
    </row>
    <row r="11" spans="1:35" x14ac:dyDescent="0.2">
      <c r="A11" s="64" t="s">
        <v>69</v>
      </c>
      <c r="B11" s="3" t="s">
        <v>70</v>
      </c>
      <c r="C11" s="61">
        <v>49028</v>
      </c>
      <c r="D11" s="30">
        <f t="shared" si="0"/>
        <v>5.3218880393204028E-2</v>
      </c>
      <c r="E11" s="61">
        <v>25189.276999999998</v>
      </c>
      <c r="F11" s="30">
        <f t="shared" si="1"/>
        <v>2.695175473996991E-2</v>
      </c>
      <c r="G11" s="30">
        <f t="shared" si="2"/>
        <v>0.51377329281227047</v>
      </c>
      <c r="H11" s="61">
        <v>107957.40300000001</v>
      </c>
      <c r="I11" s="30">
        <f t="shared" si="3"/>
        <v>0.10961628989238968</v>
      </c>
      <c r="J11" s="30">
        <f t="shared" si="4"/>
        <v>-0.76667392601135465</v>
      </c>
      <c r="K11" s="61">
        <v>501178</v>
      </c>
      <c r="L11" s="30">
        <f t="shared" si="5"/>
        <v>5.1022287395343473E-2</v>
      </c>
      <c r="M11" s="61">
        <v>417421.09700000001</v>
      </c>
      <c r="N11" s="30">
        <f t="shared" si="6"/>
        <v>4.2947379951262458E-2</v>
      </c>
      <c r="O11" s="30">
        <f t="shared" si="7"/>
        <v>0.83287992888754103</v>
      </c>
      <c r="P11" s="61">
        <v>416338.935</v>
      </c>
      <c r="Q11" s="30">
        <f t="shared" si="8"/>
        <v>4.7477945236989075E-2</v>
      </c>
      <c r="R11" s="30">
        <f t="shared" si="9"/>
        <v>2.5992332425023167E-3</v>
      </c>
      <c r="S11" s="62"/>
      <c r="T11" s="3" t="s">
        <v>31</v>
      </c>
      <c r="U11" s="61">
        <v>1099339</v>
      </c>
      <c r="V11" s="61">
        <v>995962.53977000003</v>
      </c>
      <c r="W11" s="61">
        <v>881034.19727</v>
      </c>
      <c r="X11" s="61">
        <v>11274602</v>
      </c>
      <c r="Y11" s="61">
        <v>11258624.76213</v>
      </c>
      <c r="Z11" s="57">
        <f>+Y11-X11</f>
        <v>-15977.237870000303</v>
      </c>
      <c r="AA11" s="63">
        <f>IF(X11=0,"",(Y11-X11)/ABS(X11)+1)</f>
        <v>0.99858290005536332</v>
      </c>
      <c r="AB11" s="61">
        <v>10437142.568089999</v>
      </c>
      <c r="AC11" s="30">
        <f>IF(AB11=0,"",(Y11-AB11)/ABS(AB11))</f>
        <v>7.8707576204962382E-2</v>
      </c>
      <c r="AD11" s="47"/>
      <c r="AE11" s="47"/>
      <c r="AF11" s="47"/>
      <c r="AG11" s="47"/>
      <c r="AH11" s="47"/>
      <c r="AI11" s="49"/>
    </row>
    <row r="12" spans="1:35" x14ac:dyDescent="0.2">
      <c r="A12" s="64" t="s">
        <v>71</v>
      </c>
      <c r="B12" s="3" t="s">
        <v>72</v>
      </c>
      <c r="C12" s="61">
        <v>68712</v>
      </c>
      <c r="D12" s="30">
        <f t="shared" si="0"/>
        <v>7.4585455445415588E-2</v>
      </c>
      <c r="E12" s="61">
        <v>71356.388999999996</v>
      </c>
      <c r="F12" s="30">
        <f t="shared" si="1"/>
        <v>7.6349150293511275E-2</v>
      </c>
      <c r="G12" s="30">
        <f t="shared" si="2"/>
        <v>1.0384851117708696</v>
      </c>
      <c r="H12" s="61">
        <v>77785.274999999994</v>
      </c>
      <c r="I12" s="30">
        <f t="shared" si="3"/>
        <v>7.8980533217895679E-2</v>
      </c>
      <c r="J12" s="30">
        <f t="shared" si="4"/>
        <v>-8.264913892764407E-2</v>
      </c>
      <c r="K12" s="61">
        <v>870114</v>
      </c>
      <c r="L12" s="30">
        <f t="shared" si="5"/>
        <v>8.8581714629756073E-2</v>
      </c>
      <c r="M12" s="61">
        <v>944674.35279999999</v>
      </c>
      <c r="N12" s="30">
        <f t="shared" si="6"/>
        <v>9.7195107414311074E-2</v>
      </c>
      <c r="O12" s="30">
        <f t="shared" si="7"/>
        <v>1.0856903265549112</v>
      </c>
      <c r="P12" s="61">
        <v>1008866.6782000001</v>
      </c>
      <c r="Q12" s="30">
        <f t="shared" si="8"/>
        <v>0.11504789216747813</v>
      </c>
      <c r="R12" s="30">
        <f t="shared" si="9"/>
        <v>-6.3628155024934283E-2</v>
      </c>
      <c r="S12" s="62"/>
      <c r="AD12" s="47"/>
      <c r="AE12" s="47"/>
      <c r="AF12" s="47"/>
      <c r="AG12" s="47"/>
      <c r="AH12" s="47"/>
      <c r="AI12" s="49"/>
    </row>
    <row r="13" spans="1:35" x14ac:dyDescent="0.2">
      <c r="A13" s="64" t="s">
        <v>73</v>
      </c>
      <c r="B13" s="3" t="s">
        <v>74</v>
      </c>
      <c r="C13" s="61">
        <v>99792</v>
      </c>
      <c r="D13" s="30">
        <f t="shared" si="0"/>
        <v>0.10832215289627593</v>
      </c>
      <c r="E13" s="61">
        <v>162265.56</v>
      </c>
      <c r="F13" s="30">
        <f t="shared" si="1"/>
        <v>0.17361917834576482</v>
      </c>
      <c r="G13" s="30">
        <f t="shared" si="2"/>
        <v>1.6260377585377586</v>
      </c>
      <c r="H13" s="61">
        <v>156874.41</v>
      </c>
      <c r="I13" s="30">
        <f t="shared" si="3"/>
        <v>0.15928496171084808</v>
      </c>
      <c r="J13" s="30">
        <f t="shared" si="4"/>
        <v>3.4366025663459032E-2</v>
      </c>
      <c r="K13" s="61">
        <v>1028496</v>
      </c>
      <c r="L13" s="30">
        <f t="shared" si="5"/>
        <v>0.10470575024634197</v>
      </c>
      <c r="M13" s="61">
        <v>1047253.499</v>
      </c>
      <c r="N13" s="30">
        <f t="shared" si="6"/>
        <v>0.10774921116850512</v>
      </c>
      <c r="O13" s="30">
        <f t="shared" si="7"/>
        <v>1.0182377947993964</v>
      </c>
      <c r="P13" s="61">
        <v>735656.44900000002</v>
      </c>
      <c r="Q13" s="30">
        <f t="shared" si="8"/>
        <v>8.3891881500008758E-2</v>
      </c>
      <c r="R13" s="30">
        <f t="shared" si="9"/>
        <v>0.42356326845712178</v>
      </c>
      <c r="S13" s="62"/>
      <c r="T13" s="3" t="s">
        <v>32</v>
      </c>
      <c r="U13" s="61">
        <v>97278</v>
      </c>
      <c r="V13" s="61">
        <v>148734.557</v>
      </c>
      <c r="W13" s="61">
        <v>327219.74804000003</v>
      </c>
      <c r="X13" s="61">
        <v>1415706</v>
      </c>
      <c r="Y13" s="61">
        <v>1417335.4794300001</v>
      </c>
      <c r="Z13" s="57">
        <f>+X13-Y13</f>
        <v>-1629.4794300000649</v>
      </c>
      <c r="AA13" s="63">
        <f>IF(X13=0,"",(Y13-X13)/ABS(X13)+1)</f>
        <v>1.0011510012884031</v>
      </c>
      <c r="AB13" s="61">
        <v>2600542.6661700001</v>
      </c>
      <c r="AC13" s="30">
        <f>IF(AB13=0,"",(Y13-AB13)/ABS(AB13))</f>
        <v>-0.45498472381635308</v>
      </c>
      <c r="AD13" s="47"/>
      <c r="AE13" s="47"/>
      <c r="AF13" s="47"/>
      <c r="AG13" s="47"/>
      <c r="AH13" s="47"/>
      <c r="AI13" s="49"/>
    </row>
    <row r="14" spans="1:35" x14ac:dyDescent="0.2">
      <c r="A14" s="64">
        <v>4170250500</v>
      </c>
      <c r="B14" s="3" t="s">
        <v>75</v>
      </c>
      <c r="C14" s="61">
        <v>0</v>
      </c>
      <c r="D14" s="30">
        <f t="shared" si="0"/>
        <v>0</v>
      </c>
      <c r="E14" s="61">
        <v>0</v>
      </c>
      <c r="F14" s="30">
        <f t="shared" si="1"/>
        <v>0</v>
      </c>
      <c r="G14" s="30" t="str">
        <f t="shared" si="2"/>
        <v/>
      </c>
      <c r="H14" s="61">
        <v>0</v>
      </c>
      <c r="I14" s="30">
        <f t="shared" si="3"/>
        <v>0</v>
      </c>
      <c r="J14" s="30" t="e">
        <f t="shared" si="4"/>
        <v>#DIV/0!</v>
      </c>
      <c r="K14" s="61">
        <v>0</v>
      </c>
      <c r="L14" s="30">
        <f t="shared" si="5"/>
        <v>0</v>
      </c>
      <c r="M14" s="61">
        <v>0</v>
      </c>
      <c r="N14" s="30">
        <f t="shared" si="6"/>
        <v>0</v>
      </c>
      <c r="O14" s="30" t="str">
        <f t="shared" si="7"/>
        <v/>
      </c>
      <c r="P14" s="61">
        <v>0</v>
      </c>
      <c r="Q14" s="30">
        <f t="shared" si="8"/>
        <v>0</v>
      </c>
      <c r="R14" s="30" t="str">
        <f t="shared" si="9"/>
        <v/>
      </c>
      <c r="S14" s="62"/>
      <c r="T14" s="3" t="s">
        <v>33</v>
      </c>
      <c r="U14" s="61">
        <v>8350</v>
      </c>
      <c r="V14" s="61">
        <v>11537.251380000002</v>
      </c>
      <c r="W14" s="61">
        <v>8844.0020000000004</v>
      </c>
      <c r="X14" s="61">
        <v>91880</v>
      </c>
      <c r="Y14" s="61">
        <v>114814.81534</v>
      </c>
      <c r="Z14" s="57">
        <f>+X14-Y14</f>
        <v>-22934.815340000001</v>
      </c>
      <c r="AA14" s="63">
        <f>IF(X14=0,"",(Y14-X14)/ABS(X14)+1)</f>
        <v>1.2496170585546365</v>
      </c>
      <c r="AB14" s="61">
        <v>82299.005999999994</v>
      </c>
      <c r="AC14" s="30">
        <f>IF(AB14=0,"",(Y14-AB14)/ABS(AB14))</f>
        <v>0.39509358521292481</v>
      </c>
      <c r="AD14" s="47"/>
      <c r="AE14" s="47"/>
      <c r="AF14" s="47"/>
      <c r="AG14" s="47"/>
      <c r="AH14" s="47"/>
      <c r="AI14" s="49"/>
    </row>
    <row r="15" spans="1:35" x14ac:dyDescent="0.2">
      <c r="A15" s="64" t="s">
        <v>76</v>
      </c>
      <c r="B15" s="3" t="s">
        <v>77</v>
      </c>
      <c r="C15" s="61">
        <v>129932</v>
      </c>
      <c r="D15" s="30">
        <f t="shared" si="0"/>
        <v>0.14103849978073318</v>
      </c>
      <c r="E15" s="61">
        <v>123221.632</v>
      </c>
      <c r="F15" s="30">
        <f t="shared" si="1"/>
        <v>0.13184337146011885</v>
      </c>
      <c r="G15" s="30">
        <f t="shared" si="2"/>
        <v>0.94835477018748271</v>
      </c>
      <c r="H15" s="61">
        <v>113709.644</v>
      </c>
      <c r="I15" s="30">
        <f t="shared" si="3"/>
        <v>0.11545692054360022</v>
      </c>
      <c r="J15" s="30">
        <f t="shared" si="4"/>
        <v>8.3651550259008792E-2</v>
      </c>
      <c r="K15" s="61">
        <v>1373755</v>
      </c>
      <c r="L15" s="30">
        <f t="shared" si="5"/>
        <v>0.13985474705751264</v>
      </c>
      <c r="M15" s="61">
        <v>1351227.9339999999</v>
      </c>
      <c r="N15" s="30">
        <f t="shared" si="6"/>
        <v>0.13902435669718291</v>
      </c>
      <c r="O15" s="30">
        <f t="shared" si="7"/>
        <v>0.98360183147650049</v>
      </c>
      <c r="P15" s="61">
        <v>1268838.93</v>
      </c>
      <c r="Q15" s="30">
        <f t="shared" si="8"/>
        <v>0.14469428671882398</v>
      </c>
      <c r="R15" s="30">
        <f t="shared" si="9"/>
        <v>6.4932594714760178E-2</v>
      </c>
      <c r="S15" s="62"/>
      <c r="T15" s="3" t="s">
        <v>34</v>
      </c>
      <c r="U15" s="61">
        <v>369555</v>
      </c>
      <c r="V15" s="61">
        <v>354187.8</v>
      </c>
      <c r="W15" s="61">
        <v>364722.255</v>
      </c>
      <c r="X15" s="61">
        <v>4275816</v>
      </c>
      <c r="Y15" s="61">
        <v>4169821.1852800003</v>
      </c>
      <c r="Z15" s="57">
        <f>+X15-Y15</f>
        <v>105994.81471999967</v>
      </c>
      <c r="AA15" s="63">
        <f>IF(X15=0,"",(Y15-X15)/ABS(X15)+1)</f>
        <v>0.97521062302026096</v>
      </c>
      <c r="AB15" s="61">
        <v>3645376.9410000001</v>
      </c>
      <c r="AC15" s="30">
        <f>IF(AB15=0,"",(Y15-AB15)/ABS(AB15))</f>
        <v>0.14386557351079712</v>
      </c>
      <c r="AD15" s="47"/>
      <c r="AE15" s="47"/>
      <c r="AF15" s="47"/>
      <c r="AG15" s="47"/>
      <c r="AH15" s="47"/>
      <c r="AI15" s="49"/>
    </row>
    <row r="16" spans="1:35" x14ac:dyDescent="0.2">
      <c r="A16" s="64">
        <v>4155951000</v>
      </c>
      <c r="B16" s="3" t="s">
        <v>78</v>
      </c>
      <c r="C16" s="61">
        <v>0</v>
      </c>
      <c r="D16" s="30"/>
      <c r="E16" s="61">
        <v>0</v>
      </c>
      <c r="F16" s="30">
        <f t="shared" si="1"/>
        <v>0</v>
      </c>
      <c r="G16" s="30" t="str">
        <f t="shared" si="2"/>
        <v/>
      </c>
      <c r="H16" s="61">
        <v>0</v>
      </c>
      <c r="I16" s="30">
        <f t="shared" si="3"/>
        <v>0</v>
      </c>
      <c r="J16" s="30" t="e">
        <f t="shared" si="4"/>
        <v>#DIV/0!</v>
      </c>
      <c r="K16" s="61">
        <v>0</v>
      </c>
      <c r="L16" s="30">
        <f t="shared" si="5"/>
        <v>0</v>
      </c>
      <c r="M16" s="61">
        <v>0</v>
      </c>
      <c r="N16" s="30">
        <f t="shared" si="6"/>
        <v>0</v>
      </c>
      <c r="O16" s="30" t="str">
        <f t="shared" si="7"/>
        <v/>
      </c>
      <c r="P16" s="61">
        <v>0</v>
      </c>
      <c r="Q16" s="30">
        <f t="shared" si="8"/>
        <v>0</v>
      </c>
      <c r="R16" s="30" t="str">
        <f t="shared" si="9"/>
        <v/>
      </c>
      <c r="S16" s="62"/>
      <c r="T16" s="3" t="s">
        <v>35</v>
      </c>
      <c r="U16" s="61">
        <v>238361</v>
      </c>
      <c r="V16" s="61">
        <v>230213.51349000001</v>
      </c>
      <c r="W16" s="61">
        <v>214772.49406999999</v>
      </c>
      <c r="X16" s="61">
        <v>2718640</v>
      </c>
      <c r="Y16" s="61">
        <v>2687879.1518600001</v>
      </c>
      <c r="Z16" s="57">
        <f>+X16-Y16</f>
        <v>30760.8481399999</v>
      </c>
      <c r="AA16" s="63">
        <f>IF(X16=0,"",(Y16-X16)/ABS(X16)+1)</f>
        <v>0.98868520725804077</v>
      </c>
      <c r="AB16" s="61">
        <v>1846997.6433599999</v>
      </c>
      <c r="AC16" s="30">
        <f>IF(AB16=0,"",(Y16-AB16)/ABS(AB16))</f>
        <v>0.45526939978672365</v>
      </c>
      <c r="AD16" s="47"/>
      <c r="AE16" s="47"/>
      <c r="AF16" s="47"/>
      <c r="AG16" s="47"/>
      <c r="AH16" s="47"/>
      <c r="AI16" s="49"/>
    </row>
    <row r="17" spans="1:35" x14ac:dyDescent="0.2">
      <c r="A17" s="64">
        <v>4155951500</v>
      </c>
      <c r="B17" s="3" t="s">
        <v>79</v>
      </c>
      <c r="C17" s="61">
        <v>20487</v>
      </c>
      <c r="D17" s="30">
        <f>+C17/$C$20</f>
        <v>2.2238214950958044E-2</v>
      </c>
      <c r="E17" s="61">
        <v>20065.703000000001</v>
      </c>
      <c r="F17" s="30">
        <f t="shared" si="1"/>
        <v>2.146968751588537E-2</v>
      </c>
      <c r="G17" s="30">
        <f t="shared" si="2"/>
        <v>0.97943588617171873</v>
      </c>
      <c r="H17" s="61">
        <v>17548.378000000001</v>
      </c>
      <c r="I17" s="30">
        <f t="shared" si="3"/>
        <v>1.7818028560665111E-2</v>
      </c>
      <c r="J17" s="30">
        <f t="shared" si="4"/>
        <v>0.14345057987695506</v>
      </c>
      <c r="K17" s="61">
        <v>286352</v>
      </c>
      <c r="L17" s="30">
        <f t="shared" si="5"/>
        <v>2.9151986001443388E-2</v>
      </c>
      <c r="M17" s="61">
        <v>286437.25599999999</v>
      </c>
      <c r="N17" s="30">
        <f t="shared" si="6"/>
        <v>2.9470790417737397E-2</v>
      </c>
      <c r="O17" s="30">
        <f t="shared" si="7"/>
        <v>1.0002977314633736</v>
      </c>
      <c r="P17" s="61">
        <v>246055.622</v>
      </c>
      <c r="Q17" s="30">
        <f t="shared" si="8"/>
        <v>2.8059387111054806E-2</v>
      </c>
      <c r="R17" s="30">
        <f t="shared" si="9"/>
        <v>0.16411587620623433</v>
      </c>
      <c r="S17" s="62"/>
      <c r="T17" s="3" t="s">
        <v>36</v>
      </c>
      <c r="U17" s="61">
        <f t="shared" ref="U17:AB17" si="10">SUM(U13:U16)</f>
        <v>713544</v>
      </c>
      <c r="V17" s="61">
        <f>SUM(V13:V16)</f>
        <v>744673.12187000003</v>
      </c>
      <c r="W17" s="61">
        <f t="shared" si="10"/>
        <v>915558.49910999998</v>
      </c>
      <c r="X17" s="61">
        <f t="shared" si="10"/>
        <v>8502042</v>
      </c>
      <c r="Y17" s="61">
        <f>SUM(Y13:Y16)</f>
        <v>8389850.63191</v>
      </c>
      <c r="Z17" s="57">
        <f>+Y17-X17</f>
        <v>-112191.36809</v>
      </c>
      <c r="AA17" s="63">
        <f>IF(X17=0,"",(Y17-X17)/ABS(X17)+1)</f>
        <v>0.98680418561917238</v>
      </c>
      <c r="AB17" s="61">
        <f t="shared" si="10"/>
        <v>8175216.2565299999</v>
      </c>
      <c r="AC17" s="30">
        <f>IF(AB17=0,"",(Y17-AB17)/ABS(AB17))</f>
        <v>2.6254274950654632E-2</v>
      </c>
      <c r="AD17" s="47"/>
      <c r="AE17" s="47"/>
      <c r="AF17" s="47"/>
      <c r="AG17" s="47"/>
      <c r="AH17" s="47"/>
      <c r="AI17" s="49"/>
    </row>
    <row r="18" spans="1:35" x14ac:dyDescent="0.2">
      <c r="A18" s="64" t="s">
        <v>80</v>
      </c>
      <c r="B18" s="3" t="s">
        <v>81</v>
      </c>
      <c r="C18" s="61">
        <v>125234</v>
      </c>
      <c r="D18" s="34">
        <f t="shared" ref="D18:D46" si="11">+C18/$C$20</f>
        <v>0.13593891790736953</v>
      </c>
      <c r="E18" s="61">
        <v>122553.288</v>
      </c>
      <c r="F18" s="30">
        <f t="shared" si="1"/>
        <v>0.13112826385421453</v>
      </c>
      <c r="G18" s="34">
        <f t="shared" si="2"/>
        <v>0.97859437532938343</v>
      </c>
      <c r="H18" s="61">
        <v>109350.99400000001</v>
      </c>
      <c r="I18" s="30">
        <f t="shared" si="3"/>
        <v>0.11103129498516155</v>
      </c>
      <c r="J18" s="34">
        <f t="shared" si="4"/>
        <v>0.12073318693381054</v>
      </c>
      <c r="K18" s="61">
        <v>1224014</v>
      </c>
      <c r="L18" s="30">
        <f t="shared" si="5"/>
        <v>0.12461040605119128</v>
      </c>
      <c r="M18" s="61">
        <v>1159146.773</v>
      </c>
      <c r="N18" s="30">
        <f t="shared" si="6"/>
        <v>0.11926162150666472</v>
      </c>
      <c r="O18" s="30">
        <f t="shared" si="7"/>
        <v>0.94700450566741889</v>
      </c>
      <c r="P18" s="61">
        <v>929381.40399999998</v>
      </c>
      <c r="Q18" s="30">
        <f t="shared" si="8"/>
        <v>0.1059836486428732</v>
      </c>
      <c r="R18" s="34">
        <f t="shared" si="9"/>
        <v>0.24722397931689202</v>
      </c>
      <c r="S18" s="62"/>
      <c r="AD18" s="47"/>
      <c r="AE18" s="47"/>
      <c r="AF18" s="47"/>
      <c r="AG18" s="47"/>
      <c r="AH18" s="47"/>
      <c r="AI18" s="49"/>
    </row>
    <row r="19" spans="1:35" x14ac:dyDescent="0.2">
      <c r="A19" s="46" t="s">
        <v>82</v>
      </c>
      <c r="B19" s="3" t="s">
        <v>83</v>
      </c>
      <c r="C19" s="61">
        <v>43972</v>
      </c>
      <c r="D19" s="30">
        <f t="shared" si="11"/>
        <v>4.773069692114644E-2</v>
      </c>
      <c r="E19" s="61">
        <v>53150.466</v>
      </c>
      <c r="F19" s="30">
        <f t="shared" si="1"/>
        <v>5.6869370404998509E-2</v>
      </c>
      <c r="G19" s="30">
        <f t="shared" si="2"/>
        <v>1.2087343309378695</v>
      </c>
      <c r="H19" s="61">
        <v>34354.317999999999</v>
      </c>
      <c r="I19" s="30"/>
      <c r="J19" s="30">
        <f t="shared" si="4"/>
        <v>0.54712621569143072</v>
      </c>
      <c r="K19" s="61">
        <v>476859</v>
      </c>
      <c r="L19" s="30">
        <f t="shared" si="5"/>
        <v>4.8546498340023093E-2</v>
      </c>
      <c r="M19" s="61">
        <v>578556.99600000004</v>
      </c>
      <c r="N19" s="30">
        <f t="shared" si="6"/>
        <v>5.952623695652124E-2</v>
      </c>
      <c r="O19" s="30"/>
      <c r="P19" s="61">
        <v>373280.011</v>
      </c>
      <c r="Q19" s="30">
        <f t="shared" si="8"/>
        <v>4.2567644845228514E-2</v>
      </c>
      <c r="R19" s="30"/>
      <c r="S19" s="62"/>
      <c r="T19" s="3" t="s">
        <v>37</v>
      </c>
      <c r="U19" s="61">
        <f>U11-U17</f>
        <v>385795</v>
      </c>
      <c r="V19" s="61">
        <f>V11-V17</f>
        <v>251289.4179</v>
      </c>
      <c r="W19" s="61">
        <f>W11-W17</f>
        <v>-34524.301839999971</v>
      </c>
      <c r="X19" s="61">
        <f>X11-X17</f>
        <v>2772560</v>
      </c>
      <c r="Y19" s="61">
        <f>Y11-Y17</f>
        <v>2868774.1302199997</v>
      </c>
      <c r="Z19" s="61">
        <f>+Y19-X19</f>
        <v>96214.130219999701</v>
      </c>
      <c r="AA19" s="63">
        <f>IF(X19=0,"",(Y19-X19)/ABS(X19)+1)</f>
        <v>1.0347022716262226</v>
      </c>
      <c r="AB19" s="61">
        <f>AB11-AB17</f>
        <v>2261926.3115599994</v>
      </c>
      <c r="AC19" s="30">
        <f>IF(AB19=0,"",(Y19-AB19)/ABS(AB19))</f>
        <v>0.26828805852719012</v>
      </c>
      <c r="AD19" s="47"/>
      <c r="AE19" s="47"/>
      <c r="AF19" s="47"/>
      <c r="AG19" s="47"/>
      <c r="AH19" s="47"/>
    </row>
    <row r="20" spans="1:35" x14ac:dyDescent="0.2">
      <c r="B20" s="19" t="s">
        <v>38</v>
      </c>
      <c r="C20" s="65">
        <f>SUM(C10:C19)</f>
        <v>921252</v>
      </c>
      <c r="D20" s="38">
        <f t="shared" si="11"/>
        <v>1</v>
      </c>
      <c r="E20" s="65">
        <f>SUM(E10:E19)</f>
        <v>934606.19699999993</v>
      </c>
      <c r="F20" s="38">
        <f t="shared" si="1"/>
        <v>1</v>
      </c>
      <c r="G20" s="38">
        <f t="shared" si="2"/>
        <v>1.0144957047583072</v>
      </c>
      <c r="H20" s="65">
        <f>SUM(H10:H19)</f>
        <v>984866.41999999993</v>
      </c>
      <c r="I20" s="38">
        <f>+H22/$H$22</f>
        <v>1</v>
      </c>
      <c r="J20" s="38">
        <f t="shared" si="4"/>
        <v>-5.1032527842709882E-2</v>
      </c>
      <c r="K20" s="65">
        <f>SUM(K10:K19)</f>
        <v>9822727</v>
      </c>
      <c r="L20" s="38">
        <f t="shared" si="5"/>
        <v>1</v>
      </c>
      <c r="M20" s="65">
        <f>SUM(M10:M19)</f>
        <v>9719361.1688000001</v>
      </c>
      <c r="N20" s="38">
        <f t="shared" si="6"/>
        <v>1</v>
      </c>
      <c r="O20" s="38">
        <f>IF(K20=0,"",(M20-K20)/ABS(K20)+1)</f>
        <v>0.9894768702011163</v>
      </c>
      <c r="P20" s="65">
        <f>SUM(P10:P19)</f>
        <v>8769101.7992000002</v>
      </c>
      <c r="Q20" s="38">
        <f t="shared" si="8"/>
        <v>1</v>
      </c>
      <c r="R20" s="38">
        <f>IF(P20=0,"",(M20-P20)/ABS(P20))</f>
        <v>0.10836450429697275</v>
      </c>
      <c r="S20" s="62"/>
      <c r="T20" s="3"/>
      <c r="U20" s="61"/>
      <c r="V20" s="61"/>
      <c r="W20" s="61"/>
      <c r="X20" s="61"/>
      <c r="Y20" s="61"/>
      <c r="Z20" s="57"/>
      <c r="AA20" s="63"/>
      <c r="AB20" s="61"/>
      <c r="AC20" s="30" t="str">
        <f>IF(AB20=0,"",(Y20-AB20)/ABS(AB20))</f>
        <v/>
      </c>
      <c r="AD20" s="47"/>
      <c r="AE20" s="47"/>
      <c r="AF20" s="47"/>
      <c r="AG20" s="47"/>
      <c r="AH20" s="47"/>
      <c r="AI20" s="49"/>
    </row>
    <row r="21" spans="1:35" x14ac:dyDescent="0.2">
      <c r="B21" s="3"/>
      <c r="C21" s="61"/>
      <c r="D21" s="30"/>
      <c r="E21" s="61"/>
      <c r="F21" s="30"/>
      <c r="G21" s="30"/>
      <c r="H21" s="61"/>
      <c r="I21" s="30"/>
      <c r="J21" s="30"/>
      <c r="K21" s="61"/>
      <c r="L21" s="30"/>
      <c r="M21" s="61"/>
      <c r="N21" s="30"/>
      <c r="O21" s="30"/>
      <c r="P21" s="61"/>
      <c r="Q21" s="30"/>
      <c r="R21" s="30"/>
      <c r="S21" s="62"/>
      <c r="T21" s="3" t="s">
        <v>39</v>
      </c>
      <c r="U21" s="61">
        <f>+U10+U19</f>
        <v>516185</v>
      </c>
      <c r="V21" s="61">
        <f>+V10+V19</f>
        <v>426172.72832000046</v>
      </c>
      <c r="W21" s="61">
        <f>+W10+W19</f>
        <v>850832.40244999994</v>
      </c>
      <c r="X21" s="61">
        <f>+X10+X19</f>
        <v>3256952</v>
      </c>
      <c r="Y21" s="61">
        <f>+Y10+Y19</f>
        <v>3353166.1302199997</v>
      </c>
      <c r="Z21" s="57">
        <f>+Y21-X21</f>
        <v>96214.130219999701</v>
      </c>
      <c r="AA21" s="63">
        <f>IF(X21=0,"",(Y21-X21)/ABS(X21)+1)</f>
        <v>1.029541156952881</v>
      </c>
      <c r="AB21" s="61">
        <f>+AB10+AB19</f>
        <v>2852310.3115599994</v>
      </c>
      <c r="AC21" s="30">
        <f>IF(AB21=0,"",(Y21-AB21)/ABS(AB21))</f>
        <v>0.17559653892849753</v>
      </c>
      <c r="AD21" s="47"/>
      <c r="AE21" s="47"/>
      <c r="AF21" s="47"/>
      <c r="AG21" s="47"/>
      <c r="AH21" s="47"/>
      <c r="AI21" s="49"/>
    </row>
    <row r="22" spans="1:35" x14ac:dyDescent="0.2">
      <c r="A22" s="66"/>
      <c r="B22" s="3" t="s">
        <v>40</v>
      </c>
      <c r="C22" s="61">
        <v>84414</v>
      </c>
      <c r="D22" s="30">
        <f t="shared" si="11"/>
        <v>9.1629651821651406E-2</v>
      </c>
      <c r="E22" s="61">
        <v>122633.97957</v>
      </c>
      <c r="F22" s="30">
        <f>+E22/$E$20</f>
        <v>0.13121460136220348</v>
      </c>
      <c r="G22" s="30">
        <f>IF(C22=0,"",(E22-C22)/ABS(C22)+1)</f>
        <v>1.4527682560949606</v>
      </c>
      <c r="H22" s="61">
        <v>110656.23931999999</v>
      </c>
      <c r="I22" s="30">
        <f t="shared" ref="I22:I46" si="12">+H22/$H$20</f>
        <v>0.11235659686721779</v>
      </c>
      <c r="J22" s="30">
        <f>IF(H22=0,"",(E22-H22)/ABS(H22))</f>
        <v>0.10824279158233735</v>
      </c>
      <c r="K22" s="61">
        <v>822862</v>
      </c>
      <c r="L22" s="30">
        <f t="shared" si="5"/>
        <v>8.3771237865004289E-2</v>
      </c>
      <c r="M22" s="61">
        <v>913352.98916</v>
      </c>
      <c r="N22" s="30">
        <f>+M22/$M$20</f>
        <v>9.3972533101449401E-2</v>
      </c>
      <c r="O22" s="30">
        <f>IF(K22=0,"",(M22-K22)/ABS(K22)+1)</f>
        <v>1.1099710390806721</v>
      </c>
      <c r="P22" s="61">
        <v>570163.64251000003</v>
      </c>
      <c r="Q22" s="30">
        <f t="shared" si="8"/>
        <v>6.5019617238565489E-2</v>
      </c>
      <c r="R22" s="30">
        <f>IF(P22=0,"",(M22-P22)/ABS(P22))</f>
        <v>0.60191376836866761</v>
      </c>
      <c r="S22" s="62"/>
      <c r="T22" s="3"/>
      <c r="U22" s="61"/>
      <c r="V22" s="61"/>
      <c r="W22" s="61"/>
      <c r="X22" s="61"/>
      <c r="Y22" s="61"/>
      <c r="Z22" s="57"/>
      <c r="AA22" s="63"/>
      <c r="AB22" s="61"/>
      <c r="AC22" s="30"/>
      <c r="AD22" s="47"/>
      <c r="AE22" s="47"/>
      <c r="AF22" s="47"/>
      <c r="AG22" s="47"/>
      <c r="AH22" s="47"/>
      <c r="AI22" s="49"/>
    </row>
    <row r="23" spans="1:35" x14ac:dyDescent="0.2">
      <c r="A23" s="66"/>
      <c r="B23" s="3"/>
      <c r="C23" s="61"/>
      <c r="D23" s="30"/>
      <c r="E23" s="61"/>
      <c r="F23" s="30"/>
      <c r="G23" s="30"/>
      <c r="H23" s="61"/>
      <c r="I23" s="30"/>
      <c r="J23" s="30"/>
      <c r="K23" s="61"/>
      <c r="L23" s="30"/>
      <c r="M23" s="61"/>
      <c r="N23" s="30"/>
      <c r="O23" s="30"/>
      <c r="P23" s="61"/>
      <c r="Q23" s="30"/>
      <c r="R23" s="30"/>
      <c r="S23" s="62"/>
      <c r="T23" s="3" t="s">
        <v>41</v>
      </c>
      <c r="U23" s="61">
        <v>0</v>
      </c>
      <c r="V23" s="61">
        <v>18703.639030000002</v>
      </c>
      <c r="W23" s="61">
        <v>105577.825</v>
      </c>
      <c r="X23" s="61">
        <v>424785</v>
      </c>
      <c r="Y23" s="61">
        <v>829394.95190999995</v>
      </c>
      <c r="Z23" s="57">
        <f>+Y23-X23</f>
        <v>404609.95190999995</v>
      </c>
      <c r="AA23" s="63">
        <f>IF(X23=0,"",(Y23-X23)/ABS(X23)+1)</f>
        <v>1.9525052718669444</v>
      </c>
      <c r="AB23" s="61">
        <v>490269.59399999998</v>
      </c>
      <c r="AC23" s="30">
        <f>IF(AB23=0,"",(Y23-AB23)/ABS(AB23))</f>
        <v>0.69171199287141594</v>
      </c>
      <c r="AD23" s="47"/>
      <c r="AE23" s="47"/>
      <c r="AF23" s="47"/>
      <c r="AG23" s="47"/>
      <c r="AH23" s="47"/>
      <c r="AI23" s="49"/>
    </row>
    <row r="24" spans="1:35" x14ac:dyDescent="0.2">
      <c r="B24" s="3" t="s">
        <v>42</v>
      </c>
      <c r="C24" s="61">
        <f>+C20-C22</f>
        <v>836838</v>
      </c>
      <c r="D24" s="30">
        <f t="shared" si="11"/>
        <v>0.90837034817834861</v>
      </c>
      <c r="E24" s="61">
        <f>+E20-E22</f>
        <v>811972.21742999996</v>
      </c>
      <c r="F24" s="30">
        <f>+E24/$E$20</f>
        <v>0.86878539863779658</v>
      </c>
      <c r="G24" s="30">
        <f>IF(C24=0,"",(E24-C24)/ABS(C24)+1)</f>
        <v>0.97028602600503322</v>
      </c>
      <c r="H24" s="61">
        <f>+H20-H22</f>
        <v>874210.18067999999</v>
      </c>
      <c r="I24" s="30">
        <f t="shared" si="12"/>
        <v>0.88764340313278223</v>
      </c>
      <c r="J24" s="30">
        <f>IF(H24=0,"",(E24-H24)/ABS(H24))</f>
        <v>-7.119336359316765E-2</v>
      </c>
      <c r="K24" s="61">
        <f>+K20-K22</f>
        <v>8999865</v>
      </c>
      <c r="L24" s="30">
        <f t="shared" si="5"/>
        <v>0.91622876213499571</v>
      </c>
      <c r="M24" s="61">
        <f>+M20-M22</f>
        <v>8806008.1796400007</v>
      </c>
      <c r="N24" s="30">
        <f>+M24/$M$20</f>
        <v>0.90602746689855063</v>
      </c>
      <c r="O24" s="30">
        <f>IF(K24=0,"",(M24-K24)/ABS(K24)+1)</f>
        <v>0.97846003019378636</v>
      </c>
      <c r="P24" s="61">
        <f>+P20-P22</f>
        <v>8198938.1566900006</v>
      </c>
      <c r="Q24" s="30">
        <f t="shared" si="8"/>
        <v>0.93498038276143458</v>
      </c>
      <c r="R24" s="30">
        <f>IF(P24=0,"",(M24-P24)/ABS(P24))</f>
        <v>7.4042517622194243E-2</v>
      </c>
      <c r="S24" s="62"/>
      <c r="T24" s="3"/>
      <c r="U24" s="61"/>
      <c r="V24" s="61"/>
      <c r="W24" s="61"/>
      <c r="X24" s="61"/>
      <c r="Y24" s="61"/>
      <c r="Z24" s="57"/>
      <c r="AA24" s="63"/>
      <c r="AB24" s="61"/>
      <c r="AC24" s="30"/>
      <c r="AD24" s="47"/>
      <c r="AE24" s="47"/>
      <c r="AF24" s="47"/>
      <c r="AG24" s="47"/>
      <c r="AH24" s="47"/>
      <c r="AI24" s="49"/>
    </row>
    <row r="25" spans="1:35" x14ac:dyDescent="0.2">
      <c r="B25" s="3"/>
      <c r="C25" s="61"/>
      <c r="D25" s="30"/>
      <c r="E25" s="61"/>
      <c r="F25" s="30"/>
      <c r="G25" s="30"/>
      <c r="H25" s="61"/>
      <c r="I25" s="30"/>
      <c r="J25" s="30"/>
      <c r="K25" s="61"/>
      <c r="L25" s="30"/>
      <c r="M25" s="61"/>
      <c r="N25" s="30"/>
      <c r="O25" s="30"/>
      <c r="P25" s="61"/>
      <c r="Q25" s="30"/>
      <c r="R25" s="30"/>
      <c r="S25" s="62"/>
      <c r="T25" s="3" t="s">
        <v>43</v>
      </c>
      <c r="U25" s="61">
        <v>310886</v>
      </c>
      <c r="V25" s="61">
        <v>245691.45824000001</v>
      </c>
      <c r="W25" s="61">
        <v>246393.27753999998</v>
      </c>
      <c r="X25" s="61">
        <v>2018773</v>
      </c>
      <c r="Y25" s="61">
        <v>1902541.8067399999</v>
      </c>
      <c r="Z25" s="57">
        <f>+Y25-X25</f>
        <v>-116231.19326000009</v>
      </c>
      <c r="AA25" s="63">
        <f>IF(X25=0,"",(Y25-X25)/ABS(X25)+1)</f>
        <v>0.94242483267806731</v>
      </c>
      <c r="AB25" s="61">
        <v>1723346.2288199998</v>
      </c>
      <c r="AC25" s="30">
        <f>IF(AB25=0,"",(Y25-AB25)/ABS(AB25))</f>
        <v>0.1039811820302052</v>
      </c>
      <c r="AD25" s="47"/>
      <c r="AE25" s="47"/>
      <c r="AF25" s="47"/>
      <c r="AG25" s="47"/>
      <c r="AH25" s="47"/>
      <c r="AI25" s="49"/>
    </row>
    <row r="26" spans="1:35" x14ac:dyDescent="0.2">
      <c r="B26" s="3" t="s">
        <v>44</v>
      </c>
      <c r="C26" s="61">
        <v>217806</v>
      </c>
      <c r="D26" s="30">
        <f t="shared" si="11"/>
        <v>0.2364239100702088</v>
      </c>
      <c r="E26" s="61">
        <v>214561.56150000001</v>
      </c>
      <c r="F26" s="30">
        <f>+E26/$E$20</f>
        <v>0.22957429791148712</v>
      </c>
      <c r="G26" s="30">
        <f>IF(C26=0,"",(E26-C26)/ABS(C26)+1)</f>
        <v>0.98510399851243768</v>
      </c>
      <c r="H26" s="61">
        <v>226596.81803999998</v>
      </c>
      <c r="I26" s="30">
        <f t="shared" si="12"/>
        <v>0.23007873295141892</v>
      </c>
      <c r="J26" s="30">
        <f>IF(H26=0,"",(E26-H26)/ABS(H26))</f>
        <v>-5.3113087130267869E-2</v>
      </c>
      <c r="K26" s="61">
        <v>2199803</v>
      </c>
      <c r="L26" s="30">
        <f t="shared" si="5"/>
        <v>0.22395033476956042</v>
      </c>
      <c r="M26" s="61">
        <v>2143315.1188400001</v>
      </c>
      <c r="N26" s="30">
        <f>+M26/$M$20</f>
        <v>0.2205201639918711</v>
      </c>
      <c r="O26" s="30">
        <f>IF(K26=0,"",(M26-K26)/ABS(K26)+1)</f>
        <v>0.97432139097910142</v>
      </c>
      <c r="P26" s="61">
        <v>1817383.7325200001</v>
      </c>
      <c r="Q26" s="30">
        <f t="shared" si="8"/>
        <v>0.20724856138467898</v>
      </c>
      <c r="R26" s="30">
        <f>IF(P26=0,"",(M26-P26)/ABS(P26))</f>
        <v>0.17934098368320969</v>
      </c>
      <c r="S26" s="62"/>
      <c r="T26" s="3"/>
      <c r="U26" s="61"/>
      <c r="V26" s="61"/>
      <c r="W26" s="61"/>
      <c r="X26" s="61"/>
      <c r="Y26" s="61"/>
      <c r="Z26" s="57"/>
      <c r="AA26" s="63"/>
      <c r="AB26" s="61"/>
      <c r="AC26" s="30"/>
      <c r="AD26" s="47"/>
      <c r="AE26" s="47"/>
      <c r="AF26" s="47"/>
      <c r="AG26" s="47"/>
      <c r="AH26" s="47"/>
      <c r="AI26" s="49"/>
    </row>
    <row r="27" spans="1:35" x14ac:dyDescent="0.2">
      <c r="B27" s="3" t="s">
        <v>45</v>
      </c>
      <c r="C27" s="61">
        <v>265636</v>
      </c>
      <c r="D27" s="30">
        <f t="shared" si="11"/>
        <v>0.28834238623091185</v>
      </c>
      <c r="E27" s="61">
        <v>280867.35704000003</v>
      </c>
      <c r="F27" s="30">
        <f>+E27/$E$20</f>
        <v>0.30051946792302303</v>
      </c>
      <c r="G27" s="30">
        <f>IF(C27=0,"",(E27-C27)/ABS(C27)+1)</f>
        <v>1.0573392049270431</v>
      </c>
      <c r="H27" s="61">
        <v>299696.32595999999</v>
      </c>
      <c r="I27" s="30">
        <f t="shared" si="12"/>
        <v>0.30430149700910708</v>
      </c>
      <c r="J27" s="30">
        <f>IF(H27=0,"",(E27-H27)/ABS(H27))</f>
        <v>-6.282682598689257E-2</v>
      </c>
      <c r="K27" s="61">
        <v>3092730</v>
      </c>
      <c r="L27" s="30">
        <f t="shared" si="5"/>
        <v>0.31485452054200425</v>
      </c>
      <c r="M27" s="61">
        <v>3137218.7873</v>
      </c>
      <c r="N27" s="30">
        <f>+M27/$M$20</f>
        <v>0.32278034870961958</v>
      </c>
      <c r="O27" s="30">
        <f>IF(K27=0,"",(M27-K27)/ABS(K27)+1)</f>
        <v>1.0143849567534184</v>
      </c>
      <c r="P27" s="61">
        <v>3241327.1963000004</v>
      </c>
      <c r="Q27" s="30">
        <f t="shared" si="8"/>
        <v>0.36963046735250638</v>
      </c>
      <c r="R27" s="30">
        <f>IF(P27=0,"",(M27-P27)/ABS(P27))</f>
        <v>-3.2119068114703442E-2</v>
      </c>
      <c r="S27" s="62"/>
      <c r="T27" s="3" t="s">
        <v>46</v>
      </c>
      <c r="U27" s="61">
        <v>80610</v>
      </c>
      <c r="V27" s="61">
        <v>-2469.8958299999999</v>
      </c>
      <c r="W27" s="61">
        <v>56230.941159999995</v>
      </c>
      <c r="X27" s="61">
        <v>146205</v>
      </c>
      <c r="Y27" s="61">
        <v>-27589.795309999998</v>
      </c>
      <c r="Z27" s="57">
        <f>+Y27-X27</f>
        <v>-173794.79530999999</v>
      </c>
      <c r="AA27" s="63">
        <f>IF(X27=0,"",(Y27-X27)/ABS(X27)+1)</f>
        <v>-0.18870623651721896</v>
      </c>
      <c r="AB27" s="61">
        <v>196063.67552000002</v>
      </c>
      <c r="AC27" s="30">
        <f>IF(AB27=0,"",(Y27-AB27)/ABS(AB27))</f>
        <v>-1.1407185458337774</v>
      </c>
      <c r="AD27" s="47"/>
      <c r="AE27" s="47"/>
      <c r="AF27" s="47"/>
      <c r="AG27" s="47"/>
      <c r="AH27" s="47"/>
      <c r="AI27" s="49"/>
    </row>
    <row r="28" spans="1:35" x14ac:dyDescent="0.2">
      <c r="B28" s="3" t="s">
        <v>47</v>
      </c>
      <c r="C28" s="61">
        <f>SUM(C26:C27)</f>
        <v>483442</v>
      </c>
      <c r="D28" s="30">
        <f t="shared" si="11"/>
        <v>0.52476629630112059</v>
      </c>
      <c r="E28" s="61">
        <f>SUM(E26:E27)</f>
        <v>495428.91854000004</v>
      </c>
      <c r="F28" s="30">
        <f>+E28/$E$20</f>
        <v>0.53009376583451018</v>
      </c>
      <c r="G28" s="30">
        <f>IF(C28=0,"",(E28-C28)/ABS(C28)+1)</f>
        <v>1.0247949465292632</v>
      </c>
      <c r="H28" s="61">
        <f>SUM(H26:H27)</f>
        <v>526293.14399999997</v>
      </c>
      <c r="I28" s="30">
        <f t="shared" si="12"/>
        <v>0.53438022996052603</v>
      </c>
      <c r="J28" s="30">
        <f>IF(H28=0,"",(E28-H28)/ABS(H28))</f>
        <v>-5.8644551637936464E-2</v>
      </c>
      <c r="K28" s="61">
        <f>SUM(K26:K27)</f>
        <v>5292533</v>
      </c>
      <c r="L28" s="30">
        <f t="shared" si="5"/>
        <v>0.53880485531156475</v>
      </c>
      <c r="M28" s="61">
        <f>SUM(M26:M27)</f>
        <v>5280533.9061399996</v>
      </c>
      <c r="N28" s="30">
        <f>+M28/$M$20</f>
        <v>0.54330051270149071</v>
      </c>
      <c r="O28" s="30">
        <f>IF(K28=0,"",(M28-K28)/ABS(K28)+1)</f>
        <v>0.99773282587751455</v>
      </c>
      <c r="P28" s="61">
        <f>SUM(P26:P27)</f>
        <v>5058710.928820001</v>
      </c>
      <c r="Q28" s="30">
        <f t="shared" si="8"/>
        <v>0.57687902873718533</v>
      </c>
      <c r="R28" s="30">
        <f>IF(P28=0,"",(M28-P28)/ABS(P28))</f>
        <v>4.384970409284511E-2</v>
      </c>
      <c r="S28" s="62"/>
      <c r="T28" s="3" t="s">
        <v>48</v>
      </c>
      <c r="U28" s="61">
        <v>77500</v>
      </c>
      <c r="V28" s="61">
        <v>87490.464000000007</v>
      </c>
      <c r="W28" s="61">
        <v>0</v>
      </c>
      <c r="X28" s="61">
        <v>620000</v>
      </c>
      <c r="Y28" s="61">
        <v>572062.10400000005</v>
      </c>
      <c r="Z28" s="57">
        <f>+Y28-X28</f>
        <v>-47937.89599999995</v>
      </c>
      <c r="AA28" s="63">
        <f>IF(X28=0,"",(Y28-X28)/ABS(X28)+1)</f>
        <v>0.9226808129032259</v>
      </c>
      <c r="AB28" s="61">
        <v>0</v>
      </c>
      <c r="AC28" s="30" t="str">
        <f>IF(AB28=0,"",(Y28-AB28)/ABS(AB28))</f>
        <v/>
      </c>
      <c r="AD28" s="47"/>
      <c r="AE28" s="47"/>
      <c r="AF28" s="47"/>
      <c r="AG28" s="47"/>
      <c r="AH28" s="47"/>
      <c r="AI28" s="49"/>
    </row>
    <row r="29" spans="1:35" x14ac:dyDescent="0.2">
      <c r="B29" s="3"/>
      <c r="C29" s="61"/>
      <c r="D29" s="30"/>
      <c r="E29" s="61"/>
      <c r="F29" s="30"/>
      <c r="G29" s="30"/>
      <c r="H29" s="61"/>
      <c r="I29" s="30"/>
      <c r="J29" s="30"/>
      <c r="K29" s="61"/>
      <c r="L29" s="30"/>
      <c r="M29" s="61"/>
      <c r="N29" s="30"/>
      <c r="O29" s="30"/>
      <c r="P29" s="61"/>
      <c r="Q29" s="30"/>
      <c r="R29" s="30"/>
      <c r="S29" s="62"/>
      <c r="AD29" s="47"/>
      <c r="AE29" s="47"/>
      <c r="AF29" s="47"/>
      <c r="AG29" s="47"/>
      <c r="AH29" s="47"/>
      <c r="AI29" s="49"/>
    </row>
    <row r="30" spans="1:35" x14ac:dyDescent="0.2">
      <c r="B30" s="3" t="s">
        <v>49</v>
      </c>
      <c r="C30" s="61">
        <v>57334</v>
      </c>
      <c r="D30" s="30">
        <f t="shared" si="11"/>
        <v>6.2234871674634082E-2</v>
      </c>
      <c r="E30" s="61">
        <v>55653.686999999998</v>
      </c>
      <c r="F30" s="30">
        <f>+E30/$E$20</f>
        <v>5.9547740191155614E-2</v>
      </c>
      <c r="G30" s="30">
        <f>IF(C30=0,"",(E30-C30)/ABS(C30)+1)</f>
        <v>0.97069255590051273</v>
      </c>
      <c r="H30" s="61">
        <v>42570.7641</v>
      </c>
      <c r="I30" s="30">
        <f t="shared" si="12"/>
        <v>4.3224911760114643E-2</v>
      </c>
      <c r="J30" s="30">
        <f>IF(H30=0,"",(E30-H30)/ABS(H30))</f>
        <v>0.30732177767041768</v>
      </c>
      <c r="K30" s="61">
        <v>595304</v>
      </c>
      <c r="L30" s="30">
        <f t="shared" si="5"/>
        <v>6.0604758739604594E-2</v>
      </c>
      <c r="M30" s="61">
        <v>556330.05111999996</v>
      </c>
      <c r="N30" s="30">
        <f>+M30/$M$20</f>
        <v>5.7239363931229151E-2</v>
      </c>
      <c r="O30" s="30">
        <f>IF(K30=0,"",(M30-K30)/ABS(K30)+1)</f>
        <v>0.93453101460766252</v>
      </c>
      <c r="P30" s="61">
        <v>437338.02523000003</v>
      </c>
      <c r="Q30" s="30">
        <f t="shared" si="8"/>
        <v>4.9872613552039972E-2</v>
      </c>
      <c r="R30" s="30">
        <f>IF(P30=0,"",(M30-P30)/ABS(P30))</f>
        <v>0.27208250603734024</v>
      </c>
      <c r="S30" s="62"/>
      <c r="T30" s="19" t="s">
        <v>50</v>
      </c>
      <c r="U30" s="65">
        <f>U21-U23-U25-U27-U28</f>
        <v>47189</v>
      </c>
      <c r="V30" s="65">
        <f>V21-V23-V25-V27-V28</f>
        <v>76757.06288000042</v>
      </c>
      <c r="W30" s="65">
        <f>W21-W23-W25-W27-W28</f>
        <v>442630.35875000001</v>
      </c>
      <c r="X30" s="65">
        <f>X21-X23-X25-X27-X28</f>
        <v>47189</v>
      </c>
      <c r="Y30" s="65">
        <f>Y21-Y23-Y25-Y27-Y28</f>
        <v>76757.062879999867</v>
      </c>
      <c r="Z30" s="67">
        <f>+Y30-X30</f>
        <v>29568.062879999867</v>
      </c>
      <c r="AA30" s="68">
        <f>IF(U30=0,"",(V30-U30)/ABS(U30)+1)</f>
        <v>1.6265880370425401</v>
      </c>
      <c r="AB30" s="65">
        <f>AB21-AB23-AB25-AB27-AB28</f>
        <v>442630.81321999943</v>
      </c>
      <c r="AC30" s="30">
        <f>IF(AB30=0,"",(Y30-AB30)/ABS(AB30))</f>
        <v>-0.82658897530965714</v>
      </c>
      <c r="AD30" s="48"/>
      <c r="AE30" s="48"/>
    </row>
    <row r="31" spans="1:35" x14ac:dyDescent="0.2">
      <c r="B31" s="3" t="s">
        <v>51</v>
      </c>
      <c r="C31" s="61">
        <v>168463</v>
      </c>
      <c r="D31" s="30">
        <f t="shared" si="11"/>
        <v>0.18286310368932712</v>
      </c>
      <c r="E31" s="61">
        <v>166083.7065</v>
      </c>
      <c r="F31" s="30">
        <f>+E31/$E$20</f>
        <v>0.17770447813540446</v>
      </c>
      <c r="G31" s="30">
        <f>IF(C31=0,"",(E31-C31)/ABS(C31)+1)</f>
        <v>0.98587646248731176</v>
      </c>
      <c r="H31" s="61">
        <v>177988.69594999999</v>
      </c>
      <c r="I31" s="30">
        <f t="shared" si="12"/>
        <v>0.18072369240693575</v>
      </c>
      <c r="J31" s="30">
        <f>IF(H31=0,"",(E31-H31)/ABS(H31))</f>
        <v>-6.6886210871190968E-2</v>
      </c>
      <c r="K31" s="61">
        <v>1901069</v>
      </c>
      <c r="L31" s="30">
        <f t="shared" si="5"/>
        <v>0.1935378026896197</v>
      </c>
      <c r="M31" s="61">
        <v>1867878.7393099999</v>
      </c>
      <c r="N31" s="30">
        <f>+M31/$M$20</f>
        <v>0.1921812253778627</v>
      </c>
      <c r="O31" s="30">
        <f>IF(K31=0,"",(M31-K31)/ABS(K31)+1)</f>
        <v>0.98254126457798208</v>
      </c>
      <c r="P31" s="61">
        <v>1690228.2967399999</v>
      </c>
      <c r="Q31" s="30">
        <f t="shared" si="8"/>
        <v>0.19274816685264143</v>
      </c>
      <c r="R31" s="30">
        <f>IF(P31=0,"",(M31-P31)/ABS(P31))</f>
        <v>0.10510440685003342</v>
      </c>
      <c r="S31" s="62"/>
      <c r="T31" s="48"/>
      <c r="U31" s="52" t="s">
        <v>61</v>
      </c>
      <c r="V31" s="52" t="s">
        <v>61</v>
      </c>
      <c r="W31" s="48" t="s">
        <v>61</v>
      </c>
      <c r="X31" s="52" t="s">
        <v>61</v>
      </c>
      <c r="Y31" s="52" t="s">
        <v>61</v>
      </c>
      <c r="Z31" s="52"/>
      <c r="AA31" s="52"/>
      <c r="AB31" s="69" t="s">
        <v>60</v>
      </c>
      <c r="AC31" s="48"/>
      <c r="AD31" s="48"/>
      <c r="AE31" s="48"/>
    </row>
    <row r="32" spans="1:35" x14ac:dyDescent="0.2">
      <c r="B32" s="3" t="s">
        <v>52</v>
      </c>
      <c r="C32" s="61">
        <f>SUM(C30:C31)</f>
        <v>225797</v>
      </c>
      <c r="D32" s="30">
        <f t="shared" si="11"/>
        <v>0.24509797536396122</v>
      </c>
      <c r="E32" s="61">
        <f>SUM(E30:E31)</f>
        <v>221737.39350000001</v>
      </c>
      <c r="F32" s="30">
        <f>+E32/$E$20</f>
        <v>0.23725221832656007</v>
      </c>
      <c r="G32" s="30">
        <f>IF(C32=0,"",(E32-C32)/ABS(C32)+1)</f>
        <v>0.98202099009287103</v>
      </c>
      <c r="H32" s="61">
        <f>SUM(H30:H31)</f>
        <v>220559.46004999999</v>
      </c>
      <c r="I32" s="30">
        <f t="shared" si="12"/>
        <v>0.2239486041670504</v>
      </c>
      <c r="J32" s="30">
        <f>IF(H32=0,"",(E32-H32)/ABS(H32))</f>
        <v>5.3406616507538527E-3</v>
      </c>
      <c r="K32" s="61">
        <f>SUM(K30:K31)</f>
        <v>2496373</v>
      </c>
      <c r="L32" s="30">
        <f t="shared" si="5"/>
        <v>0.25414256142922431</v>
      </c>
      <c r="M32" s="61">
        <f>SUM(M30:M31)</f>
        <v>2424208.7904300001</v>
      </c>
      <c r="N32" s="30">
        <f>+M32/$M$20</f>
        <v>0.24942058930909189</v>
      </c>
      <c r="O32" s="30">
        <f>IF(K32=0,"",(M32-K32)/ABS(K32)+1)</f>
        <v>0.97109237699254081</v>
      </c>
      <c r="P32" s="61">
        <f>SUM(P30:P31)</f>
        <v>2127566.3219699999</v>
      </c>
      <c r="Q32" s="30">
        <f t="shared" si="8"/>
        <v>0.24262078040468141</v>
      </c>
      <c r="R32" s="30">
        <f>IF(P32=0,"",(M32-P32)/ABS(P32))</f>
        <v>0.13942807112368974</v>
      </c>
      <c r="S32" s="62"/>
      <c r="T32" s="48" t="s">
        <v>84</v>
      </c>
      <c r="U32" s="69"/>
      <c r="V32" s="69"/>
      <c r="W32" s="69"/>
      <c r="X32" s="69"/>
      <c r="Y32" s="69"/>
      <c r="Z32" s="69"/>
      <c r="AA32" s="69"/>
      <c r="AB32" s="69"/>
      <c r="AC32" s="48"/>
    </row>
    <row r="33" spans="1:29" x14ac:dyDescent="0.2">
      <c r="B33" s="3"/>
      <c r="C33" s="61"/>
      <c r="D33" s="30"/>
      <c r="E33" s="61"/>
      <c r="F33" s="30"/>
      <c r="G33" s="30"/>
      <c r="H33" s="61"/>
      <c r="I33" s="30"/>
      <c r="J33" s="30"/>
      <c r="K33" s="61"/>
      <c r="L33" s="30"/>
      <c r="M33" s="61"/>
      <c r="N33" s="30"/>
      <c r="O33" s="30"/>
      <c r="P33" s="61"/>
      <c r="Q33" s="30"/>
      <c r="R33" s="30"/>
      <c r="S33" s="62"/>
      <c r="T33" s="48"/>
      <c r="U33" s="69"/>
      <c r="V33" s="69"/>
      <c r="W33" s="69"/>
      <c r="X33" s="69"/>
      <c r="Y33" s="69"/>
      <c r="Z33" s="69"/>
      <c r="AA33" s="69"/>
      <c r="AB33" s="69"/>
      <c r="AC33" s="48"/>
    </row>
    <row r="34" spans="1:29" x14ac:dyDescent="0.2">
      <c r="B34" s="3" t="s">
        <v>53</v>
      </c>
      <c r="C34" s="61">
        <f>C28+C32</f>
        <v>709239</v>
      </c>
      <c r="D34" s="30">
        <f t="shared" si="11"/>
        <v>0.76986427166508187</v>
      </c>
      <c r="E34" s="61">
        <f>E28+E32</f>
        <v>717166.31203999999</v>
      </c>
      <c r="F34" s="30">
        <f>+E34/$E$20</f>
        <v>0.76734598416107014</v>
      </c>
      <c r="G34" s="30">
        <f>IF(C34=0,"",(E34-C34)/ABS(C34)+1)</f>
        <v>1.011177208303548</v>
      </c>
      <c r="H34" s="61">
        <f>H28+H32</f>
        <v>746852.60404999997</v>
      </c>
      <c r="I34" s="30">
        <f t="shared" si="12"/>
        <v>0.75832883412757646</v>
      </c>
      <c r="J34" s="30">
        <f>IF(H34=0,"",(E34-H34)/ABS(H34))</f>
        <v>-3.9748528490117646E-2</v>
      </c>
      <c r="K34" s="61">
        <f>K28+K32</f>
        <v>7788906</v>
      </c>
      <c r="L34" s="30">
        <f t="shared" si="5"/>
        <v>0.79294741674078895</v>
      </c>
      <c r="M34" s="61">
        <f>M28+M32</f>
        <v>7704742.6965699997</v>
      </c>
      <c r="N34" s="30">
        <f>+M34/$M$20</f>
        <v>0.79272110201058255</v>
      </c>
      <c r="O34" s="30">
        <f>IF(K34=0,"",(M34-K34)/ABS(K34)+1)</f>
        <v>0.98919446409675504</v>
      </c>
      <c r="P34" s="61">
        <f>P28+P32</f>
        <v>7186277.2507900009</v>
      </c>
      <c r="Q34" s="30">
        <f t="shared" si="8"/>
        <v>0.81949980914186682</v>
      </c>
      <c r="R34" s="30">
        <f>IF(P34=0,"",(M34-P34)/ABS(P34))</f>
        <v>7.2146596587684242E-2</v>
      </c>
      <c r="S34" s="62"/>
      <c r="T34" s="47"/>
      <c r="U34" s="49"/>
      <c r="V34" s="49"/>
      <c r="W34" s="49"/>
      <c r="X34" s="69"/>
      <c r="Y34" s="69"/>
      <c r="Z34" s="69"/>
      <c r="AA34" s="69"/>
    </row>
    <row r="35" spans="1:29" x14ac:dyDescent="0.2">
      <c r="B35" s="3"/>
      <c r="C35" s="61"/>
      <c r="D35" s="30"/>
      <c r="E35" s="61"/>
      <c r="F35" s="30"/>
      <c r="G35" s="30"/>
      <c r="H35" s="61"/>
      <c r="I35" s="30"/>
      <c r="J35" s="30"/>
      <c r="K35" s="61"/>
      <c r="L35" s="30"/>
      <c r="M35" s="61"/>
      <c r="N35" s="30"/>
      <c r="O35" s="30"/>
      <c r="P35" s="61"/>
      <c r="Q35" s="30"/>
      <c r="R35" s="30"/>
      <c r="S35" s="62"/>
      <c r="T35" s="47"/>
      <c r="U35" s="49"/>
      <c r="V35" s="49"/>
      <c r="W35" s="49"/>
      <c r="X35" s="69"/>
      <c r="Y35" s="69"/>
      <c r="Z35" s="69"/>
      <c r="AA35" s="69"/>
    </row>
    <row r="36" spans="1:29" x14ac:dyDescent="0.2">
      <c r="B36" s="19" t="s">
        <v>54</v>
      </c>
      <c r="C36" s="65">
        <f>C24-C34</f>
        <v>127599</v>
      </c>
      <c r="D36" s="38">
        <f t="shared" si="11"/>
        <v>0.13850607651326674</v>
      </c>
      <c r="E36" s="65">
        <f>E24-E34</f>
        <v>94805.905389999971</v>
      </c>
      <c r="F36" s="38">
        <f>+E36/$E$20</f>
        <v>0.10143941447672637</v>
      </c>
      <c r="G36" s="38">
        <f>IF(C36=0,"",(E36-C36)/ABS(C36)+1)</f>
        <v>0.74299881182454386</v>
      </c>
      <c r="H36" s="65">
        <f>H24-H34</f>
        <v>127357.57663000003</v>
      </c>
      <c r="I36" s="38">
        <f t="shared" si="12"/>
        <v>0.12931456900520583</v>
      </c>
      <c r="J36" s="38">
        <f>IF(H36=0,"",(E36-H36)/ABS(H36))</f>
        <v>-0.25559273426322615</v>
      </c>
      <c r="K36" s="65">
        <f>K24-K34</f>
        <v>1210959</v>
      </c>
      <c r="L36" s="38">
        <f t="shared" si="5"/>
        <v>0.12328134539420672</v>
      </c>
      <c r="M36" s="65">
        <f>+M24-M34</f>
        <v>1101265.483070001</v>
      </c>
      <c r="N36" s="38">
        <f>+M36/$M$20</f>
        <v>0.11330636488796811</v>
      </c>
      <c r="O36" s="38">
        <f>IF(K36=0,"",(M36-K36)/ABS(K36)+1)</f>
        <v>0.90941599432350806</v>
      </c>
      <c r="P36" s="65">
        <f>P24-P34</f>
        <v>1012660.9058999997</v>
      </c>
      <c r="Q36" s="38">
        <f t="shared" si="8"/>
        <v>0.11548057361956775</v>
      </c>
      <c r="R36" s="38">
        <f>IF(P36=0,"",(M36-P36)/ABS(P36))</f>
        <v>8.7496788563447364E-2</v>
      </c>
      <c r="S36" s="62"/>
      <c r="T36" s="47"/>
      <c r="W36" s="49"/>
      <c r="X36" s="69"/>
      <c r="Y36" s="69"/>
      <c r="Z36" s="69"/>
      <c r="AA36" s="69"/>
    </row>
    <row r="37" spans="1:29" x14ac:dyDescent="0.2">
      <c r="B37" s="3"/>
      <c r="C37" s="61"/>
      <c r="D37" s="30"/>
      <c r="E37" s="61"/>
      <c r="F37" s="30"/>
      <c r="G37" s="30"/>
      <c r="H37" s="61"/>
      <c r="I37" s="30"/>
      <c r="J37" s="30"/>
      <c r="K37" s="61"/>
      <c r="L37" s="30"/>
      <c r="M37" s="61"/>
      <c r="N37" s="30"/>
      <c r="O37" s="30"/>
      <c r="P37" s="61"/>
      <c r="Q37" s="30"/>
      <c r="R37" s="30"/>
      <c r="S37" s="62"/>
      <c r="W37" s="49"/>
      <c r="X37" s="69"/>
      <c r="Y37" s="69"/>
      <c r="Z37" s="69"/>
      <c r="AA37" s="69"/>
    </row>
    <row r="38" spans="1:29" x14ac:dyDescent="0.2">
      <c r="B38" s="3" t="s">
        <v>55</v>
      </c>
      <c r="C38" s="61">
        <v>640</v>
      </c>
      <c r="D38" s="30">
        <f t="shared" si="11"/>
        <v>6.9470676861488497E-4</v>
      </c>
      <c r="E38" s="61">
        <v>127.16671000000001</v>
      </c>
      <c r="F38" s="30">
        <f>+E38/$E$20</f>
        <v>1.3606448406633026E-4</v>
      </c>
      <c r="G38" s="30">
        <f>IF(C38=0,"",(E38-C38)/ABS(C38)+1)</f>
        <v>0.19869798437499997</v>
      </c>
      <c r="H38" s="61">
        <v>6254.1690199999994</v>
      </c>
      <c r="I38" s="30">
        <f t="shared" si="12"/>
        <v>6.3502713596428643E-3</v>
      </c>
      <c r="J38" s="30">
        <f>IF(H38=0,"",(E38-H38)/ABS(H38))</f>
        <v>-0.97966688946311842</v>
      </c>
      <c r="K38" s="61">
        <v>7040</v>
      </c>
      <c r="L38" s="30">
        <f t="shared" si="5"/>
        <v>7.1670524895988655E-4</v>
      </c>
      <c r="M38" s="61">
        <v>23878.91807</v>
      </c>
      <c r="N38" s="30">
        <f>+M38/$M$20</f>
        <v>2.4568402856201513E-3</v>
      </c>
      <c r="O38" s="30">
        <f>IF(K38=0,"",(M38-K38)/ABS(K38)+1)</f>
        <v>3.3918917713068182</v>
      </c>
      <c r="P38" s="61">
        <v>219336.56050999998</v>
      </c>
      <c r="Q38" s="30">
        <f t="shared" si="8"/>
        <v>2.5012431778361828E-2</v>
      </c>
      <c r="R38" s="30">
        <f>IF(P38=0,"",(M38-P38)/ABS(P38))</f>
        <v>-0.89113115472187165</v>
      </c>
      <c r="S38" s="62"/>
      <c r="T38" s="47"/>
      <c r="X38" s="69"/>
      <c r="Y38" s="69"/>
      <c r="Z38" s="69"/>
      <c r="AA38" s="69"/>
    </row>
    <row r="39" spans="1:29" x14ac:dyDescent="0.2">
      <c r="B39" s="3" t="s">
        <v>56</v>
      </c>
      <c r="C39" s="61">
        <v>14346</v>
      </c>
      <c r="D39" s="30">
        <f t="shared" si="11"/>
        <v>1.5572286410233031E-2</v>
      </c>
      <c r="E39" s="61">
        <v>18926.828399999999</v>
      </c>
      <c r="F39" s="30">
        <f>+E39/$E$20</f>
        <v>2.025112658224756E-2</v>
      </c>
      <c r="G39" s="30">
        <f>IF(C39=0,"",(E39-C39)/ABS(C39)+1)</f>
        <v>1.3193104976997072</v>
      </c>
      <c r="H39" s="61">
        <v>15763.61312</v>
      </c>
      <c r="I39" s="30">
        <f t="shared" si="12"/>
        <v>1.6005838761362176E-2</v>
      </c>
      <c r="J39" s="30">
        <f>IF(H39=0,"",(E39-H39)/ABS(H39))</f>
        <v>0.20066562506451557</v>
      </c>
      <c r="K39" s="61">
        <v>164234</v>
      </c>
      <c r="L39" s="30">
        <f t="shared" si="5"/>
        <v>1.6719796854783808E-2</v>
      </c>
      <c r="M39" s="61">
        <v>192482.33353999999</v>
      </c>
      <c r="N39" s="30">
        <f>+M39/$M$20</f>
        <v>1.9804010798352173E-2</v>
      </c>
      <c r="O39" s="30">
        <f>IF(K39=0,"",(M39-K39)/ABS(K39)+1)</f>
        <v>1.1720005208422128</v>
      </c>
      <c r="P39" s="61">
        <v>284522.26841000002</v>
      </c>
      <c r="Q39" s="30">
        <f t="shared" si="8"/>
        <v>3.2445999023064914E-2</v>
      </c>
      <c r="R39" s="30">
        <f>IF(P39=0,"",(M39-P39)/ABS(P39))</f>
        <v>-0.32348938936958482</v>
      </c>
      <c r="S39" s="62"/>
      <c r="T39" s="47"/>
      <c r="X39" s="69"/>
      <c r="Y39" s="69"/>
      <c r="Z39" s="69"/>
      <c r="AA39" s="69"/>
    </row>
    <row r="40" spans="1:29" x14ac:dyDescent="0.2">
      <c r="B40" s="3"/>
      <c r="C40" s="61"/>
      <c r="D40" s="30"/>
      <c r="E40" s="61"/>
      <c r="F40" s="30"/>
      <c r="G40" s="30"/>
      <c r="H40" s="61"/>
      <c r="I40" s="30"/>
      <c r="J40" s="30"/>
      <c r="K40" s="61"/>
      <c r="L40" s="30"/>
      <c r="M40" s="61"/>
      <c r="N40" s="30"/>
      <c r="O40" s="30"/>
      <c r="P40" s="61"/>
      <c r="Q40" s="30"/>
      <c r="R40" s="30"/>
      <c r="S40" s="62"/>
      <c r="T40" s="47"/>
      <c r="X40" s="69"/>
      <c r="Y40" s="69"/>
      <c r="Z40" s="69"/>
      <c r="AA40" s="69"/>
    </row>
    <row r="41" spans="1:29" x14ac:dyDescent="0.2">
      <c r="B41" s="3" t="s">
        <v>57</v>
      </c>
      <c r="C41" s="61">
        <f>C36+C38-C39</f>
        <v>113893</v>
      </c>
      <c r="D41" s="30">
        <f t="shared" si="11"/>
        <v>0.12362849687164858</v>
      </c>
      <c r="E41" s="61">
        <f>E36+E38-E39</f>
        <v>76006.243699999977</v>
      </c>
      <c r="F41" s="30">
        <f>+E41/$E$20</f>
        <v>8.1324352378545142E-2</v>
      </c>
      <c r="G41" s="30">
        <f>IF(C41=0,"",(E41-C41)/ABS(C41)+1)</f>
        <v>0.6673478062743099</v>
      </c>
      <c r="H41" s="61">
        <f>H36+H38-H39</f>
        <v>117848.13253000003</v>
      </c>
      <c r="I41" s="30">
        <f t="shared" si="12"/>
        <v>0.11965900160348653</v>
      </c>
      <c r="J41" s="30">
        <f>IF(H41=0,"",(E41-H41)/ABS(H41))</f>
        <v>-0.35504923100371205</v>
      </c>
      <c r="K41" s="61">
        <f>K36+K38-K39</f>
        <v>1053765</v>
      </c>
      <c r="L41" s="30">
        <f t="shared" si="5"/>
        <v>0.10727825378838279</v>
      </c>
      <c r="M41" s="61">
        <f>M36+M38-M39</f>
        <v>932662.06760000088</v>
      </c>
      <c r="N41" s="30">
        <f>+M41/$M$20</f>
        <v>9.5959194375236076E-2</v>
      </c>
      <c r="O41" s="30">
        <f>IF(K41=0,"",(M41-K41)/ABS(K41)+1)</f>
        <v>0.88507595868149058</v>
      </c>
      <c r="P41" s="61">
        <f>P36+P38-P39</f>
        <v>947475.19799999963</v>
      </c>
      <c r="Q41" s="30">
        <f t="shared" si="8"/>
        <v>0.10804700637486467</v>
      </c>
      <c r="R41" s="30">
        <f>IF(P41=0,"",(M41-P41)/ABS(P41))</f>
        <v>-1.5634319960319162E-2</v>
      </c>
      <c r="S41" s="62"/>
      <c r="T41" s="47"/>
      <c r="X41" s="69"/>
      <c r="Y41" s="69"/>
      <c r="Z41" s="69"/>
      <c r="AA41" s="69"/>
    </row>
    <row r="42" spans="1:29" x14ac:dyDescent="0.2">
      <c r="B42" s="3" t="s">
        <v>43</v>
      </c>
      <c r="C42" s="61">
        <v>41001</v>
      </c>
      <c r="D42" s="30">
        <f t="shared" si="11"/>
        <v>4.450573784371703E-2</v>
      </c>
      <c r="E42" s="61">
        <v>27069.234</v>
      </c>
      <c r="F42" s="30">
        <f>+E42/$E$20</f>
        <v>2.8963251139238918E-2</v>
      </c>
      <c r="G42" s="30">
        <f>IF(C42=0,"",(E42-C42)/ABS(C42)+1)</f>
        <v>0.66020911685080852</v>
      </c>
      <c r="H42" s="61">
        <v>41021.451000000001</v>
      </c>
      <c r="I42" s="30">
        <f t="shared" si="12"/>
        <v>4.1651791722170817E-2</v>
      </c>
      <c r="J42" s="30">
        <f>IF(H42=0,"",(E42-H42)/ABS(H42))</f>
        <v>-0.34012002647102857</v>
      </c>
      <c r="K42" s="61">
        <v>379383</v>
      </c>
      <c r="L42" s="30">
        <f t="shared" si="5"/>
        <v>3.8622981174168847E-2</v>
      </c>
      <c r="M42" s="61">
        <v>326959.68599999999</v>
      </c>
      <c r="N42" s="30">
        <f>+M42/$M$20</f>
        <v>3.3640038714639928E-2</v>
      </c>
      <c r="O42" s="30">
        <f>IF(K42=0,"",(M42-K42)/ABS(K42)+1)</f>
        <v>0.86181954911000225</v>
      </c>
      <c r="P42" s="61">
        <v>318950.636</v>
      </c>
      <c r="Q42" s="30">
        <f t="shared" si="8"/>
        <v>3.6372098682797553E-2</v>
      </c>
      <c r="R42" s="30">
        <f>IF(P42=0,"",(M42-P42)/ABS(P42))</f>
        <v>2.5110625582825265E-2</v>
      </c>
      <c r="S42" s="62"/>
      <c r="X42" s="69"/>
      <c r="Y42" s="69"/>
      <c r="Z42" s="69"/>
      <c r="AA42" s="69"/>
    </row>
    <row r="43" spans="1:29" x14ac:dyDescent="0.2">
      <c r="B43" s="19" t="s">
        <v>58</v>
      </c>
      <c r="C43" s="65">
        <f>+C41-C42</f>
        <v>72892</v>
      </c>
      <c r="D43" s="38">
        <f t="shared" si="11"/>
        <v>7.9122759027931561E-2</v>
      </c>
      <c r="E43" s="65">
        <f>E41-E42</f>
        <v>48937.009699999981</v>
      </c>
      <c r="F43" s="38">
        <f>+E43/$E$20</f>
        <v>5.2361101239306235E-2</v>
      </c>
      <c r="G43" s="38">
        <f>IF(C43=0,"",(E43-C43)/ABS(C43)+1)</f>
        <v>0.67136324562366212</v>
      </c>
      <c r="H43" s="65">
        <f>+H41-H42</f>
        <v>76826.681530000031</v>
      </c>
      <c r="I43" s="38">
        <f t="shared" si="12"/>
        <v>7.8007209881315723E-2</v>
      </c>
      <c r="J43" s="38">
        <f>IF(H43=0,"",(E43-H43)/ABS(H43))</f>
        <v>-0.36302064952668062</v>
      </c>
      <c r="K43" s="65">
        <f>+K41-K42</f>
        <v>674382</v>
      </c>
      <c r="L43" s="38">
        <f t="shared" si="5"/>
        <v>6.8655272614213961E-2</v>
      </c>
      <c r="M43" s="65">
        <f>+M41-M42</f>
        <v>605702.3816000009</v>
      </c>
      <c r="N43" s="38">
        <f>+M43/$M$20</f>
        <v>6.2319155660596148E-2</v>
      </c>
      <c r="O43" s="38">
        <f>IF(K43=0,"",(M43-K43)/ABS(K43)+1)</f>
        <v>0.89815917625322284</v>
      </c>
      <c r="P43" s="65">
        <f>P41-P42</f>
        <v>628524.56199999969</v>
      </c>
      <c r="Q43" s="38">
        <f t="shared" si="8"/>
        <v>7.1674907692067122E-2</v>
      </c>
      <c r="R43" s="38">
        <f>IF(P43=0,"",(M43-P43)/ABS(P43))</f>
        <v>-3.6310721616633977E-2</v>
      </c>
      <c r="S43" s="62"/>
      <c r="T43" s="70"/>
      <c r="W43" s="49"/>
      <c r="X43" s="69"/>
      <c r="Y43" s="69"/>
      <c r="Z43" s="69"/>
      <c r="AA43" s="69"/>
    </row>
    <row r="44" spans="1:29" x14ac:dyDescent="0.2">
      <c r="B44" s="3"/>
      <c r="C44" s="61"/>
      <c r="D44" s="30"/>
      <c r="E44" s="61"/>
      <c r="F44" s="30"/>
      <c r="G44" s="30"/>
      <c r="H44" s="61"/>
      <c r="I44" s="30"/>
      <c r="J44" s="30"/>
      <c r="K44" s="61"/>
      <c r="L44" s="30"/>
      <c r="M44" s="61"/>
      <c r="N44" s="30"/>
      <c r="O44" s="30"/>
      <c r="P44" s="61"/>
      <c r="Q44" s="30"/>
      <c r="R44" s="30"/>
      <c r="S44" s="62"/>
      <c r="W44" s="49"/>
      <c r="X44" s="69"/>
      <c r="Y44" s="69"/>
      <c r="Z44" s="69"/>
      <c r="AA44" s="69"/>
    </row>
    <row r="45" spans="1:29" x14ac:dyDescent="0.2">
      <c r="A45" s="64" t="s">
        <v>85</v>
      </c>
      <c r="B45" s="3" t="s">
        <v>86</v>
      </c>
      <c r="C45" s="61">
        <v>168642</v>
      </c>
      <c r="D45" s="30">
        <f t="shared" si="11"/>
        <v>0.18305740448867411</v>
      </c>
      <c r="E45" s="61">
        <v>136351.82307999997</v>
      </c>
      <c r="F45" s="30">
        <f>+E45/$E$20</f>
        <v>0.14589227368454949</v>
      </c>
      <c r="G45" s="30">
        <f>IF(C45=0,"",(E45-C45)/ABS(C45)+1)</f>
        <v>0.80852826152441248</v>
      </c>
      <c r="H45" s="61">
        <v>107853.78199000003</v>
      </c>
      <c r="I45" s="30">
        <f t="shared" si="12"/>
        <v>0.10951107662905193</v>
      </c>
      <c r="J45" s="30">
        <f>IF(H45=0,"",(E45-H45)/ABS(H45))</f>
        <v>0.26422848197054616</v>
      </c>
      <c r="K45" s="61">
        <v>1664613</v>
      </c>
      <c r="L45" s="30">
        <f t="shared" si="5"/>
        <v>0.16946546514017952</v>
      </c>
      <c r="M45" s="61">
        <v>1544969.367790001</v>
      </c>
      <c r="N45" s="30">
        <f>+M45/$M$20</f>
        <v>0.15895791307246487</v>
      </c>
      <c r="O45" s="30">
        <f>IF(K45=0,"",(M45-K45)/ABS(K45)+1)</f>
        <v>0.92812525661520184</v>
      </c>
      <c r="P45" s="61">
        <v>1372341.9697099996</v>
      </c>
      <c r="Q45" s="30">
        <f t="shared" si="8"/>
        <v>0.15649743852160519</v>
      </c>
      <c r="R45" s="30">
        <f>IF(P45=0,"",(M45-P45)/ABS(P45))</f>
        <v>0.12579036558685194</v>
      </c>
      <c r="S45" s="62"/>
      <c r="X45" s="69"/>
      <c r="Y45" s="69"/>
      <c r="Z45" s="69"/>
      <c r="AA45" s="69"/>
    </row>
    <row r="46" spans="1:29" x14ac:dyDescent="0.2">
      <c r="A46" s="71"/>
      <c r="B46" s="3" t="s">
        <v>34</v>
      </c>
      <c r="C46" s="61">
        <v>380074</v>
      </c>
      <c r="D46" s="30">
        <f t="shared" si="11"/>
        <v>0.41256246933520901</v>
      </c>
      <c r="E46" s="61">
        <v>361695.23</v>
      </c>
      <c r="F46" s="30">
        <f>+E46/$E$20</f>
        <v>0.38700281590364849</v>
      </c>
      <c r="G46" s="30">
        <f>IF(C46=0,"",(E46-C46)/ABS(C46)+1)</f>
        <v>0.95164423243894602</v>
      </c>
      <c r="H46" s="61">
        <v>355618.67599999998</v>
      </c>
      <c r="I46" s="30">
        <f t="shared" si="12"/>
        <v>0.3610831568407013</v>
      </c>
      <c r="J46" s="30">
        <f>IF(H46=0,"",(E46-H46)/ABS(H46))</f>
        <v>1.7087274685202429E-2</v>
      </c>
      <c r="K46" s="61">
        <v>4028825</v>
      </c>
      <c r="L46" s="30">
        <f t="shared" si="5"/>
        <v>0.41015341259102489</v>
      </c>
      <c r="M46" s="61">
        <v>3869215.1510000001</v>
      </c>
      <c r="N46" s="30">
        <f>+M46/$M$20</f>
        <v>0.39809356641880117</v>
      </c>
      <c r="O46" s="30">
        <f>IF(K46=0,"",(M46-K46)/ABS(K46)+1)</f>
        <v>0.96038302755766258</v>
      </c>
      <c r="P46" s="61">
        <v>3529598.55</v>
      </c>
      <c r="Q46" s="30">
        <f t="shared" si="8"/>
        <v>0.40250399993326602</v>
      </c>
      <c r="R46" s="30">
        <f>IF(P46=0,"",(M46-P46)/ABS(P46))</f>
        <v>9.6219611434280608E-2</v>
      </c>
      <c r="S46" s="62"/>
      <c r="X46" s="69"/>
      <c r="Y46" s="69"/>
      <c r="Z46" s="69"/>
      <c r="AA46" s="69"/>
    </row>
    <row r="47" spans="1:29" x14ac:dyDescent="0.2">
      <c r="B47" s="3" t="s">
        <v>84</v>
      </c>
      <c r="C47" s="61"/>
      <c r="J47" s="61"/>
      <c r="K47" s="61"/>
      <c r="L47" s="61"/>
      <c r="M47" s="61"/>
      <c r="N47" s="61"/>
      <c r="O47" s="61"/>
      <c r="P47" s="61"/>
      <c r="Q47" s="61"/>
      <c r="S47" s="62"/>
      <c r="X47" s="69"/>
      <c r="Y47" s="69"/>
      <c r="Z47" s="69"/>
      <c r="AA47" s="69"/>
    </row>
    <row r="48" spans="1:29" x14ac:dyDescent="0.2"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S48" s="62"/>
      <c r="X48" s="69"/>
      <c r="Y48" s="69"/>
      <c r="Z48" s="69"/>
      <c r="AA48" s="69"/>
    </row>
    <row r="49" spans="1:27" x14ac:dyDescent="0.2"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X49" s="69"/>
      <c r="Y49" s="69"/>
      <c r="Z49" s="69"/>
      <c r="AA49" s="69"/>
    </row>
    <row r="50" spans="1:27" x14ac:dyDescent="0.2"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</row>
    <row r="51" spans="1:27" x14ac:dyDescent="0.2"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</row>
    <row r="52" spans="1:27" x14ac:dyDescent="0.2"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</row>
    <row r="53" spans="1:27" x14ac:dyDescent="0.2"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</row>
    <row r="54" spans="1:27" x14ac:dyDescent="0.2">
      <c r="J54" s="61"/>
      <c r="K54" s="61"/>
      <c r="L54" s="61"/>
      <c r="M54" s="61"/>
      <c r="N54" s="61"/>
      <c r="O54" s="61"/>
      <c r="P54" s="61"/>
      <c r="Q54" s="61"/>
      <c r="R54" s="61"/>
      <c r="S54" s="61"/>
    </row>
    <row r="55" spans="1:27" x14ac:dyDescent="0.2">
      <c r="A55" s="46" t="s">
        <v>87</v>
      </c>
    </row>
    <row r="56" spans="1:27" x14ac:dyDescent="0.2">
      <c r="C56" s="47"/>
    </row>
  </sheetData>
  <conditionalFormatting sqref="D9:D46 AC19:AC28 AC30 AC10:AC11 AC13:AC17 J10:J46 G10:G46">
    <cfRule type="cellIs" dxfId="65" priority="2" operator="lessThan">
      <formula>0</formula>
    </cfRule>
  </conditionalFormatting>
  <conditionalFormatting sqref="R10:R46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CA94D-9133-4EC6-8C21-AB23D954490C}">
  <sheetPr>
    <tabColor theme="2" tint="-0.249977111117893"/>
  </sheetPr>
  <dimension ref="A1:V48"/>
  <sheetViews>
    <sheetView showGridLines="0" zoomScale="93" zoomScaleNormal="93" workbookViewId="0">
      <selection activeCell="M18" sqref="M18"/>
    </sheetView>
  </sheetViews>
  <sheetFormatPr baseColWidth="10" defaultRowHeight="12.75" x14ac:dyDescent="0.2"/>
  <cols>
    <col min="1" max="1" width="4.140625" style="73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44" customFormat="1" ht="18.75" customHeight="1" x14ac:dyDescent="0.2">
      <c r="A1" s="72"/>
      <c r="B1" s="43"/>
      <c r="S1" s="2"/>
      <c r="T1" s="2"/>
      <c r="U1" s="2"/>
      <c r="V1" s="2"/>
    </row>
    <row r="2" spans="1:22" ht="15.75" customHeight="1" x14ac:dyDescent="0.2"/>
    <row r="3" spans="1:22" ht="18" x14ac:dyDescent="0.25">
      <c r="B3" s="15" t="s">
        <v>88</v>
      </c>
      <c r="T3" s="17"/>
    </row>
    <row r="4" spans="1:22" x14ac:dyDescent="0.2">
      <c r="B4" s="3" t="s">
        <v>89</v>
      </c>
    </row>
    <row r="5" spans="1:22" x14ac:dyDescent="0.2">
      <c r="A5" s="73">
        <f>+Paramet!A3</f>
        <v>202101</v>
      </c>
      <c r="B5" s="3" t="s">
        <v>21</v>
      </c>
    </row>
    <row r="6" spans="1:22" ht="13.5" thickBot="1" x14ac:dyDescent="0.25">
      <c r="A6" s="73">
        <f>+Paramet!A4</f>
        <v>202111</v>
      </c>
      <c r="B6" s="74" t="str">
        <f>+'COLOMB$ '!B6</f>
        <v>NOVIEMBRE De 2022</v>
      </c>
      <c r="K6" s="20" t="s">
        <v>22</v>
      </c>
      <c r="L6" s="20"/>
      <c r="M6" s="20"/>
      <c r="N6" s="20"/>
      <c r="O6" s="20"/>
      <c r="P6" s="20"/>
      <c r="Q6" s="20"/>
      <c r="R6" s="20"/>
    </row>
    <row r="7" spans="1:22" x14ac:dyDescent="0.2">
      <c r="A7" s="73">
        <f>+Paramet!B3</f>
        <v>202201</v>
      </c>
      <c r="B7" s="3"/>
      <c r="C7" s="48" t="str">
        <f>+'COLOMB$ '!D7:D7</f>
        <v>Ppto 2022</v>
      </c>
      <c r="D7" s="48"/>
      <c r="E7" s="48" t="str">
        <f>+'COLOMB$ '!F7:F7</f>
        <v>Real 2022</v>
      </c>
      <c r="F7" s="48"/>
      <c r="G7" s="44" t="s">
        <v>23</v>
      </c>
      <c r="H7" s="48" t="str">
        <f>+'COLOMB$ '!I7:I7</f>
        <v>Real 2021</v>
      </c>
      <c r="I7" s="48"/>
      <c r="J7" s="44" t="s">
        <v>24</v>
      </c>
      <c r="K7" s="48" t="str">
        <f>+C7</f>
        <v>Ppto 2022</v>
      </c>
      <c r="L7" s="48"/>
      <c r="M7" s="48" t="str">
        <f>+E7</f>
        <v>Real 2022</v>
      </c>
      <c r="N7" s="48"/>
      <c r="O7" s="44" t="s">
        <v>23</v>
      </c>
      <c r="P7" s="2" t="str">
        <f>+H7</f>
        <v>Real 2021</v>
      </c>
      <c r="R7" s="44" t="s">
        <v>24</v>
      </c>
    </row>
    <row r="8" spans="1:22" ht="13.5" thickBot="1" x14ac:dyDescent="0.25">
      <c r="A8" s="73">
        <f>+Paramet!B4</f>
        <v>202211</v>
      </c>
      <c r="B8" s="26" t="s">
        <v>26</v>
      </c>
      <c r="C8" s="27" t="s">
        <v>27</v>
      </c>
      <c r="D8" s="27" t="s">
        <v>28</v>
      </c>
      <c r="E8" s="27" t="s">
        <v>27</v>
      </c>
      <c r="F8" s="27" t="s">
        <v>28</v>
      </c>
      <c r="G8" s="27" t="s">
        <v>29</v>
      </c>
      <c r="H8" s="27" t="s">
        <v>27</v>
      </c>
      <c r="I8" s="27" t="s">
        <v>28</v>
      </c>
      <c r="J8" s="27" t="s">
        <v>29</v>
      </c>
      <c r="K8" s="27" t="s">
        <v>27</v>
      </c>
      <c r="L8" s="27" t="s">
        <v>28</v>
      </c>
      <c r="M8" s="27" t="s">
        <v>27</v>
      </c>
      <c r="N8" s="27" t="s">
        <v>28</v>
      </c>
      <c r="O8" s="27" t="s">
        <v>29</v>
      </c>
      <c r="P8" s="27" t="s">
        <v>27</v>
      </c>
      <c r="Q8" s="27" t="s">
        <v>28</v>
      </c>
      <c r="R8" s="27" t="s">
        <v>29</v>
      </c>
    </row>
    <row r="9" spans="1:22" ht="15.75" customHeight="1" x14ac:dyDescent="0.2">
      <c r="A9" s="75" t="s">
        <v>90</v>
      </c>
    </row>
    <row r="10" spans="1:22" x14ac:dyDescent="0.2">
      <c r="B10" s="3" t="str">
        <f>+'COLOMB$ '!B10</f>
        <v>Musical Experience  (Ambiental)</v>
      </c>
      <c r="C10" s="61">
        <v>0</v>
      </c>
      <c r="D10" s="63">
        <f t="shared" ref="D10:D18" si="0">+C10/$C$20</f>
        <v>0</v>
      </c>
      <c r="E10" s="61"/>
      <c r="F10" s="63">
        <f t="shared" ref="F10:F20" si="1">IF($E$20=0,0,E10/$E$20)</f>
        <v>0</v>
      </c>
      <c r="G10" s="63" t="str">
        <f t="shared" ref="G10:G17" si="2">IF(C10=0,"",(E10-C10)/ABS(C10)+1)</f>
        <v/>
      </c>
      <c r="H10" s="61"/>
      <c r="I10" s="63">
        <f t="shared" ref="I10:I16" si="3">+H10/$H$20</f>
        <v>0</v>
      </c>
      <c r="J10" s="63" t="str">
        <f t="shared" ref="J10:J46" si="4">IF(H10&lt;=0,"",(E10-H10)/ABS(H10))</f>
        <v/>
      </c>
      <c r="K10" s="61"/>
      <c r="L10" s="63">
        <f t="shared" ref="L10:L20" si="5">+K10/$K$20</f>
        <v>0</v>
      </c>
      <c r="M10" s="61">
        <v>0</v>
      </c>
      <c r="N10" s="63">
        <f t="shared" ref="N10:N20" si="6">IF($M$20=0,0,M10/$M$20)</f>
        <v>0</v>
      </c>
      <c r="O10" s="63" t="str">
        <f t="shared" ref="O10:O17" si="7">IF(K10=0,"",(M10-K10)/ABS(K10)+1)</f>
        <v/>
      </c>
      <c r="P10" s="61"/>
      <c r="Q10" s="63">
        <f t="shared" ref="Q10:Q17" si="8">+P10/$P$20</f>
        <v>0</v>
      </c>
      <c r="R10" s="30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61">
        <v>0</v>
      </c>
      <c r="D11" s="63">
        <f t="shared" si="0"/>
        <v>0</v>
      </c>
      <c r="E11" s="61"/>
      <c r="F11" s="63">
        <f t="shared" si="1"/>
        <v>0</v>
      </c>
      <c r="G11" s="63" t="str">
        <f t="shared" si="2"/>
        <v/>
      </c>
      <c r="H11" s="61"/>
      <c r="I11" s="63">
        <f t="shared" si="3"/>
        <v>0</v>
      </c>
      <c r="J11" s="63" t="str">
        <f t="shared" si="4"/>
        <v/>
      </c>
      <c r="K11" s="61"/>
      <c r="L11" s="63">
        <f t="shared" si="5"/>
        <v>0</v>
      </c>
      <c r="M11" s="61">
        <v>50.42</v>
      </c>
      <c r="N11" s="63">
        <f t="shared" si="6"/>
        <v>7.7921917355167541E-2</v>
      </c>
      <c r="O11" s="63" t="str">
        <f t="shared" si="7"/>
        <v/>
      </c>
      <c r="P11" s="61"/>
      <c r="Q11" s="63">
        <f t="shared" si="8"/>
        <v>0</v>
      </c>
      <c r="R11" s="30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61">
        <v>0</v>
      </c>
      <c r="D12" s="63">
        <f t="shared" si="0"/>
        <v>0</v>
      </c>
      <c r="E12" s="61"/>
      <c r="F12" s="63">
        <f t="shared" si="1"/>
        <v>0</v>
      </c>
      <c r="G12" s="63" t="str">
        <f t="shared" si="2"/>
        <v/>
      </c>
      <c r="H12" s="61"/>
      <c r="I12" s="63">
        <f t="shared" si="3"/>
        <v>0</v>
      </c>
      <c r="J12" s="63" t="str">
        <f t="shared" si="4"/>
        <v/>
      </c>
      <c r="K12" s="61"/>
      <c r="L12" s="63">
        <f t="shared" si="5"/>
        <v>0</v>
      </c>
      <c r="M12" s="61">
        <v>0</v>
      </c>
      <c r="N12" s="63">
        <f t="shared" si="6"/>
        <v>0</v>
      </c>
      <c r="O12" s="63" t="str">
        <f t="shared" si="7"/>
        <v/>
      </c>
      <c r="P12" s="61">
        <f>+H12+T13</f>
        <v>0</v>
      </c>
      <c r="Q12" s="63">
        <f t="shared" si="8"/>
        <v>0</v>
      </c>
      <c r="R12" s="30" t="str">
        <f t="shared" si="9"/>
        <v/>
      </c>
    </row>
    <row r="13" spans="1:22" x14ac:dyDescent="0.2">
      <c r="B13" s="3" t="str">
        <f>+'COLOMB$ '!B13</f>
        <v>Service &amp; Equipment Experience</v>
      </c>
      <c r="C13" s="61">
        <v>1637</v>
      </c>
      <c r="D13" s="63">
        <f t="shared" si="0"/>
        <v>1</v>
      </c>
      <c r="E13" s="61">
        <v>0</v>
      </c>
      <c r="F13" s="63">
        <f t="shared" si="1"/>
        <v>0</v>
      </c>
      <c r="G13" s="63">
        <f t="shared" si="2"/>
        <v>0</v>
      </c>
      <c r="H13" s="61">
        <v>712.92100000000005</v>
      </c>
      <c r="I13" s="63">
        <f t="shared" si="3"/>
        <v>1</v>
      </c>
      <c r="J13" s="63">
        <f t="shared" si="4"/>
        <v>-1</v>
      </c>
      <c r="K13" s="61">
        <v>16738</v>
      </c>
      <c r="L13" s="63">
        <f t="shared" si="5"/>
        <v>1</v>
      </c>
      <c r="M13" s="61">
        <v>596.63800000000003</v>
      </c>
      <c r="N13" s="63">
        <f t="shared" si="6"/>
        <v>0.92207808264483249</v>
      </c>
      <c r="O13" s="63">
        <f t="shared" si="7"/>
        <v>3.5645716334090194E-2</v>
      </c>
      <c r="P13" s="61">
        <v>15733.361999999999</v>
      </c>
      <c r="Q13" s="63">
        <f t="shared" si="8"/>
        <v>1</v>
      </c>
      <c r="R13" s="30">
        <f t="shared" si="9"/>
        <v>-0.9620781623152127</v>
      </c>
    </row>
    <row r="14" spans="1:22" x14ac:dyDescent="0.2">
      <c r="B14" s="3" t="str">
        <f>+'COLOMB$ '!B14</f>
        <v>POP Satelital</v>
      </c>
      <c r="C14" s="61">
        <v>0</v>
      </c>
      <c r="D14" s="63">
        <f t="shared" si="0"/>
        <v>0</v>
      </c>
      <c r="E14" s="61"/>
      <c r="F14" s="63">
        <f t="shared" si="1"/>
        <v>0</v>
      </c>
      <c r="G14" s="63" t="str">
        <f t="shared" si="2"/>
        <v/>
      </c>
      <c r="H14" s="61"/>
      <c r="I14" s="63">
        <f t="shared" si="3"/>
        <v>0</v>
      </c>
      <c r="J14" s="63" t="str">
        <f t="shared" si="4"/>
        <v/>
      </c>
      <c r="K14" s="61"/>
      <c r="L14" s="63">
        <f t="shared" si="5"/>
        <v>0</v>
      </c>
      <c r="M14" s="61">
        <v>0</v>
      </c>
      <c r="N14" s="63">
        <f t="shared" si="6"/>
        <v>0</v>
      </c>
      <c r="O14" s="63" t="str">
        <f t="shared" si="7"/>
        <v/>
      </c>
      <c r="P14" s="61">
        <f>+H14+T15</f>
        <v>0</v>
      </c>
      <c r="Q14" s="63">
        <f t="shared" si="8"/>
        <v>0</v>
      </c>
      <c r="R14" s="30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61">
        <v>0</v>
      </c>
      <c r="D15" s="63">
        <f t="shared" si="0"/>
        <v>0</v>
      </c>
      <c r="E15" s="61"/>
      <c r="F15" s="63">
        <f t="shared" si="1"/>
        <v>0</v>
      </c>
      <c r="G15" s="63" t="str">
        <f t="shared" si="2"/>
        <v/>
      </c>
      <c r="H15" s="61"/>
      <c r="I15" s="63">
        <f t="shared" si="3"/>
        <v>0</v>
      </c>
      <c r="J15" s="63" t="str">
        <f t="shared" si="4"/>
        <v/>
      </c>
      <c r="K15" s="61"/>
      <c r="L15" s="63">
        <f t="shared" si="5"/>
        <v>0</v>
      </c>
      <c r="M15" s="61">
        <v>0</v>
      </c>
      <c r="N15" s="63">
        <f t="shared" si="6"/>
        <v>0</v>
      </c>
      <c r="O15" s="63" t="str">
        <f t="shared" si="7"/>
        <v/>
      </c>
      <c r="P15" s="61"/>
      <c r="Q15" s="63">
        <f t="shared" si="8"/>
        <v>0</v>
      </c>
      <c r="R15" s="30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61">
        <v>0</v>
      </c>
      <c r="D16" s="63">
        <f t="shared" si="0"/>
        <v>0</v>
      </c>
      <c r="E16" s="61"/>
      <c r="F16" s="63">
        <f t="shared" si="1"/>
        <v>0</v>
      </c>
      <c r="G16" s="63" t="str">
        <f t="shared" si="2"/>
        <v/>
      </c>
      <c r="H16" s="61"/>
      <c r="I16" s="63">
        <f t="shared" si="3"/>
        <v>0</v>
      </c>
      <c r="J16" s="63" t="str">
        <f t="shared" si="4"/>
        <v/>
      </c>
      <c r="K16" s="61"/>
      <c r="L16" s="63">
        <f t="shared" si="5"/>
        <v>0</v>
      </c>
      <c r="M16" s="61">
        <v>0</v>
      </c>
      <c r="N16" s="63">
        <f t="shared" si="6"/>
        <v>0</v>
      </c>
      <c r="O16" s="63" t="str">
        <f t="shared" si="7"/>
        <v/>
      </c>
      <c r="P16" s="61"/>
      <c r="Q16" s="63">
        <f t="shared" si="8"/>
        <v>0</v>
      </c>
      <c r="R16" s="30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61">
        <v>0</v>
      </c>
      <c r="D17" s="63">
        <f t="shared" si="0"/>
        <v>0</v>
      </c>
      <c r="E17" s="61"/>
      <c r="F17" s="63">
        <f t="shared" si="1"/>
        <v>0</v>
      </c>
      <c r="G17" s="63" t="str">
        <f t="shared" si="2"/>
        <v/>
      </c>
      <c r="H17" s="61">
        <v>0</v>
      </c>
      <c r="I17" s="63"/>
      <c r="J17" s="63" t="str">
        <f t="shared" si="4"/>
        <v/>
      </c>
      <c r="K17" s="61"/>
      <c r="L17" s="63">
        <f t="shared" si="5"/>
        <v>0</v>
      </c>
      <c r="M17" s="61">
        <v>0</v>
      </c>
      <c r="N17" s="63">
        <f t="shared" si="6"/>
        <v>0</v>
      </c>
      <c r="O17" s="63" t="str">
        <f t="shared" si="7"/>
        <v/>
      </c>
      <c r="P17" s="61"/>
      <c r="Q17" s="63">
        <f t="shared" si="8"/>
        <v>0</v>
      </c>
      <c r="R17" s="30" t="str">
        <f t="shared" si="9"/>
        <v/>
      </c>
    </row>
    <row r="18" spans="2:21" x14ac:dyDescent="0.2">
      <c r="B18" s="3" t="str">
        <f>+'COLOMB$ '!B18</f>
        <v>Olfa Experience</v>
      </c>
      <c r="C18" s="61">
        <v>0</v>
      </c>
      <c r="D18" s="63">
        <f t="shared" si="0"/>
        <v>0</v>
      </c>
      <c r="E18" s="61"/>
      <c r="F18" s="63">
        <f t="shared" si="1"/>
        <v>0</v>
      </c>
      <c r="G18" s="63"/>
      <c r="H18" s="61"/>
      <c r="I18" s="63"/>
      <c r="J18" s="63" t="str">
        <f t="shared" si="4"/>
        <v/>
      </c>
      <c r="K18" s="61">
        <v>0</v>
      </c>
      <c r="L18" s="63">
        <f t="shared" si="5"/>
        <v>0</v>
      </c>
      <c r="M18" s="61">
        <v>284.11799999999999</v>
      </c>
      <c r="N18" s="63">
        <f t="shared" si="6"/>
        <v>0.43909201338983522</v>
      </c>
      <c r="O18" s="63"/>
      <c r="P18" s="61"/>
      <c r="Q18" s="63"/>
      <c r="R18" s="30" t="str">
        <f t="shared" si="9"/>
        <v/>
      </c>
    </row>
    <row r="19" spans="2:21" x14ac:dyDescent="0.2">
      <c r="B19" s="3" t="str">
        <f>+'COLOMB$ '!B19</f>
        <v>Locutor virtual</v>
      </c>
      <c r="C19" s="61"/>
      <c r="D19" s="63"/>
      <c r="E19" s="61"/>
      <c r="F19" s="63">
        <f t="shared" si="1"/>
        <v>0</v>
      </c>
      <c r="G19" s="63"/>
      <c r="H19" s="61"/>
      <c r="I19" s="63"/>
      <c r="J19" s="63" t="str">
        <f t="shared" si="4"/>
        <v/>
      </c>
      <c r="K19" s="61"/>
      <c r="L19" s="63">
        <f t="shared" si="5"/>
        <v>0</v>
      </c>
      <c r="M19" s="61"/>
      <c r="N19" s="63">
        <f t="shared" si="6"/>
        <v>0</v>
      </c>
      <c r="O19" s="63"/>
      <c r="P19" s="61"/>
      <c r="Q19" s="63"/>
      <c r="R19" s="30" t="str">
        <f t="shared" si="9"/>
        <v/>
      </c>
    </row>
    <row r="20" spans="2:21" x14ac:dyDescent="0.2">
      <c r="B20" s="19" t="s">
        <v>38</v>
      </c>
      <c r="C20" s="65">
        <f>SUM(C10:C19)</f>
        <v>1637</v>
      </c>
      <c r="D20" s="68">
        <f>+C20/$C$20</f>
        <v>1</v>
      </c>
      <c r="E20" s="65">
        <f>SUM(E10:E17)</f>
        <v>0</v>
      </c>
      <c r="F20" s="68">
        <f t="shared" si="1"/>
        <v>0</v>
      </c>
      <c r="G20" s="68">
        <f>IF(C20=0,"",(E20-C20)/ABS(C20)+1)</f>
        <v>0</v>
      </c>
      <c r="H20" s="65">
        <f>SUM(H10:H19)</f>
        <v>712.92100000000005</v>
      </c>
      <c r="I20" s="68">
        <f>+H22/$H$22</f>
        <v>1</v>
      </c>
      <c r="J20" s="63">
        <f t="shared" si="4"/>
        <v>-1</v>
      </c>
      <c r="K20" s="65">
        <f>SUM(K10:K19)</f>
        <v>16738</v>
      </c>
      <c r="L20" s="68">
        <f t="shared" si="5"/>
        <v>1</v>
      </c>
      <c r="M20" s="65">
        <f>SUM(M10:M17)</f>
        <v>647.05799999999999</v>
      </c>
      <c r="N20" s="63">
        <f t="shared" si="6"/>
        <v>1</v>
      </c>
      <c r="O20" s="68">
        <f>IF(K20=0,"",(M20-K20)/ABS(K20)+1)</f>
        <v>3.8658023658740603E-2</v>
      </c>
      <c r="P20" s="65">
        <f>SUM(P10:P17)</f>
        <v>15733.361999999999</v>
      </c>
      <c r="Q20" s="68">
        <f>+P20/$P$20</f>
        <v>1</v>
      </c>
      <c r="R20" s="30">
        <f t="shared" si="9"/>
        <v>-0.95887350713725406</v>
      </c>
    </row>
    <row r="21" spans="2:21" x14ac:dyDescent="0.2">
      <c r="J21" s="63" t="str">
        <f t="shared" si="4"/>
        <v/>
      </c>
      <c r="R21" s="30" t="str">
        <f t="shared" si="9"/>
        <v/>
      </c>
      <c r="S21" s="74"/>
      <c r="T21" s="76"/>
      <c r="U21" s="76"/>
    </row>
    <row r="22" spans="2:21" x14ac:dyDescent="0.2">
      <c r="B22" s="3" t="s">
        <v>40</v>
      </c>
      <c r="C22" s="61">
        <v>2594</v>
      </c>
      <c r="D22" s="63">
        <f>+C22/$C$20</f>
        <v>1.584605986560782</v>
      </c>
      <c r="E22" s="61">
        <v>0</v>
      </c>
      <c r="F22" s="63">
        <f>IF($E$20=0,0,E22/$E$20)</f>
        <v>0</v>
      </c>
      <c r="G22" s="63">
        <f>IF(C22=0,"",(E22-C22)/ABS(C22)+1)</f>
        <v>0</v>
      </c>
      <c r="H22" s="61">
        <v>5716.5619999999999</v>
      </c>
      <c r="I22" s="63">
        <f>+H22/$H$20</f>
        <v>8.0185069593966229</v>
      </c>
      <c r="J22" s="63">
        <f t="shared" si="4"/>
        <v>-1</v>
      </c>
      <c r="K22" s="61">
        <v>26516</v>
      </c>
      <c r="L22" s="63">
        <f>+K22/$K$20</f>
        <v>1.584179710837615</v>
      </c>
      <c r="M22" s="61">
        <v>479.89778999999999</v>
      </c>
      <c r="N22" s="63">
        <f>IF($M$20=0,0,M22/$M$20)</f>
        <v>0.74166116484148248</v>
      </c>
      <c r="O22" s="63">
        <f>IF(K22=0,"",(M22-K22)/ABS(K22)+1)</f>
        <v>1.8098423216171389E-2</v>
      </c>
      <c r="P22" s="57">
        <v>22875.508000000002</v>
      </c>
      <c r="Q22" s="63"/>
      <c r="R22" s="30">
        <f t="shared" si="9"/>
        <v>-0.97902132752636584</v>
      </c>
    </row>
    <row r="23" spans="2:21" x14ac:dyDescent="0.2">
      <c r="J23" s="63" t="str">
        <f t="shared" si="4"/>
        <v/>
      </c>
      <c r="R23" s="30" t="str">
        <f t="shared" si="9"/>
        <v/>
      </c>
      <c r="T23" s="47"/>
      <c r="U23" s="47"/>
    </row>
    <row r="24" spans="2:21" x14ac:dyDescent="0.2">
      <c r="B24" s="3" t="s">
        <v>42</v>
      </c>
      <c r="C24" s="61">
        <f>+C20-C22</f>
        <v>-957</v>
      </c>
      <c r="D24" s="63">
        <f>+C24/$C$20</f>
        <v>-0.58460598656078189</v>
      </c>
      <c r="E24" s="61">
        <f>+E20-E22</f>
        <v>0</v>
      </c>
      <c r="F24" s="63">
        <f>IF($E$20=0,0,E24/$E$20)</f>
        <v>0</v>
      </c>
      <c r="G24" s="63">
        <f>IF(C24=0,"",(E24-C24)/ABS(C24)+1)</f>
        <v>2</v>
      </c>
      <c r="H24" s="61">
        <f>+H20-H22</f>
        <v>-5003.6409999999996</v>
      </c>
      <c r="I24" s="63">
        <f>+H24/$H$20</f>
        <v>-7.0185069593966221</v>
      </c>
      <c r="J24" s="63" t="str">
        <f t="shared" si="4"/>
        <v/>
      </c>
      <c r="K24" s="61">
        <f>+K20-K22</f>
        <v>-9778</v>
      </c>
      <c r="L24" s="63">
        <f>+K24/$K$20</f>
        <v>-0.584179710837615</v>
      </c>
      <c r="M24" s="61">
        <f>+M20-M22</f>
        <v>167.16021000000001</v>
      </c>
      <c r="N24" s="63">
        <f>IF($M$20=0,0,M24/$M$20)</f>
        <v>0.25833883515851747</v>
      </c>
      <c r="O24" s="63">
        <f>IF(K24=0,"",(M24-K24)/ABS(K24)+1)</f>
        <v>2.0170955420331356</v>
      </c>
      <c r="P24" s="61">
        <f>+P20-P22</f>
        <v>-7142.1460000000025</v>
      </c>
      <c r="Q24" s="63">
        <f>+P24/$P$20</f>
        <v>-0.45394913051641494</v>
      </c>
      <c r="R24" s="30" t="str">
        <f t="shared" si="9"/>
        <v/>
      </c>
    </row>
    <row r="25" spans="2:21" x14ac:dyDescent="0.2">
      <c r="J25" s="63" t="str">
        <f t="shared" si="4"/>
        <v/>
      </c>
      <c r="R25" s="30" t="str">
        <f t="shared" si="9"/>
        <v/>
      </c>
      <c r="T25" s="47"/>
      <c r="U25" s="47"/>
    </row>
    <row r="26" spans="2:21" x14ac:dyDescent="0.2">
      <c r="B26" s="3" t="s">
        <v>44</v>
      </c>
      <c r="C26" s="61">
        <v>8</v>
      </c>
      <c r="D26" s="63">
        <f>+C26/$C$20</f>
        <v>4.8869883934025658E-3</v>
      </c>
      <c r="E26" s="61">
        <v>322.99979999999999</v>
      </c>
      <c r="F26" s="63">
        <f>IF($E$20=0,0,E26/$E$20)</f>
        <v>0</v>
      </c>
      <c r="G26" s="63">
        <f>IF(C26=0,"",(E26-C26)/ABS(C26)+1)</f>
        <v>40.374974999999999</v>
      </c>
      <c r="H26" s="61">
        <v>12834.162769999999</v>
      </c>
      <c r="I26" s="63">
        <f>+H26/$H$20</f>
        <v>18.002222925120734</v>
      </c>
      <c r="J26" s="63">
        <f t="shared" si="4"/>
        <v>-0.97483281100696217</v>
      </c>
      <c r="K26" s="61">
        <v>77</v>
      </c>
      <c r="L26" s="63">
        <f>+K26/$K$20</f>
        <v>4.6003106703309832E-3</v>
      </c>
      <c r="M26" s="61">
        <v>21291.812489999997</v>
      </c>
      <c r="N26" s="63">
        <f>IF($M$20=0,0,M26/$M$20)</f>
        <v>32.905570273453073</v>
      </c>
      <c r="O26" s="63">
        <f>IF(K26=0,"",(M26-K26)/ABS(K26)+1)</f>
        <v>276.51704532467528</v>
      </c>
      <c r="P26" s="61">
        <v>47234.052380000001</v>
      </c>
      <c r="Q26" s="63">
        <f>+P26/$P$20</f>
        <v>3.0021588761512006</v>
      </c>
      <c r="R26" s="30">
        <f t="shared" si="9"/>
        <v>-0.54922748701071755</v>
      </c>
    </row>
    <row r="27" spans="2:21" x14ac:dyDescent="0.2">
      <c r="B27" s="3" t="s">
        <v>45</v>
      </c>
      <c r="C27" s="61">
        <v>0</v>
      </c>
      <c r="D27" s="63">
        <f>+C27/$C$20</f>
        <v>0</v>
      </c>
      <c r="E27" s="61">
        <v>20</v>
      </c>
      <c r="F27" s="63">
        <f>IF($E$20=0,0,E27/$E$20)</f>
        <v>0</v>
      </c>
      <c r="G27" s="63" t="str">
        <f>IF(C27=0,"",(E27-C27)/ABS(C27)+1)</f>
        <v/>
      </c>
      <c r="H27" s="61">
        <v>1672</v>
      </c>
      <c r="I27" s="63">
        <f>+H27/$H$20</f>
        <v>2.3452808936754561</v>
      </c>
      <c r="J27" s="63">
        <f t="shared" si="4"/>
        <v>-0.98803827751196172</v>
      </c>
      <c r="K27" s="61">
        <v>0</v>
      </c>
      <c r="L27" s="63">
        <f>+K27/$K$20</f>
        <v>0</v>
      </c>
      <c r="M27" s="61">
        <v>1447.9319699999999</v>
      </c>
      <c r="N27" s="63">
        <f>IF($M$20=0,0,M27/$M$20)</f>
        <v>2.2377158925474996</v>
      </c>
      <c r="O27" s="63" t="str">
        <f>IF(K27=0,"",(M27-K27)/ABS(K27)+1)</f>
        <v/>
      </c>
      <c r="P27" s="61">
        <v>4203.9880000000003</v>
      </c>
      <c r="Q27" s="63">
        <f>+P27/$P$20</f>
        <v>0.26720214026728684</v>
      </c>
      <c r="R27" s="30">
        <f t="shared" si="9"/>
        <v>-0.65558132658799229</v>
      </c>
      <c r="S27" s="47"/>
      <c r="T27" s="47"/>
      <c r="U27" s="47"/>
    </row>
    <row r="28" spans="2:21" x14ac:dyDescent="0.2">
      <c r="B28" s="3" t="s">
        <v>47</v>
      </c>
      <c r="C28" s="61">
        <f>SUM(C26:C27)</f>
        <v>8</v>
      </c>
      <c r="D28" s="63">
        <f>+C28/$C$20</f>
        <v>4.8869883934025658E-3</v>
      </c>
      <c r="E28" s="61">
        <f>SUM(E26:E27)</f>
        <v>342.99979999999999</v>
      </c>
      <c r="F28" s="63">
        <f>IF($E$20=0,0,E28/$E$20)</f>
        <v>0</v>
      </c>
      <c r="G28" s="63">
        <f>IF(C28=0,"",(E28-C28)/ABS(C28)+1)</f>
        <v>42.874974999999999</v>
      </c>
      <c r="H28" s="61">
        <f>SUM(H26:H27)</f>
        <v>14506.162769999999</v>
      </c>
      <c r="I28" s="63">
        <f>+H28/$H$20</f>
        <v>20.347503818796188</v>
      </c>
      <c r="J28" s="63">
        <f t="shared" si="4"/>
        <v>-0.97635489099092743</v>
      </c>
      <c r="K28" s="61">
        <f>SUM(K26:K27)</f>
        <v>77</v>
      </c>
      <c r="L28" s="63">
        <f>+K28/$K$20</f>
        <v>4.6003106703309832E-3</v>
      </c>
      <c r="M28" s="61">
        <f>SUM(M26:M27)</f>
        <v>22739.744459999998</v>
      </c>
      <c r="N28" s="63">
        <f>IF($M$20=0,0,M28/$M$20)</f>
        <v>35.143286166000571</v>
      </c>
      <c r="O28" s="63">
        <f>IF(K28=0,"",(M28-K28)/ABS(K28)+1)</f>
        <v>295.32135662337657</v>
      </c>
      <c r="P28" s="61">
        <f>SUM(P26:P27)</f>
        <v>51438.040379999999</v>
      </c>
      <c r="Q28" s="63">
        <f>+P28/$P$20</f>
        <v>3.269361016418487</v>
      </c>
      <c r="R28" s="30">
        <f t="shared" si="9"/>
        <v>-0.55791969732887403</v>
      </c>
      <c r="S28" s="47"/>
      <c r="T28" s="47"/>
      <c r="U28" s="47"/>
    </row>
    <row r="29" spans="2:21" x14ac:dyDescent="0.2">
      <c r="J29" s="63" t="str">
        <f t="shared" si="4"/>
        <v/>
      </c>
      <c r="R29" s="30" t="str">
        <f t="shared" si="9"/>
        <v/>
      </c>
      <c r="S29" s="47"/>
      <c r="T29" s="47"/>
      <c r="U29" s="47"/>
    </row>
    <row r="30" spans="2:21" x14ac:dyDescent="0.2">
      <c r="B30" s="3" t="s">
        <v>49</v>
      </c>
      <c r="C30" s="61">
        <v>0</v>
      </c>
      <c r="D30" s="63">
        <f>+C30/$C$20</f>
        <v>0</v>
      </c>
      <c r="E30" s="61">
        <v>586.92600000000004</v>
      </c>
      <c r="F30" s="63">
        <f>IF($E$20=0,0,E30/$E$20)</f>
        <v>0</v>
      </c>
      <c r="G30" s="63" t="str">
        <f>IF(C30=0,"",(E30-C30)/ABS(C30)+1)</f>
        <v/>
      </c>
      <c r="H30" s="61">
        <v>1115.0654199999999</v>
      </c>
      <c r="I30" s="63"/>
      <c r="J30" s="63">
        <f t="shared" si="4"/>
        <v>-0.47363985155238686</v>
      </c>
      <c r="K30" s="61">
        <v>0</v>
      </c>
      <c r="L30" s="63">
        <f>+K30/$K$20</f>
        <v>0</v>
      </c>
      <c r="M30" s="61">
        <v>7816.3907099999997</v>
      </c>
      <c r="N30" s="63">
        <f>IF($M$20=0,0,M30/$M$20)</f>
        <v>12.079891926226088</v>
      </c>
      <c r="O30" s="63" t="str">
        <f>IF(K30=0,"",(M30-K30)/ABS(K30)+1)</f>
        <v/>
      </c>
      <c r="P30" s="61">
        <v>12265.719949999999</v>
      </c>
      <c r="Q30" s="63">
        <f>+P30/$P$20</f>
        <v>0.77959942382308367</v>
      </c>
      <c r="R30" s="30">
        <f t="shared" si="9"/>
        <v>-0.36274505354249503</v>
      </c>
    </row>
    <row r="31" spans="2:21" x14ac:dyDescent="0.2">
      <c r="B31" s="3" t="s">
        <v>51</v>
      </c>
      <c r="C31" s="61"/>
      <c r="D31" s="63"/>
      <c r="E31" s="61">
        <v>0</v>
      </c>
      <c r="F31" s="63">
        <f>IF($E$20=0,0,E31/$E$20)</f>
        <v>0</v>
      </c>
      <c r="G31" s="63" t="str">
        <f>IF(C31=0,"",(E31-C31)/ABS(C31)+1)</f>
        <v/>
      </c>
      <c r="H31" s="61">
        <v>304.02499999999998</v>
      </c>
      <c r="I31" s="63"/>
      <c r="J31" s="63">
        <f>IF(H31&lt;=0,"",(E31-H31)/ABS(H31))</f>
        <v>-1</v>
      </c>
      <c r="K31" s="61">
        <v>0</v>
      </c>
      <c r="L31" s="63">
        <f>+K31/$K$20</f>
        <v>0</v>
      </c>
      <c r="M31" s="61">
        <v>2069.0650000000001</v>
      </c>
      <c r="N31" s="63">
        <f>IF($M$20=0,0,M31/$M$20)</f>
        <v>3.1976499788272461</v>
      </c>
      <c r="O31" s="63" t="str">
        <f>IF(K31=0,"",(M31-K31)/ABS(K31)+1)</f>
        <v/>
      </c>
      <c r="P31" s="61">
        <v>2908.1020199999998</v>
      </c>
      <c r="Q31" s="63">
        <f>+P39/$P$20</f>
        <v>-4.3855852296540309E-5</v>
      </c>
      <c r="R31" s="30">
        <f>IF(P31&lt;=0,"",(M31-P31)/ABS(P31))</f>
        <v>-0.28851705140660772</v>
      </c>
      <c r="S31" s="47"/>
      <c r="T31" s="47"/>
      <c r="U31" s="47"/>
    </row>
    <row r="32" spans="2:21" x14ac:dyDescent="0.2">
      <c r="B32" s="3" t="s">
        <v>52</v>
      </c>
      <c r="C32" s="61">
        <f>SUM(C30:C31)</f>
        <v>0</v>
      </c>
      <c r="D32" s="63">
        <f>+C32/$C$20</f>
        <v>0</v>
      </c>
      <c r="E32" s="61">
        <f>SUM(E30:E31)</f>
        <v>586.92600000000004</v>
      </c>
      <c r="F32" s="63">
        <f>IF($E$20=0,0,E32/$E$20)</f>
        <v>0</v>
      </c>
      <c r="G32" s="63" t="str">
        <f>IF(C32=0,"",(E32-C32)/ABS(C32)+1)</f>
        <v/>
      </c>
      <c r="H32" s="61">
        <f>SUM(H30:H31)</f>
        <v>1419.09042</v>
      </c>
      <c r="I32" s="63">
        <f>+H32/$H$20</f>
        <v>1.9905296940334201</v>
      </c>
      <c r="J32" s="63">
        <f>IF(H32&lt;=0,"",(E32-H32)/ABS(H32))</f>
        <v>-0.58640690421967612</v>
      </c>
      <c r="K32" s="61">
        <f>SUM(K30:K31)</f>
        <v>0</v>
      </c>
      <c r="L32" s="63">
        <f>+K32/$K$20</f>
        <v>0</v>
      </c>
      <c r="M32" s="61">
        <f>SUM(M30:M31)</f>
        <v>9885.4557100000002</v>
      </c>
      <c r="N32" s="63">
        <f>IF($M$20=0,0,M32/$M$20)</f>
        <v>15.277541905053335</v>
      </c>
      <c r="O32" s="63" t="str">
        <f>IF(K32=0,"",(M32-K32)/ABS(K32)+1)</f>
        <v/>
      </c>
      <c r="P32" s="61">
        <f>+P30+P31</f>
        <v>15173.821969999999</v>
      </c>
      <c r="Q32" s="63">
        <f>+P32/$P$20</f>
        <v>0.96443607984104096</v>
      </c>
      <c r="R32" s="30">
        <f>IF(P32&lt;=0,"",(M32-P32)/ABS(P32))</f>
        <v>-0.34851906595817267</v>
      </c>
    </row>
    <row r="33" spans="1:21" x14ac:dyDescent="0.2">
      <c r="S33" s="47"/>
      <c r="T33" s="47"/>
      <c r="U33" s="47"/>
    </row>
    <row r="34" spans="1:21" x14ac:dyDescent="0.2">
      <c r="B34" s="3" t="s">
        <v>53</v>
      </c>
      <c r="C34" s="61">
        <f>C28+C32</f>
        <v>8</v>
      </c>
      <c r="D34" s="63">
        <f>+C34/$C$20</f>
        <v>4.8869883934025658E-3</v>
      </c>
      <c r="E34" s="61">
        <f>E28+E32</f>
        <v>929.92579999999998</v>
      </c>
      <c r="F34" s="63">
        <f>IF($E$20=0,0,E34/$E$20)</f>
        <v>0</v>
      </c>
      <c r="G34" s="63">
        <f>IF(C34=0,"",(E34-C34)/ABS(C34)+1)</f>
        <v>116.240725</v>
      </c>
      <c r="H34" s="61">
        <f>+H32+H28</f>
        <v>15925.253189999999</v>
      </c>
      <c r="I34" s="63">
        <f>+H34/$H$20</f>
        <v>22.338033512829611</v>
      </c>
      <c r="J34" s="63">
        <f>IF(H34&lt;=0,"",(E34-H34)/ABS(H34))</f>
        <v>-0.94160684361464764</v>
      </c>
      <c r="K34" s="61">
        <f>K28+K32</f>
        <v>77</v>
      </c>
      <c r="L34" s="63">
        <f>+K34/$K$20</f>
        <v>4.6003106703309832E-3</v>
      </c>
      <c r="M34" s="61">
        <f>M28+M32</f>
        <v>32625.200169999996</v>
      </c>
      <c r="N34" s="63">
        <f>IF($M$20=0,0,M34/$M$20)</f>
        <v>50.420828071053904</v>
      </c>
      <c r="O34" s="63">
        <f>IF(K34=0,"",(M34-K34)/ABS(K34)+1)</f>
        <v>423.70389831168825</v>
      </c>
      <c r="P34" s="61">
        <f>P28+P32</f>
        <v>66611.862349999996</v>
      </c>
      <c r="Q34" s="63">
        <f>+P34/$P$20</f>
        <v>4.2337970962595284</v>
      </c>
      <c r="R34" s="30">
        <f>IF(P34&lt;=0,"",(M34-P34)/ABS(P34))</f>
        <v>-0.5102193660556017</v>
      </c>
      <c r="S34" s="47"/>
      <c r="T34" s="47"/>
      <c r="U34" s="47"/>
    </row>
    <row r="35" spans="1:21" x14ac:dyDescent="0.2">
      <c r="J35" s="63" t="str">
        <f t="shared" si="4"/>
        <v/>
      </c>
      <c r="R35" s="30" t="str">
        <f t="shared" si="9"/>
        <v/>
      </c>
      <c r="S35" s="47"/>
      <c r="T35" s="47"/>
      <c r="U35" s="47"/>
    </row>
    <row r="36" spans="1:21" x14ac:dyDescent="0.2">
      <c r="B36" s="19" t="s">
        <v>54</v>
      </c>
      <c r="C36" s="65">
        <f>C24-C34</f>
        <v>-965</v>
      </c>
      <c r="D36" s="68">
        <f>+C36/$C$20</f>
        <v>-0.58949297495418451</v>
      </c>
      <c r="E36" s="65">
        <f>E24-E34</f>
        <v>-929.92579999999998</v>
      </c>
      <c r="F36" s="68">
        <f>IF($E$20=0,0,E36/$E$20)</f>
        <v>0</v>
      </c>
      <c r="G36" s="68">
        <f>IF(C36=0,"",(E36-C36)/ABS(C36)+1)</f>
        <v>1.0363463212435233</v>
      </c>
      <c r="H36" s="65">
        <f>+H24-H34</f>
        <v>-20928.894189999999</v>
      </c>
      <c r="I36" s="68">
        <f>+H36/$H$20</f>
        <v>-29.356540472226232</v>
      </c>
      <c r="J36" s="68" t="str">
        <f t="shared" si="4"/>
        <v/>
      </c>
      <c r="K36" s="65">
        <f>K24-K34</f>
        <v>-9855</v>
      </c>
      <c r="L36" s="68">
        <f>+K36/$K$20</f>
        <v>-0.58878002150794595</v>
      </c>
      <c r="M36" s="65">
        <f>M24-M34</f>
        <v>-32458.039959999995</v>
      </c>
      <c r="N36" s="68">
        <f>IF($M$20=0,0,M36/$M$20)</f>
        <v>-50.162489235895386</v>
      </c>
      <c r="O36" s="68">
        <f>IF(K36=0,"",(M36-K36)/ABS(K36)+1)</f>
        <v>-1.2935606250634191</v>
      </c>
      <c r="P36" s="65">
        <f>P24-P34</f>
        <v>-73754.008350000004</v>
      </c>
      <c r="Q36" s="68">
        <f>+P36/$P$20</f>
        <v>-4.6877462267759435</v>
      </c>
      <c r="R36" s="38" t="str">
        <f t="shared" si="9"/>
        <v/>
      </c>
    </row>
    <row r="37" spans="1:21" x14ac:dyDescent="0.2">
      <c r="A37" s="75"/>
      <c r="J37" s="63" t="str">
        <f t="shared" si="4"/>
        <v/>
      </c>
      <c r="R37" s="30" t="str">
        <f t="shared" si="9"/>
        <v/>
      </c>
      <c r="S37" s="47"/>
      <c r="T37" s="47"/>
      <c r="U37" s="47"/>
    </row>
    <row r="38" spans="1:21" x14ac:dyDescent="0.2">
      <c r="B38" s="3" t="s">
        <v>55</v>
      </c>
      <c r="C38" s="61"/>
      <c r="D38" s="63">
        <f>+C38/$C$20</f>
        <v>0</v>
      </c>
      <c r="E38" s="61">
        <v>0</v>
      </c>
      <c r="F38" s="63">
        <f>IF($E$20=0,0,E38/$E$20)</f>
        <v>0</v>
      </c>
      <c r="G38" s="63" t="str">
        <f>IF(C38=0,"",(E38-C38)/ABS(C38)+1)</f>
        <v/>
      </c>
      <c r="H38" s="61">
        <v>0</v>
      </c>
      <c r="I38" s="63">
        <f>+H38/$H$20</f>
        <v>0</v>
      </c>
      <c r="J38" s="63" t="str">
        <f t="shared" si="4"/>
        <v/>
      </c>
      <c r="K38" s="61"/>
      <c r="L38" s="63">
        <f>+K38/$K$20</f>
        <v>0</v>
      </c>
      <c r="M38" s="61">
        <v>285.55900000000003</v>
      </c>
      <c r="N38" s="63">
        <f>IF($M$20=0,0,M38/$M$20)</f>
        <v>0.4413190162242025</v>
      </c>
      <c r="O38" s="63" t="str">
        <f>IF(K38=0,"",(M38-K38)/ABS(K38)+1)</f>
        <v/>
      </c>
      <c r="P38" s="61">
        <v>0</v>
      </c>
      <c r="Q38" s="63">
        <f>+P38/$P$20</f>
        <v>0</v>
      </c>
      <c r="R38" s="30" t="str">
        <f t="shared" si="9"/>
        <v/>
      </c>
    </row>
    <row r="39" spans="1:21" x14ac:dyDescent="0.2">
      <c r="B39" s="3" t="s">
        <v>56</v>
      </c>
      <c r="C39" s="61"/>
      <c r="D39" s="63"/>
      <c r="E39" s="61">
        <v>2679.6329999999998</v>
      </c>
      <c r="F39" s="63">
        <f>IF($E$20=0,0,E39/$E$20)</f>
        <v>0</v>
      </c>
      <c r="G39" s="63" t="str">
        <f>IF(C39=0,"",(E39-C39)/ABS(C39)+1)</f>
        <v/>
      </c>
      <c r="H39" s="61">
        <v>0</v>
      </c>
      <c r="I39" s="63"/>
      <c r="J39" s="63" t="str">
        <f t="shared" si="4"/>
        <v/>
      </c>
      <c r="K39" s="61">
        <v>0</v>
      </c>
      <c r="L39" s="63">
        <f>+K39/$K$20</f>
        <v>0</v>
      </c>
      <c r="M39" s="61">
        <v>20619.391</v>
      </c>
      <c r="N39" s="63">
        <f>IF($M$20=0,0,M39/$M$20)</f>
        <v>31.866372102655404</v>
      </c>
      <c r="O39" s="63" t="str">
        <f>IF(K39=0,"",(M39-K39)/ABS(K39)+1)</f>
        <v/>
      </c>
      <c r="P39" s="61">
        <v>-0.69</v>
      </c>
      <c r="Q39" s="63">
        <f>+P39/$P$20</f>
        <v>-4.3855852296540309E-5</v>
      </c>
      <c r="R39" s="30" t="str">
        <f t="shared" si="9"/>
        <v/>
      </c>
      <c r="S39" s="47"/>
      <c r="T39" s="47"/>
      <c r="U39" s="47"/>
    </row>
    <row r="40" spans="1:21" x14ac:dyDescent="0.2">
      <c r="J40" s="63" t="str">
        <f t="shared" si="4"/>
        <v/>
      </c>
      <c r="R40" s="30" t="str">
        <f t="shared" si="9"/>
        <v/>
      </c>
      <c r="S40" s="47"/>
      <c r="T40" s="47"/>
      <c r="U40" s="47"/>
    </row>
    <row r="41" spans="1:21" x14ac:dyDescent="0.2">
      <c r="B41" s="3" t="s">
        <v>57</v>
      </c>
      <c r="C41" s="61">
        <f>+C36-C39</f>
        <v>-965</v>
      </c>
      <c r="D41" s="63">
        <f>+C41/$C$20</f>
        <v>-0.58949297495418451</v>
      </c>
      <c r="E41" s="61">
        <f>+E36-E39</f>
        <v>-3609.5587999999998</v>
      </c>
      <c r="F41" s="63">
        <f>IF($E$20=0,0,E41/$E$20)</f>
        <v>0</v>
      </c>
      <c r="G41" s="63">
        <f>IF(C41=0,"",(E41-C41)/ABS(C41)+1)</f>
        <v>-1.7404754404145075</v>
      </c>
      <c r="H41" s="61">
        <f>+H36+H38-H39</f>
        <v>-20928.894189999999</v>
      </c>
      <c r="I41" s="63">
        <f>+H41/$H$20</f>
        <v>-29.356540472226232</v>
      </c>
      <c r="J41" s="63" t="str">
        <f t="shared" si="4"/>
        <v/>
      </c>
      <c r="K41" s="61">
        <f>K36+K38-K39</f>
        <v>-9855</v>
      </c>
      <c r="L41" s="63">
        <f>+K41/$K$20</f>
        <v>-0.58878002150794595</v>
      </c>
      <c r="M41" s="61">
        <f>M36+M38-M39</f>
        <v>-52791.871959999989</v>
      </c>
      <c r="N41" s="63">
        <f>IF($M$20=0,0,M41/$M$20)</f>
        <v>-81.58754232232657</v>
      </c>
      <c r="O41" s="63">
        <f>IF(K41=0,"",(M41-K41)/ABS(K41)+1)</f>
        <v>-3.3568616905124289</v>
      </c>
      <c r="P41" s="61">
        <f>+P36-P39</f>
        <v>-73753.318350000001</v>
      </c>
      <c r="Q41" s="63">
        <f>+P41/$P$20</f>
        <v>-4.6877023709236463</v>
      </c>
      <c r="R41" s="30" t="str">
        <f t="shared" si="9"/>
        <v/>
      </c>
    </row>
    <row r="42" spans="1:21" x14ac:dyDescent="0.2">
      <c r="B42" s="3" t="s">
        <v>43</v>
      </c>
      <c r="C42" s="61">
        <v>-349</v>
      </c>
      <c r="D42" s="63">
        <f>+C42/$C$20</f>
        <v>-0.21319486866218693</v>
      </c>
      <c r="E42" s="61"/>
      <c r="F42" s="63">
        <f>IF($E$20=0,0,E42/$E$20)</f>
        <v>0</v>
      </c>
      <c r="G42" s="63">
        <f>IF(C42=0,"",(E42-C42)/ABS(C42)+1)</f>
        <v>2</v>
      </c>
      <c r="H42" s="61"/>
      <c r="I42" s="63">
        <f>+I41*33%</f>
        <v>-9.6876583558346567</v>
      </c>
      <c r="J42" s="63" t="str">
        <f t="shared" si="4"/>
        <v/>
      </c>
      <c r="K42" s="61">
        <v>-3571</v>
      </c>
      <c r="L42" s="63">
        <f>+K42/$K$20</f>
        <v>-0.21334687537340183</v>
      </c>
      <c r="M42" s="61">
        <f>+U43+E42</f>
        <v>0</v>
      </c>
      <c r="N42" s="63">
        <f>IF($M$20=0,0,M42/$M$20)</f>
        <v>0</v>
      </c>
      <c r="O42" s="63">
        <f>IF(K42=0,"",(M42-K42)/ABS(K42)+1)</f>
        <v>2</v>
      </c>
      <c r="P42" s="61">
        <v>0</v>
      </c>
      <c r="Q42" s="63">
        <f>+P42/$P$20</f>
        <v>0</v>
      </c>
      <c r="R42" s="30" t="str">
        <f t="shared" si="9"/>
        <v/>
      </c>
      <c r="S42" s="47"/>
      <c r="T42" s="47"/>
      <c r="U42" s="47"/>
    </row>
    <row r="43" spans="1:21" x14ac:dyDescent="0.2">
      <c r="B43" s="19" t="s">
        <v>58</v>
      </c>
      <c r="C43" s="65">
        <f>+C41</f>
        <v>-965</v>
      </c>
      <c r="D43" s="68">
        <f>+C43/$C$20</f>
        <v>-0.58949297495418451</v>
      </c>
      <c r="E43" s="65">
        <f>E41-E42</f>
        <v>-3609.5587999999998</v>
      </c>
      <c r="F43" s="68">
        <f>IF($E$20=0,0,E43/$E$20)</f>
        <v>0</v>
      </c>
      <c r="G43" s="68">
        <f>IF(C43=0,"",(E43-C43)/ABS(C43)+1)</f>
        <v>-1.7404754404145075</v>
      </c>
      <c r="H43" s="65">
        <f>+H41-H42</f>
        <v>-20928.894189999999</v>
      </c>
      <c r="I43" s="68">
        <f>+H43/$H$20</f>
        <v>-29.356540472226232</v>
      </c>
      <c r="J43" s="63" t="str">
        <f t="shared" si="4"/>
        <v/>
      </c>
      <c r="K43" s="65">
        <f>K41-K42</f>
        <v>-6284</v>
      </c>
      <c r="L43" s="68">
        <f>+K43/$K$20</f>
        <v>-0.37543314613454415</v>
      </c>
      <c r="M43" s="65">
        <f>+M41-M42</f>
        <v>-52791.871959999989</v>
      </c>
      <c r="N43" s="68">
        <f>IF($M$20=0,0,M43/$M$20)</f>
        <v>-81.58754232232657</v>
      </c>
      <c r="O43" s="68">
        <f>IF(K43=0,"",(M43-K43)/ABS(K43)+1)</f>
        <v>-6.4009980840229135</v>
      </c>
      <c r="P43" s="65">
        <f>P41-P42</f>
        <v>-73753.318350000001</v>
      </c>
      <c r="Q43" s="68">
        <f>+P43/$P$20</f>
        <v>-4.6877023709236463</v>
      </c>
      <c r="R43" s="30" t="str">
        <f t="shared" si="9"/>
        <v/>
      </c>
      <c r="S43" s="47"/>
      <c r="T43" s="47"/>
      <c r="U43" s="47"/>
    </row>
    <row r="44" spans="1:21" x14ac:dyDescent="0.2">
      <c r="J44" s="63" t="str">
        <f t="shared" si="4"/>
        <v/>
      </c>
      <c r="R44" s="30" t="str">
        <f t="shared" si="9"/>
        <v/>
      </c>
      <c r="S44" s="47"/>
      <c r="T44" s="47"/>
      <c r="U44" s="47"/>
    </row>
    <row r="45" spans="1:21" x14ac:dyDescent="0.2">
      <c r="B45" s="3" t="s">
        <v>59</v>
      </c>
      <c r="C45" s="61">
        <v>-965</v>
      </c>
      <c r="D45" s="63">
        <f>+C45/$C$20</f>
        <v>-0.58949297495418451</v>
      </c>
      <c r="E45" s="61">
        <v>-19.999999999999886</v>
      </c>
      <c r="F45" s="63">
        <f>IF($E$20=0,0,E45/$E$20)</f>
        <v>0</v>
      </c>
      <c r="G45" s="63">
        <f>IF(C45=0,"",(E45-C45)/ABS(C45)+1)</f>
        <v>1.9792746113989639</v>
      </c>
      <c r="H45" s="61">
        <v>-17427.754569999997</v>
      </c>
      <c r="I45" s="63">
        <f>+H45/$H$20</f>
        <v>-24.445562088927097</v>
      </c>
      <c r="J45" s="63" t="str">
        <f t="shared" si="4"/>
        <v/>
      </c>
      <c r="K45" s="61">
        <v>-9855</v>
      </c>
      <c r="L45" s="63">
        <f>+K45/$K$20</f>
        <v>-0.58878002150794595</v>
      </c>
      <c r="M45" s="61">
        <v>-8707.0223599999917</v>
      </c>
      <c r="N45" s="63">
        <f>IF($M$20=0,0,M45/$M$20)</f>
        <v>-13.456324409867419</v>
      </c>
      <c r="O45" s="63">
        <f>IF(K45=0,"",(M45-K45)/ABS(K45)+1)</f>
        <v>1.1164868229325224</v>
      </c>
      <c r="P45" s="61">
        <v>-35387.246590000002</v>
      </c>
      <c r="Q45" s="63">
        <f>+P45/$P$20</f>
        <v>-2.249185303814913</v>
      </c>
      <c r="R45" s="30" t="str">
        <f t="shared" si="9"/>
        <v/>
      </c>
    </row>
    <row r="46" spans="1:21" x14ac:dyDescent="0.2">
      <c r="B46" s="3" t="s">
        <v>34</v>
      </c>
      <c r="C46" s="61">
        <v>0</v>
      </c>
      <c r="D46" s="63">
        <f>+C46/$C$20</f>
        <v>0</v>
      </c>
      <c r="E46" s="61">
        <v>0</v>
      </c>
      <c r="F46" s="63">
        <f>IF($E$20=0,0,E46/$E$20)</f>
        <v>0</v>
      </c>
      <c r="G46" s="63" t="str">
        <f>IF(C46=0,"",(E46-C46)/ABS(C46)+1)</f>
        <v/>
      </c>
      <c r="H46" s="61">
        <v>0</v>
      </c>
      <c r="I46" s="63">
        <f>+H46/$H$20</f>
        <v>0</v>
      </c>
      <c r="J46" s="63" t="str">
        <f t="shared" si="4"/>
        <v/>
      </c>
      <c r="K46" s="61">
        <v>0</v>
      </c>
      <c r="L46" s="63">
        <f>+K46/$K$20</f>
        <v>0</v>
      </c>
      <c r="M46" s="61">
        <v>0</v>
      </c>
      <c r="N46" s="63">
        <f>IF($M$20=0,0,M46/$M$20)</f>
        <v>0</v>
      </c>
      <c r="O46" s="63" t="str">
        <f>IF(K46=0,"",(M46-K46)/ABS(K46)+1)</f>
        <v/>
      </c>
      <c r="P46" s="61">
        <v>0</v>
      </c>
      <c r="Q46" s="61">
        <f>+P46/$P$20</f>
        <v>0</v>
      </c>
      <c r="R46" s="30" t="str">
        <f>IF(P46=0,"",(M46-P46)/ABS(P46))</f>
        <v/>
      </c>
      <c r="S46" s="47"/>
      <c r="T46" s="47"/>
      <c r="U46" s="47"/>
    </row>
    <row r="48" spans="1:21" x14ac:dyDescent="0.2">
      <c r="M48" s="49" t="s">
        <v>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30B3D-67C6-4693-BCBD-1F5E308EF0C9}">
  <sheetPr>
    <tabColor theme="2" tint="-9.9978637043366805E-2"/>
  </sheetPr>
  <dimension ref="A3:AJ48"/>
  <sheetViews>
    <sheetView showGridLines="0" zoomScale="91" zoomScaleNormal="91" workbookViewId="0">
      <selection activeCell="M4" sqref="M4"/>
    </sheetView>
  </sheetViews>
  <sheetFormatPr baseColWidth="10" defaultRowHeight="12.75" x14ac:dyDescent="0.2"/>
  <cols>
    <col min="1" max="1" width="4.5703125" style="12" customWidth="1"/>
    <col min="2" max="2" width="29.28515625" style="12" customWidth="1"/>
    <col min="3" max="3" width="14.42578125" style="12" customWidth="1"/>
    <col min="4" max="4" width="8" style="12" customWidth="1"/>
    <col min="5" max="5" width="10.28515625" style="12" bestFit="1" customWidth="1"/>
    <col min="6" max="6" width="6.28515625" style="12" bestFit="1" customWidth="1"/>
    <col min="7" max="7" width="6.5703125" style="12" bestFit="1" customWidth="1"/>
    <col min="8" max="8" width="11.28515625" style="12" customWidth="1"/>
    <col min="9" max="9" width="6.42578125" style="12" customWidth="1"/>
    <col min="10" max="10" width="8.140625" style="12" customWidth="1"/>
    <col min="11" max="11" width="13.28515625" style="12" customWidth="1"/>
    <col min="12" max="12" width="6.7109375" style="12" customWidth="1"/>
    <col min="13" max="15" width="10.140625" style="12" customWidth="1"/>
    <col min="16" max="16" width="11.5703125" style="12" customWidth="1"/>
    <col min="17" max="17" width="8.5703125" style="12" customWidth="1"/>
    <col min="18" max="18" width="9.42578125" style="12" customWidth="1"/>
    <col min="19" max="19" width="8.42578125" style="12" customWidth="1"/>
    <col min="20" max="21" width="11.42578125" style="12" hidden="1" customWidth="1"/>
    <col min="22" max="22" width="25.5703125" style="12" customWidth="1"/>
    <col min="23" max="24" width="11.42578125" style="12"/>
    <col min="25" max="25" width="12.5703125" style="12" customWidth="1"/>
    <col min="26" max="27" width="11.42578125" style="12"/>
    <col min="28" max="28" width="12.42578125" style="12" customWidth="1"/>
    <col min="29" max="29" width="8.42578125" style="12" customWidth="1"/>
    <col min="30" max="30" width="10.28515625" style="12" bestFit="1" customWidth="1"/>
    <col min="31" max="31" width="9.140625" style="12" customWidth="1"/>
    <col min="32" max="32" width="11.42578125" style="12"/>
    <col min="33" max="33" width="27" style="12" customWidth="1"/>
    <col min="34" max="34" width="11.5703125" style="12" customWidth="1"/>
    <col min="35" max="16384" width="11.42578125" style="12"/>
  </cols>
  <sheetData>
    <row r="3" spans="1:36" s="9" customFormat="1" ht="18" x14ac:dyDescent="0.25">
      <c r="B3" s="15" t="s">
        <v>91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77"/>
      <c r="V3" s="12" t="str">
        <f>+B3</f>
        <v>MUSICAR  COLOMBIA</v>
      </c>
    </row>
    <row r="4" spans="1:36" ht="17.25" customHeight="1" x14ac:dyDescent="0.2">
      <c r="A4" s="9"/>
      <c r="B4" s="18" t="s">
        <v>92</v>
      </c>
      <c r="V4" s="18" t="str">
        <f>+'COLOMB$ '!T4</f>
        <v xml:space="preserve">Flujo de Caja </v>
      </c>
      <c r="Z4" s="14"/>
      <c r="AA4" s="14"/>
    </row>
    <row r="5" spans="1:36" x14ac:dyDescent="0.2">
      <c r="B5" s="18" t="s">
        <v>93</v>
      </c>
      <c r="V5" s="18" t="s">
        <v>93</v>
      </c>
      <c r="AI5" s="78">
        <f>+Paramet!D8-Paramet!D9</f>
        <v>798.5300000000002</v>
      </c>
      <c r="AJ5" s="79">
        <f>+AI5/Paramet!D9</f>
        <v>0.19908600890555431</v>
      </c>
    </row>
    <row r="6" spans="1:36" ht="13.5" thickBot="1" x14ac:dyDescent="0.25">
      <c r="B6" s="35" t="str">
        <f>+'COLOMB$ '!B6</f>
        <v>NOVIEMBRE De 2022</v>
      </c>
      <c r="C6" s="80"/>
      <c r="K6" s="81" t="s">
        <v>22</v>
      </c>
      <c r="L6" s="81"/>
      <c r="M6" s="81"/>
      <c r="N6" s="81"/>
      <c r="O6" s="81"/>
      <c r="P6" s="81"/>
      <c r="Q6" s="81"/>
      <c r="R6" s="81"/>
      <c r="V6" s="35" t="str">
        <f>+B6</f>
        <v>NOVIEMBRE De 2022</v>
      </c>
      <c r="Z6" s="20" t="s">
        <v>22</v>
      </c>
      <c r="AA6" s="20"/>
      <c r="AB6" s="20"/>
      <c r="AC6" s="20"/>
      <c r="AD6" s="20"/>
      <c r="AE6" s="20"/>
    </row>
    <row r="7" spans="1:36" ht="15.75" customHeight="1" x14ac:dyDescent="0.2">
      <c r="C7" s="21" t="str">
        <f>+'COLOMB$ '!D7:D7</f>
        <v>Ppto 2022</v>
      </c>
      <c r="D7" s="21"/>
      <c r="E7" s="21" t="str">
        <f>+'COLOMB$ '!F7:F7</f>
        <v>Real 2022</v>
      </c>
      <c r="F7" s="21"/>
      <c r="G7" s="21" t="s">
        <v>23</v>
      </c>
      <c r="H7" s="21" t="str">
        <f>+'COLOMB$ '!I7:I7</f>
        <v>Real 2021</v>
      </c>
      <c r="I7" s="21"/>
      <c r="J7" s="21" t="s">
        <v>24</v>
      </c>
      <c r="K7" s="21" t="str">
        <f>+C7</f>
        <v>Ppto 2022</v>
      </c>
      <c r="L7" s="21"/>
      <c r="M7" s="21" t="str">
        <f>+E7</f>
        <v>Real 2022</v>
      </c>
      <c r="N7" s="21"/>
      <c r="O7" s="21" t="s">
        <v>23</v>
      </c>
      <c r="P7" s="21" t="str">
        <f>+H7</f>
        <v>Real 2021</v>
      </c>
      <c r="Q7" s="21"/>
      <c r="R7" s="21" t="s">
        <v>24</v>
      </c>
      <c r="T7" s="9"/>
      <c r="W7" s="14" t="str">
        <f>+C7</f>
        <v>Ppto 2022</v>
      </c>
      <c r="X7" s="14" t="str">
        <f>+M7</f>
        <v>Real 2022</v>
      </c>
      <c r="Y7" s="14" t="str">
        <f>+H7</f>
        <v>Real 2021</v>
      </c>
      <c r="Z7" s="14" t="str">
        <f>+W7</f>
        <v>Ppto 2022</v>
      </c>
      <c r="AA7" s="14" t="str">
        <f>+X7</f>
        <v>Real 2022</v>
      </c>
      <c r="AB7" s="14" t="s">
        <v>25</v>
      </c>
      <c r="AC7" s="14" t="s">
        <v>23</v>
      </c>
      <c r="AD7" s="14" t="str">
        <f>+Y7</f>
        <v>Real 2021</v>
      </c>
      <c r="AE7" s="14" t="s">
        <v>24</v>
      </c>
      <c r="AI7" s="12" t="s">
        <v>94</v>
      </c>
    </row>
    <row r="8" spans="1:36" ht="13.5" thickBot="1" x14ac:dyDescent="0.25">
      <c r="B8" s="82" t="s">
        <v>26</v>
      </c>
      <c r="C8" s="83" t="s">
        <v>27</v>
      </c>
      <c r="D8" s="83" t="s">
        <v>28</v>
      </c>
      <c r="E8" s="83" t="s">
        <v>27</v>
      </c>
      <c r="F8" s="83" t="s">
        <v>28</v>
      </c>
      <c r="G8" s="83" t="s">
        <v>29</v>
      </c>
      <c r="H8" s="83" t="s">
        <v>27</v>
      </c>
      <c r="I8" s="83" t="s">
        <v>28</v>
      </c>
      <c r="J8" s="83" t="s">
        <v>29</v>
      </c>
      <c r="K8" s="83" t="s">
        <v>27</v>
      </c>
      <c r="L8" s="83" t="s">
        <v>28</v>
      </c>
      <c r="M8" s="83" t="s">
        <v>27</v>
      </c>
      <c r="N8" s="83" t="s">
        <v>28</v>
      </c>
      <c r="O8" s="83" t="s">
        <v>29</v>
      </c>
      <c r="P8" s="83" t="s">
        <v>27</v>
      </c>
      <c r="Q8" s="83" t="s">
        <v>28</v>
      </c>
      <c r="R8" s="83" t="s">
        <v>29</v>
      </c>
      <c r="T8" s="16" t="s">
        <v>95</v>
      </c>
      <c r="U8" s="16"/>
      <c r="V8" s="26"/>
      <c r="W8" s="27"/>
      <c r="X8" s="27"/>
      <c r="Y8" s="27"/>
      <c r="Z8" s="27"/>
      <c r="AA8" s="27"/>
      <c r="AB8" s="27"/>
      <c r="AC8" s="27" t="s">
        <v>29</v>
      </c>
      <c r="AD8" s="27"/>
      <c r="AE8" s="27" t="s">
        <v>29</v>
      </c>
    </row>
    <row r="9" spans="1:36" x14ac:dyDescent="0.2">
      <c r="T9" s="32"/>
      <c r="U9" s="16" t="s">
        <v>96</v>
      </c>
      <c r="AH9" s="78"/>
    </row>
    <row r="10" spans="1:36" x14ac:dyDescent="0.2">
      <c r="B10" s="18" t="str">
        <f>+'COLOMB$ '!B10</f>
        <v>Musical Experience  (Ambiental)</v>
      </c>
      <c r="C10" s="28">
        <f>+'COL. CONS.$'!C10/Paramet!$D$10*1000</f>
        <v>112969.11764705883</v>
      </c>
      <c r="D10" s="29">
        <f t="shared" ref="D10:D15" si="0">+C10/$C$20</f>
        <v>0.43700941044489988</v>
      </c>
      <c r="E10" s="28">
        <f>+'COL. CONS.$'!E10/Paramet!$D$8*1000</f>
        <v>74187.158775010335</v>
      </c>
      <c r="F10" s="29">
        <f t="shared" ref="F10:F18" si="1">+E10/$E$20</f>
        <v>0.40478933819536311</v>
      </c>
      <c r="G10" s="29">
        <f t="shared" ref="G10:G18" si="2">IF(C10=0,"",(E10-C10)/ABS(C10)+1)</f>
        <v>0.65670300273379012</v>
      </c>
      <c r="H10" s="28">
        <f>+'COL. CONS.$'!H10/Paramet!$D$9*1000</f>
        <v>91570.139467162648</v>
      </c>
      <c r="I10" s="29">
        <f t="shared" ref="I10:I18" si="3">+H10/$H$20</f>
        <v>0.37266000079439571</v>
      </c>
      <c r="J10" s="30">
        <f t="shared" ref="J10:J18" si="4">IF(H10=0,"",(E10-H10)/ABS(H10))</f>
        <v>-0.18983241472932239</v>
      </c>
      <c r="K10" s="28">
        <f>+'COL. CONS.$'!K10/Paramet!$D$10*1000</f>
        <v>1194693.8235294118</v>
      </c>
      <c r="L10" s="29">
        <f t="shared" ref="L10:L18" si="5">+K10/$K$20</f>
        <v>0.4338491868610086</v>
      </c>
      <c r="M10" s="28">
        <f>+'COL. CONS.$'!M10/Paramet!$D$8*1000</f>
        <v>818096.49236616609</v>
      </c>
      <c r="N10" s="29">
        <f t="shared" ref="N10:N18" si="6">+M10/$M$20</f>
        <v>0.43040441566890092</v>
      </c>
      <c r="O10" s="29">
        <f t="shared" ref="O10:O18" si="7">IF(K10=0,"",(M10-K10)/ABS(K10)+1)</f>
        <v>0.6847750245743407</v>
      </c>
      <c r="P10" s="28">
        <f>+'COL. CONS.$'!P10/Paramet!$D$9*1000</f>
        <v>945076.70693945128</v>
      </c>
      <c r="Q10" s="29">
        <f t="shared" ref="Q10:Q18" si="8">+P10/$P$20</f>
        <v>0.50662867484535345</v>
      </c>
      <c r="R10" s="30">
        <f t="shared" ref="R10:R18" si="9">IF(P10=0,"",(M10-P10)/ABS(P10))</f>
        <v>-0.13435969127257361</v>
      </c>
      <c r="T10" s="32"/>
      <c r="U10" s="31" t="s">
        <v>97</v>
      </c>
      <c r="V10" s="18" t="s">
        <v>30</v>
      </c>
      <c r="W10" s="28">
        <f>+'COL. CONS.$'!U10/Paramet!D10*1000</f>
        <v>38350</v>
      </c>
      <c r="X10" s="28">
        <f>'COLOMB$ '!V10/Paramet!$D$8*1000</f>
        <v>36361.980829648011</v>
      </c>
      <c r="Y10" s="28">
        <f>'COLOMB$ '!W10/Paramet!$D$9*1000</f>
        <v>220733.26326483799</v>
      </c>
      <c r="Z10" s="28">
        <f>'COLOMB$ '!X10/Paramet!$D$10*1000</f>
        <v>142468.23529411765</v>
      </c>
      <c r="AA10" s="28">
        <f>+'COL. CONS.$'!Y10/Paramet!D8*1000</f>
        <v>100715.45749982847</v>
      </c>
      <c r="AB10" s="31">
        <f>+AA10-Z10</f>
        <v>-41752.777794289184</v>
      </c>
      <c r="AC10" s="32">
        <f>IF(Z10=0,"",(AA10-Z10)/ABS(Z10)+1)</f>
        <v>0.70693272287613496</v>
      </c>
      <c r="AD10" s="28">
        <f>'COLOMB$ '!AB10/Paramet!$D$9*1000</f>
        <v>147191.95807508391</v>
      </c>
      <c r="AE10" s="30">
        <f>IF(Y10=0,"",(AA10-AD10)/ABS(AD10))</f>
        <v>-0.31575434679350739</v>
      </c>
      <c r="AF10" s="78"/>
    </row>
    <row r="11" spans="1:36" x14ac:dyDescent="0.2">
      <c r="B11" s="18" t="str">
        <f>+'COLOMB$ '!B11</f>
        <v>Instalaciones</v>
      </c>
      <c r="C11" s="28">
        <f>+'COL. CONS.$'!C11/Paramet!$D$10*1000</f>
        <v>14420</v>
      </c>
      <c r="D11" s="29">
        <f t="shared" si="0"/>
        <v>5.578228660954334E-2</v>
      </c>
      <c r="E11" s="28">
        <f>+'COL. CONS.$'!E11/Paramet!$D$8*1000</f>
        <v>5237.3894637915291</v>
      </c>
      <c r="F11" s="29">
        <f t="shared" si="1"/>
        <v>2.8576905355670097E-2</v>
      </c>
      <c r="G11" s="29">
        <f t="shared" si="2"/>
        <v>0.36320315282881621</v>
      </c>
      <c r="H11" s="28">
        <f>+'COL. CONS.$'!H11/Paramet!$D$9*1000</f>
        <v>26915.467790913943</v>
      </c>
      <c r="I11" s="29">
        <f t="shared" si="3"/>
        <v>0.10953699870622592</v>
      </c>
      <c r="J11" s="30">
        <f t="shared" si="4"/>
        <v>-0.80541339632374687</v>
      </c>
      <c r="K11" s="28">
        <f>+'COL. CONS.$'!K11/Paramet!$D$10*1000</f>
        <v>147405.29411764705</v>
      </c>
      <c r="L11" s="29">
        <f t="shared" si="5"/>
        <v>5.3529754429482553E-2</v>
      </c>
      <c r="M11" s="28">
        <f>+'COL. CONS.$'!M11/Paramet!$D$8*1000</f>
        <v>86801.257716482549</v>
      </c>
      <c r="N11" s="29">
        <f t="shared" si="6"/>
        <v>4.5666550285203771E-2</v>
      </c>
      <c r="O11" s="29">
        <f t="shared" si="7"/>
        <v>0.58886119549549398</v>
      </c>
      <c r="P11" s="28">
        <f>+'COL. CONS.$'!P11/Paramet!$D$9*1000</f>
        <v>103799.80328996903</v>
      </c>
      <c r="Q11" s="29">
        <f t="shared" si="8"/>
        <v>5.5644114815089345E-2</v>
      </c>
      <c r="R11" s="30">
        <f t="shared" si="9"/>
        <v>-0.16376279178487788</v>
      </c>
      <c r="T11" s="32">
        <f>+E22/C22</f>
        <v>0.9963908272176859</v>
      </c>
      <c r="U11" s="31" t="s">
        <v>98</v>
      </c>
      <c r="V11" s="18" t="s">
        <v>31</v>
      </c>
      <c r="W11" s="28">
        <f>'COLOMB$ '!U11/Paramet!$D$10*1000</f>
        <v>323335</v>
      </c>
      <c r="X11" s="28">
        <f>'COLOMB$ '!V11/Paramet!$D$8*1000</f>
        <v>207081.91474183439</v>
      </c>
      <c r="Y11" s="28">
        <f>'COLOMB$ '!W11/Paramet!$D$9*1000</f>
        <v>219655.59471002102</v>
      </c>
      <c r="Z11" s="28">
        <f>'COLOMB$ '!X11/Paramet!$D$10*1000</f>
        <v>3316059.411764706</v>
      </c>
      <c r="AA11" s="28">
        <f>'COLOMB$ '!Y11/Paramet!$D$8*1000</f>
        <v>2340908.8996862466</v>
      </c>
      <c r="AB11" s="31">
        <f>+AA11-Z11</f>
        <v>-975150.51207845937</v>
      </c>
      <c r="AC11" s="32">
        <f>IF(Z11=0,"",(AA11-Z11)/ABS(Z11)+1)</f>
        <v>0.70593092855368544</v>
      </c>
      <c r="AD11" s="28">
        <f>'COLOMB$ '!AB11/Paramet!$D$9*1000</f>
        <v>2602142.7601458994</v>
      </c>
      <c r="AE11" s="30">
        <f>IF(AD11=0,"",(AA11-AD11)/ABS(AD11))</f>
        <v>-0.10039182494545597</v>
      </c>
      <c r="AF11" s="78"/>
    </row>
    <row r="12" spans="1:36" x14ac:dyDescent="0.2">
      <c r="B12" s="18" t="str">
        <f>+'COLOMB$ '!B12</f>
        <v>Voice Experience (Publihold)</v>
      </c>
      <c r="C12" s="28">
        <f>+'COL. CONS.$'!C12/Paramet!$D$10*1000</f>
        <v>20209.411764705885</v>
      </c>
      <c r="D12" s="29">
        <f t="shared" si="0"/>
        <v>7.8178030462489653E-2</v>
      </c>
      <c r="E12" s="28">
        <f>+'COL. CONS.$'!E12/Paramet!$D$8*1000</f>
        <v>14836.519520699612</v>
      </c>
      <c r="F12" s="29">
        <f t="shared" si="1"/>
        <v>8.0952890191146765E-2</v>
      </c>
      <c r="G12" s="29">
        <f t="shared" si="2"/>
        <v>0.73413910773050817</v>
      </c>
      <c r="H12" s="28">
        <f>+'COL. CONS.$'!H12/Paramet!$D$9*1000</f>
        <v>19393.084732409534</v>
      </c>
      <c r="I12" s="29">
        <f t="shared" si="3"/>
        <v>7.8923402474200183E-2</v>
      </c>
      <c r="J12" s="30">
        <f t="shared" si="4"/>
        <v>-0.23495824798285103</v>
      </c>
      <c r="K12" s="28">
        <f>+'COL. CONS.$'!K12/Paramet!$D$10*1000</f>
        <v>255915.88235294117</v>
      </c>
      <c r="L12" s="29">
        <f t="shared" si="5"/>
        <v>9.2935022578115534E-2</v>
      </c>
      <c r="M12" s="28">
        <f>+'COL. CONS.$'!M12/Paramet!$D$8*1000</f>
        <v>196418.00366357487</v>
      </c>
      <c r="N12" s="29">
        <f t="shared" si="6"/>
        <v>0.10333643632814243</v>
      </c>
      <c r="O12" s="29">
        <f t="shared" si="7"/>
        <v>0.76751001875174352</v>
      </c>
      <c r="P12" s="28">
        <f>+'COL. CONS.$'!P12/Paramet!$D$9*1000</f>
        <v>251526.23004851685</v>
      </c>
      <c r="Q12" s="29">
        <f t="shared" si="8"/>
        <v>0.13483603995595225</v>
      </c>
      <c r="R12" s="30">
        <f t="shared" si="9"/>
        <v>-0.21909534593792532</v>
      </c>
      <c r="T12" s="32">
        <f>+E24/C24</f>
        <v>0.67739592164762308</v>
      </c>
      <c r="U12" s="84">
        <v>1208</v>
      </c>
      <c r="AE12" s="2"/>
      <c r="AF12" s="78"/>
    </row>
    <row r="13" spans="1:36" x14ac:dyDescent="0.2">
      <c r="B13" s="18" t="str">
        <f>+'COLOMB$ '!B13</f>
        <v>Service &amp; Equipment Experience</v>
      </c>
      <c r="C13" s="28">
        <f>+'COL. CONS.$'!C13/Paramet!$D$10*1000</f>
        <v>29832.058823529413</v>
      </c>
      <c r="D13" s="29">
        <f t="shared" si="0"/>
        <v>0.11540225072447116</v>
      </c>
      <c r="E13" s="28">
        <f>+'COL. CONS.$'!E13/Paramet!$D$8*1000</f>
        <v>33738.480635241423</v>
      </c>
      <c r="F13" s="29">
        <f t="shared" si="1"/>
        <v>0.18408815586905522</v>
      </c>
      <c r="G13" s="29">
        <f t="shared" si="2"/>
        <v>1.1309471074329909</v>
      </c>
      <c r="H13" s="28">
        <f>+'COL. CONS.$'!H13/Paramet!$D$9*1000</f>
        <v>39288.984487581583</v>
      </c>
      <c r="I13" s="29">
        <f t="shared" si="3"/>
        <v>0.1598930947965152</v>
      </c>
      <c r="J13" s="30">
        <f t="shared" si="4"/>
        <v>-0.14127379276230864</v>
      </c>
      <c r="K13" s="28">
        <f>+'COL. CONS.$'!K13/Paramet!$D$10*1000</f>
        <v>307421.76470588235</v>
      </c>
      <c r="L13" s="29">
        <f t="shared" si="5"/>
        <v>0.11163921668817421</v>
      </c>
      <c r="M13" s="28">
        <f>+'COL. CONS.$'!M13/Paramet!$D$8*1000</f>
        <v>217870.45603398266</v>
      </c>
      <c r="N13" s="29">
        <f t="shared" si="6"/>
        <v>0.11462267250359061</v>
      </c>
      <c r="O13" s="29">
        <f t="shared" si="7"/>
        <v>0.70870211887055057</v>
      </c>
      <c r="P13" s="28">
        <f>+'COL. CONS.$'!P13/Paramet!$D$9*1000</f>
        <v>187333.22305272028</v>
      </c>
      <c r="Q13" s="29">
        <f t="shared" si="8"/>
        <v>0.10042399929320155</v>
      </c>
      <c r="R13" s="30">
        <f t="shared" si="9"/>
        <v>0.16301023643130527</v>
      </c>
      <c r="T13" s="32">
        <f>+E26/C26</f>
        <v>0.69742499574799022</v>
      </c>
      <c r="U13" s="31" t="s">
        <v>99</v>
      </c>
      <c r="V13" s="18" t="s">
        <v>32</v>
      </c>
      <c r="W13" s="28">
        <f>'COLOMB$ '!U13/Paramet!$D$10*1000</f>
        <v>28611.176470588234</v>
      </c>
      <c r="X13" s="28">
        <f>'COLOMB$ '!V13/Paramet!$D$8*1000</f>
        <v>30925.095695819324</v>
      </c>
      <c r="Y13" s="28">
        <f>'COLOMB$ '!W13/Paramet!$D$9*1000</f>
        <v>81580.997172760777</v>
      </c>
      <c r="Z13" s="28">
        <f>'COLOMB$ '!X13/Paramet!$D$10*1000</f>
        <v>416384.1176470588</v>
      </c>
      <c r="AA13" s="28">
        <f>'COLOMB$ '!Y13/Paramet!$D$8*1000</f>
        <v>294694.36167717708</v>
      </c>
      <c r="AB13" s="31">
        <f>+Z13-AA13</f>
        <v>121689.75596988172</v>
      </c>
      <c r="AC13" s="32">
        <f>IF(Z13=0,"",(AA13-Z13)/ABS(Z13)+1)</f>
        <v>0.70774640335097971</v>
      </c>
      <c r="AD13" s="28">
        <f>'COLOMB$ '!AB13/Paramet!$D$9*1000</f>
        <v>648355.92951597867</v>
      </c>
      <c r="AE13" s="30">
        <f>IF(AD13=0,"",(AA13-AD13)/ABS(AD13))</f>
        <v>-0.54547440956207938</v>
      </c>
      <c r="AF13" s="78"/>
      <c r="AG13" s="33"/>
    </row>
    <row r="14" spans="1:36" x14ac:dyDescent="0.2">
      <c r="B14" s="18" t="str">
        <f>+'COLOMB$ '!B14</f>
        <v>POP Satelital</v>
      </c>
      <c r="C14" s="28">
        <f>+'COL. CONS.$'!C14/Paramet!$D$10*1000</f>
        <v>0</v>
      </c>
      <c r="D14" s="29">
        <f t="shared" si="0"/>
        <v>0</v>
      </c>
      <c r="E14" s="28">
        <f>+'COL. CONS.$'!E14/Paramet!$D$8*1000</f>
        <v>0</v>
      </c>
      <c r="F14" s="29">
        <f t="shared" si="1"/>
        <v>0</v>
      </c>
      <c r="G14" s="29" t="str">
        <f t="shared" si="2"/>
        <v/>
      </c>
      <c r="H14" s="28">
        <f>+'COL. CONS.$'!H14/Paramet!$D$9*1000</f>
        <v>0</v>
      </c>
      <c r="I14" s="29">
        <f t="shared" si="3"/>
        <v>0</v>
      </c>
      <c r="J14" s="30" t="str">
        <f t="shared" si="4"/>
        <v/>
      </c>
      <c r="K14" s="28">
        <f>+'COL. CONS.$'!K14/Paramet!$D$10*1000</f>
        <v>0</v>
      </c>
      <c r="L14" s="29">
        <f t="shared" si="5"/>
        <v>0</v>
      </c>
      <c r="M14" s="28">
        <f>+'COL. CONS.$'!M14/Paramet!$D$8*1000</f>
        <v>0</v>
      </c>
      <c r="N14" s="29">
        <f t="shared" si="6"/>
        <v>0</v>
      </c>
      <c r="O14" s="29" t="str">
        <f t="shared" si="7"/>
        <v/>
      </c>
      <c r="P14" s="28">
        <f>+'COL. CONS.$'!P14/Paramet!$D$9*1000</f>
        <v>0</v>
      </c>
      <c r="Q14" s="29">
        <f t="shared" si="8"/>
        <v>0</v>
      </c>
      <c r="R14" s="30" t="str">
        <f t="shared" si="9"/>
        <v/>
      </c>
      <c r="T14" s="32"/>
      <c r="U14" s="31"/>
      <c r="V14" s="18" t="s">
        <v>33</v>
      </c>
      <c r="W14" s="28">
        <f>'COLOMB$ '!U14/Paramet!$D$10*1000</f>
        <v>2455.8823529411766</v>
      </c>
      <c r="X14" s="28">
        <f>'COLOMB$ '!V14/Paramet!$D$8*1000</f>
        <v>2398.8413331087781</v>
      </c>
      <c r="Y14" s="28">
        <f>'COLOMB$ '!W14/Paramet!$D$9*1000</f>
        <v>2204.9479179651858</v>
      </c>
      <c r="Z14" s="28">
        <f>'COLOMB$ '!X14/Paramet!$D$10*1000</f>
        <v>27023.529411764706</v>
      </c>
      <c r="AA14" s="28">
        <f>'COLOMB$ '!Y14/Paramet!$D$8*1000</f>
        <v>23872.455892596125</v>
      </c>
      <c r="AB14" s="31">
        <f>+Z14-AA14</f>
        <v>3151.0735191685817</v>
      </c>
      <c r="AC14" s="32">
        <f>IF(Z14=0,"",(AA14-Z14)/ABS(Z14)+1)</f>
        <v>0.88339518975649567</v>
      </c>
      <c r="AD14" s="28">
        <f>'COLOMB$ '!AB14/Paramet!$D$9*1000</f>
        <v>20518.42841400356</v>
      </c>
      <c r="AE14" s="30">
        <f>IF(AD14=0,"",(AA14-AD14)/ABS(AD14))</f>
        <v>0.1634641509046319</v>
      </c>
      <c r="AF14" s="78"/>
    </row>
    <row r="15" spans="1:36" x14ac:dyDescent="0.2">
      <c r="B15" s="18" t="str">
        <f>+'COLOMB$ '!B15</f>
        <v>Voice Experience (Audicóm)</v>
      </c>
      <c r="C15" s="28">
        <f>+'COL. CONS.$'!C15/Paramet!$D$10*1000</f>
        <v>38215.294117647063</v>
      </c>
      <c r="D15" s="29">
        <f t="shared" si="0"/>
        <v>0.14783193407341083</v>
      </c>
      <c r="E15" s="28">
        <f>+'COL. CONS.$'!E15/Paramet!$D$8*1000</f>
        <v>25620.412890294436</v>
      </c>
      <c r="F15" s="29">
        <f t="shared" si="1"/>
        <v>0.13979333013151629</v>
      </c>
      <c r="G15" s="29">
        <f t="shared" si="2"/>
        <v>0.67042301994120823</v>
      </c>
      <c r="H15" s="28">
        <f>+'COL. CONS.$'!H15/Paramet!$D$9*1000</f>
        <v>28349.591371684724</v>
      </c>
      <c r="I15" s="29">
        <f t="shared" si="3"/>
        <v>0.11537340452431419</v>
      </c>
      <c r="J15" s="30">
        <f t="shared" si="4"/>
        <v>-9.626870615553787E-2</v>
      </c>
      <c r="K15" s="28">
        <f>+'COL. CONS.$'!K15/Paramet!$D$10*1000</f>
        <v>404045.58823529416</v>
      </c>
      <c r="L15" s="29">
        <f t="shared" si="5"/>
        <v>0.14672784479022188</v>
      </c>
      <c r="M15" s="28">
        <f>+'COL. CONS.$'!M15/Paramet!$D$8*1000</f>
        <v>280949.18900262186</v>
      </c>
      <c r="N15" s="29">
        <f t="shared" si="6"/>
        <v>0.14780869084963946</v>
      </c>
      <c r="O15" s="29">
        <f t="shared" si="7"/>
        <v>0.69534032095163567</v>
      </c>
      <c r="P15" s="28">
        <f>+'COL. CONS.$'!P15/Paramet!$D$9*1000</f>
        <v>316341.37542445987</v>
      </c>
      <c r="Q15" s="29">
        <f t="shared" si="8"/>
        <v>0.16958159126475911</v>
      </c>
      <c r="R15" s="30">
        <f t="shared" si="9"/>
        <v>-0.11187972605338001</v>
      </c>
      <c r="T15" s="32"/>
      <c r="U15" s="84"/>
      <c r="V15" s="18" t="s">
        <v>34</v>
      </c>
      <c r="W15" s="28">
        <f>'COLOMB$ '!U15/Paramet!$D$10*1000</f>
        <v>108692.64705882352</v>
      </c>
      <c r="X15" s="28">
        <f>'COLOMB$ '!V15/Paramet!$D$8*1000</f>
        <v>73643.219371619984</v>
      </c>
      <c r="Y15" s="28">
        <f>'COLOMB$ '!W15/Paramet!$D$9*1000</f>
        <v>90930.958269550087</v>
      </c>
      <c r="Z15" s="28">
        <f>'COLOMB$ '!X15/Paramet!$D$10*1000</f>
        <v>1257592.9411764706</v>
      </c>
      <c r="AA15" s="28">
        <f>'COLOMB$ '!Y15/Paramet!$D$8*1000</f>
        <v>866995.01306370087</v>
      </c>
      <c r="AB15" s="31">
        <f>+Z15-AA15</f>
        <v>390597.92811276973</v>
      </c>
      <c r="AC15" s="32">
        <f>IF(Z15=0,"",(AA15-Z15)/ABS(Z15)+1)</f>
        <v>0.68940830110944507</v>
      </c>
      <c r="AD15" s="28">
        <f>'COLOMB$ '!AB15/Paramet!$D$9*1000</f>
        <v>908849.44352751703</v>
      </c>
      <c r="AE15" s="30">
        <f>IF(AD15=0,"",(AA15-AD15)/ABS(AD15))</f>
        <v>-4.6052105507559719E-2</v>
      </c>
      <c r="AF15" s="78"/>
    </row>
    <row r="16" spans="1:36" x14ac:dyDescent="0.2">
      <c r="B16" s="18" t="str">
        <f>+'COLOMB$ '!B16</f>
        <v>Fact. Servicio Satelital</v>
      </c>
      <c r="C16" s="28">
        <f>+'COL. CONS.$'!C16/Paramet!$D$8*1000</f>
        <v>0</v>
      </c>
      <c r="D16" s="29"/>
      <c r="E16" s="28">
        <f>+'COL. CONS.$'!E16/Paramet!$D$8*1000</f>
        <v>0</v>
      </c>
      <c r="F16" s="29">
        <f t="shared" si="1"/>
        <v>0</v>
      </c>
      <c r="G16" s="29" t="str">
        <f t="shared" si="2"/>
        <v/>
      </c>
      <c r="H16" s="28">
        <f>+'COL. CONS.$'!H16/Paramet!$D$9*1000</f>
        <v>0</v>
      </c>
      <c r="I16" s="29">
        <f t="shared" si="3"/>
        <v>0</v>
      </c>
      <c r="J16" s="30" t="str">
        <f t="shared" si="4"/>
        <v/>
      </c>
      <c r="K16" s="28">
        <f>+'COL. CONS.$'!K16/Paramet!$D$8*1000</f>
        <v>0</v>
      </c>
      <c r="L16" s="29">
        <f t="shared" si="5"/>
        <v>0</v>
      </c>
      <c r="M16" s="28">
        <f>+'COL. CONS.$'!M16/Paramet!$D$8*1000</f>
        <v>0</v>
      </c>
      <c r="N16" s="29">
        <f t="shared" si="6"/>
        <v>0</v>
      </c>
      <c r="O16" s="29" t="str">
        <f t="shared" si="7"/>
        <v/>
      </c>
      <c r="P16" s="28">
        <f>+'COL. CONS.$'!P16/Paramet!$D$9*1000</f>
        <v>0</v>
      </c>
      <c r="Q16" s="29">
        <f t="shared" si="8"/>
        <v>0</v>
      </c>
      <c r="R16" s="30" t="str">
        <f t="shared" si="9"/>
        <v/>
      </c>
      <c r="V16" s="18" t="s">
        <v>35</v>
      </c>
      <c r="W16" s="28">
        <f>'COLOMB$ '!U16/Paramet!$D$10*1000</f>
        <v>70106.176470588238</v>
      </c>
      <c r="X16" s="28">
        <f>'COLOMB$ '!V16/Paramet!$D$8*1000</f>
        <v>47866.313510108099</v>
      </c>
      <c r="Y16" s="28">
        <f>'COLOMB$ '!W16/Paramet!$D$9*1000</f>
        <v>53546.139364943228</v>
      </c>
      <c r="Z16" s="28">
        <f>'COLOMB$ '!X16/Paramet!$D$10*1000</f>
        <v>799600</v>
      </c>
      <c r="AA16" s="28">
        <f>'COLOMB$ '!Y16/Paramet!$D$8*1000</f>
        <v>558867.56693717232</v>
      </c>
      <c r="AB16" s="31">
        <f>+Z16-AA16</f>
        <v>240732.43306282768</v>
      </c>
      <c r="AC16" s="32">
        <f>IF(Z16=0,"",(AA16-Z16)/ABS(Z16)+1)</f>
        <v>0.69893392563428258</v>
      </c>
      <c r="AD16" s="28">
        <f>'COLOMB$ '!AB16/Paramet!$D$9*1000</f>
        <v>460485.3784760831</v>
      </c>
      <c r="AE16" s="30">
        <f>IF(AD16=0,"",(AA16-AD16)/ABS(AD16))</f>
        <v>0.2136488867174727</v>
      </c>
      <c r="AF16" s="78"/>
    </row>
    <row r="17" spans="2:33" x14ac:dyDescent="0.2">
      <c r="B17" s="18" t="str">
        <f>+'COLOMB$ '!B17</f>
        <v>Visual Experience</v>
      </c>
      <c r="C17" s="28">
        <f>+'COL. CONS.$'!C17/Paramet!$D$10*1000</f>
        <v>6025.5882352941171</v>
      </c>
      <c r="D17" s="29"/>
      <c r="E17" s="28">
        <f>+'COL. CONS.$'!E17/Paramet!$D$8*1000</f>
        <v>4172.0888406511267</v>
      </c>
      <c r="F17" s="29">
        <f t="shared" si="1"/>
        <v>2.2764277653780439E-2</v>
      </c>
      <c r="G17" s="29">
        <f t="shared" si="2"/>
        <v>0.69239527789397337</v>
      </c>
      <c r="H17" s="28">
        <f>+'COL. CONS.$'!H17/Paramet!$D$9*1000</f>
        <v>4375.084891971539</v>
      </c>
      <c r="I17" s="29">
        <f t="shared" si="3"/>
        <v>1.7805139850227445E-2</v>
      </c>
      <c r="J17" s="30">
        <f t="shared" si="4"/>
        <v>-4.6398197139652868E-2</v>
      </c>
      <c r="K17" s="28">
        <f>+'COL. CONS.$'!K17/Paramet!$D$10*1000</f>
        <v>84221.176470588238</v>
      </c>
      <c r="L17" s="29">
        <f t="shared" si="5"/>
        <v>3.0584647052327097E-2</v>
      </c>
      <c r="M17" s="28">
        <f>+'COL. CONS.$'!M17/Paramet!$D$8*1000</f>
        <v>59556.432152131922</v>
      </c>
      <c r="N17" s="29">
        <f t="shared" si="6"/>
        <v>3.133291930591707E-2</v>
      </c>
      <c r="O17" s="29">
        <f t="shared" si="7"/>
        <v>0.70714319899022371</v>
      </c>
      <c r="P17" s="28">
        <f>+'COL. CONS.$'!P17/Paramet!$D$9*1000</f>
        <v>61345.512069369586</v>
      </c>
      <c r="Q17" s="29">
        <f t="shared" si="8"/>
        <v>3.288557982564428E-2</v>
      </c>
      <c r="R17" s="30">
        <f t="shared" si="9"/>
        <v>-2.9163990272256114E-2</v>
      </c>
      <c r="V17" s="18" t="s">
        <v>36</v>
      </c>
      <c r="W17" s="28">
        <f>'COLOMB$ '!U17/Paramet!$D$10*1000</f>
        <v>209865.88235294117</v>
      </c>
      <c r="X17" s="28">
        <f>'COLOMB$ '!V17/Paramet!$D$8*1000</f>
        <v>154833.46991065619</v>
      </c>
      <c r="Y17" s="28">
        <f>'COLOMB$ '!W17/Paramet!$D$9*1000</f>
        <v>228263.04272521927</v>
      </c>
      <c r="Z17" s="28">
        <f>'COLOMB$ '!X17/Paramet!$D$10*1000</f>
        <v>2500600.5882352944</v>
      </c>
      <c r="AA17" s="28">
        <f>'COLOMB$ '!Y17/Paramet!$D$8*1000</f>
        <v>1744429.3975706464</v>
      </c>
      <c r="AB17" s="31">
        <f>+AA17-Z17</f>
        <v>-756171.19066464808</v>
      </c>
      <c r="AC17" s="32">
        <f>IF(Z17=0,"",(AA17-Z17)/ABS(Z17)+1)</f>
        <v>0.69760416988532836</v>
      </c>
      <c r="AD17" s="28">
        <f>'COLOMB$ '!AB17/Paramet!$D$9*1000</f>
        <v>2038209.1799335824</v>
      </c>
      <c r="AE17" s="30">
        <f>IF(AD17=0,"",(AA17-AD17)/ABS(AD17))</f>
        <v>-0.14413622765280118</v>
      </c>
      <c r="AF17" s="78"/>
    </row>
    <row r="18" spans="2:33" x14ac:dyDescent="0.2">
      <c r="B18" s="18" t="str">
        <f>+'COL. CONS.$'!B18</f>
        <v>Olfa Experience</v>
      </c>
      <c r="C18" s="28">
        <f>+'COL. CONS.$'!C18/Paramet!$D$10*1000</f>
        <v>36833.529411764706</v>
      </c>
      <c r="D18" s="29"/>
      <c r="E18" s="28">
        <f>+'COL. CONS.$'!E18/Paramet!$D$8*1000</f>
        <v>25481.449877430339</v>
      </c>
      <c r="F18" s="29">
        <f t="shared" si="1"/>
        <v>0.13903510260346813</v>
      </c>
      <c r="G18" s="29">
        <f t="shared" si="2"/>
        <v>0.69180038634287144</v>
      </c>
      <c r="H18" s="28">
        <f>+'COL. CONS.$'!H18/Paramet!$D$9*1000</f>
        <v>27262.911807089542</v>
      </c>
      <c r="I18" s="29">
        <f t="shared" si="3"/>
        <v>0.1109509802519288</v>
      </c>
      <c r="J18" s="34">
        <f t="shared" si="4"/>
        <v>-6.5343788010052001E-2</v>
      </c>
      <c r="K18" s="28">
        <f>+'COL. CONS.$'!K18/Paramet!$D$10*1000</f>
        <v>360004.1176470588</v>
      </c>
      <c r="L18" s="29">
        <f t="shared" si="5"/>
        <v>0.13073432760067014</v>
      </c>
      <c r="M18" s="28">
        <f>+'COL. CONS.$'!M18/Paramet!$D$8*1000</f>
        <v>241070.48140039213</v>
      </c>
      <c r="N18" s="29">
        <f t="shared" si="6"/>
        <v>0.12682831505860581</v>
      </c>
      <c r="O18" s="29">
        <f t="shared" si="7"/>
        <v>0.66963256691617357</v>
      </c>
      <c r="P18" s="28">
        <f>+'COL. CONS.$'!P18/Paramet!$D$9*1000</f>
        <v>231709.30894694064</v>
      </c>
      <c r="Q18" s="29">
        <f t="shared" si="8"/>
        <v>0.1242127536094719</v>
      </c>
      <c r="R18" s="34">
        <f t="shared" si="9"/>
        <v>4.0400502232714006E-2</v>
      </c>
      <c r="AE18" s="2"/>
      <c r="AF18" s="78"/>
    </row>
    <row r="19" spans="2:33" x14ac:dyDescent="0.2">
      <c r="B19" s="18" t="str">
        <f>+'COLOMB$ '!B19</f>
        <v>Locutor virtual</v>
      </c>
      <c r="C19" s="28"/>
      <c r="D19" s="29"/>
      <c r="E19" s="28"/>
      <c r="F19" s="29"/>
      <c r="G19" s="29"/>
      <c r="H19" s="28">
        <f>+'COL. CONS.$'!H19/Paramet!$D$9*1000</f>
        <v>8565.0683872769259</v>
      </c>
      <c r="I19" s="29"/>
      <c r="J19" s="30"/>
      <c r="K19" s="28"/>
      <c r="L19" s="29"/>
      <c r="M19" s="28"/>
      <c r="N19" s="29"/>
      <c r="O19" s="29"/>
      <c r="P19" s="28"/>
      <c r="Q19" s="29"/>
      <c r="R19" s="30"/>
      <c r="T19" s="32">
        <f>+E27/C27</f>
        <v>0.74752090881419808</v>
      </c>
      <c r="U19" s="31" t="s">
        <v>100</v>
      </c>
      <c r="V19" s="18" t="s">
        <v>37</v>
      </c>
      <c r="W19" s="28">
        <f>+W11-W17</f>
        <v>113469.11764705883</v>
      </c>
      <c r="X19" s="28">
        <f>+X11-X17</f>
        <v>52248.444831178203</v>
      </c>
      <c r="Y19" s="28">
        <f>+Y11-Y17</f>
        <v>-8607.4480151982571</v>
      </c>
      <c r="Z19" s="28">
        <f>+Z11-Z17</f>
        <v>815458.82352941157</v>
      </c>
      <c r="AA19" s="28">
        <f>+AA11-AA17</f>
        <v>596479.50211560028</v>
      </c>
      <c r="AB19" s="31">
        <f>+AA19-Z19</f>
        <v>-218979.3214138113</v>
      </c>
      <c r="AC19" s="32">
        <f>IF(Z19=0,"",(AA19-Z19)/ABS(Z19)+1)</f>
        <v>0.73146489424684824</v>
      </c>
      <c r="AD19" s="28">
        <f>+AD11-AD17</f>
        <v>563933.58021231694</v>
      </c>
      <c r="AE19" s="30">
        <f>IF(AD19=0,"",(AA19-AD19)/ABS(AD19))</f>
        <v>5.7712331815796512E-2</v>
      </c>
      <c r="AF19" s="78"/>
    </row>
    <row r="20" spans="2:33" x14ac:dyDescent="0.2">
      <c r="B20" s="35" t="s">
        <v>38</v>
      </c>
      <c r="C20" s="36">
        <f>SUM(C10:C19)</f>
        <v>258504.99999999997</v>
      </c>
      <c r="D20" s="37">
        <f>+C20/$C$20</f>
        <v>1</v>
      </c>
      <c r="E20" s="36">
        <f>SUM(E10:E19)</f>
        <v>183273.5000031188</v>
      </c>
      <c r="F20" s="37">
        <f>+E20/$E$20</f>
        <v>1</v>
      </c>
      <c r="G20" s="37">
        <f>IF(C20=0,"",(E20-C20)/ABS(C20)+1)</f>
        <v>0.70897468135285124</v>
      </c>
      <c r="H20" s="36">
        <f>+'COL. CONS.$'!H20/Paramet!$D$9*1000</f>
        <v>245720.33293609045</v>
      </c>
      <c r="I20" s="37">
        <f>+H20/$H$20</f>
        <v>1</v>
      </c>
      <c r="J20" s="38">
        <f>IF(H20=0,"",(E20-H20)/ABS(H20))</f>
        <v>-0.25413783298598042</v>
      </c>
      <c r="K20" s="36">
        <f>SUM(K10:K19)</f>
        <v>2753707.6470588236</v>
      </c>
      <c r="L20" s="37">
        <f>+K20/$K$20</f>
        <v>1</v>
      </c>
      <c r="M20" s="36">
        <f>SUM(M10:M19)</f>
        <v>1900762.3123353519</v>
      </c>
      <c r="N20" s="37">
        <f>+M20/$M$20</f>
        <v>1</v>
      </c>
      <c r="O20" s="37">
        <f>IF(K20=0,"",(M20-K20)/ABS(K20)+1)</f>
        <v>0.69025566834065177</v>
      </c>
      <c r="P20" s="36">
        <f>SUM(P10:P17)</f>
        <v>1865422.8508244869</v>
      </c>
      <c r="Q20" s="37">
        <f>+P20/$P$20</f>
        <v>1</v>
      </c>
      <c r="R20" s="38">
        <f>IF(P20=0,"",(M20-P20)/ABS(P20))</f>
        <v>1.8944477653013388E-2</v>
      </c>
      <c r="T20" s="32">
        <f>+E28/C28</f>
        <v>0.72495065085866373</v>
      </c>
      <c r="U20" s="31"/>
      <c r="V20" s="18"/>
      <c r="W20" s="28"/>
      <c r="X20" s="28"/>
      <c r="Y20" s="28"/>
      <c r="Z20" s="28"/>
      <c r="AA20" s="28"/>
      <c r="AB20" s="31"/>
      <c r="AC20" s="32"/>
      <c r="AD20" s="28"/>
      <c r="AE20" s="30" t="str">
        <f>IF(AD20=0,"",(AA20-AD20)/ABS(AD20))</f>
        <v/>
      </c>
      <c r="AF20" s="78"/>
      <c r="AG20" s="33"/>
    </row>
    <row r="21" spans="2:33" x14ac:dyDescent="0.2">
      <c r="J21" s="30"/>
      <c r="R21" s="30"/>
      <c r="T21" s="32">
        <f>+E30/C30</f>
        <v>0.69345117529411782</v>
      </c>
      <c r="U21" s="31"/>
      <c r="V21" s="18" t="s">
        <v>39</v>
      </c>
      <c r="W21" s="28">
        <f>+'COL. CONS.$'!U21/Paramet!D10*1000</f>
        <v>151819.11764705883</v>
      </c>
      <c r="X21" s="28">
        <f>+X10+X19</f>
        <v>88610.425660826208</v>
      </c>
      <c r="Y21" s="28">
        <f>'COLOMB$ '!W21/Paramet!$D$9*1000</f>
        <v>212125.81524963971</v>
      </c>
      <c r="Z21" s="28">
        <f>'COLOMB$ '!X21/Paramet!$D$10*1000</f>
        <v>957927.0588235294</v>
      </c>
      <c r="AA21" s="28">
        <f>+'COL. CONS.$'!Y21/Paramet!D8*1000</f>
        <v>697194.95961542847</v>
      </c>
      <c r="AB21" s="31">
        <f>+AA21-Z21</f>
        <v>-260732.09920810093</v>
      </c>
      <c r="AC21" s="32">
        <f>IF(Z21=0,"",(AA21-Z21)/ABS(Z21)+1)</f>
        <v>0.72781633339774632</v>
      </c>
      <c r="AD21" s="28">
        <f>'COLOMB$ '!AB21/Paramet!$D$9*1000</f>
        <v>711125.53828740085</v>
      </c>
      <c r="AE21" s="30">
        <f>IF(AD21=0,"",(AA21-AD21)/ABS(AD21))</f>
        <v>-1.9589478821870621E-2</v>
      </c>
      <c r="AF21" s="78"/>
      <c r="AG21" s="33"/>
    </row>
    <row r="22" spans="2:33" x14ac:dyDescent="0.2">
      <c r="B22" s="18" t="s">
        <v>40</v>
      </c>
      <c r="C22" s="28">
        <f>+'COL. CONS.$'!C22/Paramet!$D$10*1000</f>
        <v>25590.588235294115</v>
      </c>
      <c r="D22" s="29">
        <f>+C22/$C$20</f>
        <v>9.8994558075449671E-2</v>
      </c>
      <c r="E22" s="28">
        <f>+'COL. CONS.$'!E22/Paramet!$D$8*1000</f>
        <v>25498.227380751883</v>
      </c>
      <c r="F22" s="29">
        <f>+E22/$E$20</f>
        <v>0.13912664613442738</v>
      </c>
      <c r="G22" s="29">
        <f>IF(C22=0,"",(E22-C22)/ABS(C22)+1)</f>
        <v>0.9963908272176859</v>
      </c>
      <c r="H22" s="28">
        <f>+'COL. CONS.$'!H22/Paramet!$D$9*1000</f>
        <v>29013.55811297987</v>
      </c>
      <c r="I22" s="29">
        <f>+H22/$H$20</f>
        <v>0.1180755282491255</v>
      </c>
      <c r="J22" s="30">
        <f>IF(H22=0,"",(E22-H22)/ABS(H22))</f>
        <v>-0.12116165547635209</v>
      </c>
      <c r="K22" s="28">
        <f>+'COL. CONS.$'!K22/Paramet!$D$10*1000</f>
        <v>249817.0588235294</v>
      </c>
      <c r="L22" s="29">
        <f>+K22/$K$20</f>
        <v>9.072025459578241E-2</v>
      </c>
      <c r="M22" s="28">
        <f>+'COL. CONS.$'!M22/Paramet!$D$8*1000</f>
        <v>190005.40324274197</v>
      </c>
      <c r="N22" s="29">
        <f>+M22/$M$20</f>
        <v>9.9962737060634271E-2</v>
      </c>
      <c r="O22" s="29">
        <f>IF(K22=0,"",(M22-K22)/ABS(K22)+1)</f>
        <v>0.76057817723713439</v>
      </c>
      <c r="P22" s="28">
        <f>+'COL. CONS.$'!P22/Paramet!$D$9*1000</f>
        <v>147853.92859351082</v>
      </c>
      <c r="Q22" s="29">
        <f>+P22/$P$20</f>
        <v>7.9260275239022487E-2</v>
      </c>
      <c r="R22" s="30">
        <f>IF(P22=0,"",(M22-P22)/ABS(P22))</f>
        <v>0.2850886347776162</v>
      </c>
      <c r="T22" s="32">
        <f>+E32/C32</f>
        <v>0.6969483320456471</v>
      </c>
      <c r="U22" s="31"/>
      <c r="AE22" s="30"/>
      <c r="AF22" s="78"/>
      <c r="AG22" s="33"/>
    </row>
    <row r="23" spans="2:33" x14ac:dyDescent="0.2">
      <c r="J23" s="30"/>
      <c r="R23" s="30"/>
      <c r="T23" s="32">
        <f>+E33/C33</f>
        <v>0.69606033979954907</v>
      </c>
      <c r="U23" s="84">
        <v>2101</v>
      </c>
      <c r="V23" s="18" t="s">
        <v>41</v>
      </c>
      <c r="W23" s="28">
        <f>'COLOMB$ '!U23/Paramet!$D$10*1000</f>
        <v>0</v>
      </c>
      <c r="X23" s="28">
        <f>'COLOMB$ '!V23/Paramet!$D$8*1000</f>
        <v>3888.8866079912509</v>
      </c>
      <c r="Y23" s="28">
        <f>'COLOMB$ '!W23/Paramet!$D$9*1000</f>
        <v>26322.201806042412</v>
      </c>
      <c r="Z23" s="28">
        <f>'COLOMB$ '!X23/Paramet!$D$10*1000</f>
        <v>124936.76470588235</v>
      </c>
      <c r="AA23" s="28">
        <f>'COLOMB$ '!Y23/Paramet!$D$8*1000</f>
        <v>172448.95049807566</v>
      </c>
      <c r="AB23" s="31">
        <f>+AA23-Z23</f>
        <v>47512.185792193311</v>
      </c>
      <c r="AC23" s="32">
        <f>IF(Z23=0,"",(AA23-Z23)/ABS(Z23)+1)</f>
        <v>1.380289868270907</v>
      </c>
      <c r="AD23" s="28">
        <f>'COLOMB$ '!AB23/Paramet!$D$9*1000</f>
        <v>122231.8720113289</v>
      </c>
      <c r="AE23" s="30">
        <f>IF(AD23=0,"",(AA23-AD23)/ABS(AD23))</f>
        <v>0.4108345692528742</v>
      </c>
      <c r="AF23" s="78"/>
    </row>
    <row r="24" spans="2:33" x14ac:dyDescent="0.2">
      <c r="B24" s="18" t="s">
        <v>42</v>
      </c>
      <c r="C24" s="28">
        <f>C20-C22</f>
        <v>232914.41176470584</v>
      </c>
      <c r="D24" s="29">
        <f>+C24/$C$20</f>
        <v>0.90100544192455023</v>
      </c>
      <c r="E24" s="28">
        <f>E20-E22</f>
        <v>157775.2726223669</v>
      </c>
      <c r="F24" s="29">
        <f>+E24/$E$20</f>
        <v>0.86087335386557251</v>
      </c>
      <c r="G24" s="29">
        <f>IF(C24=0,"",(E24-C24)/ABS(C24)+1)</f>
        <v>0.67739592164762308</v>
      </c>
      <c r="H24" s="28">
        <f>+'COL. CONS.$'!H24/Paramet!$D$9*1000</f>
        <v>216706.77482311058</v>
      </c>
      <c r="I24" s="29">
        <f>+H24/$H$20</f>
        <v>0.88192447175087452</v>
      </c>
      <c r="J24" s="30">
        <f>IF(H24=0,"",(E24-H24)/ABS(H24))</f>
        <v>-0.27194120833945873</v>
      </c>
      <c r="K24" s="28">
        <f>K20-K22</f>
        <v>2503890.5882352944</v>
      </c>
      <c r="L24" s="29">
        <f>+K24/$K$20</f>
        <v>0.90927974540421763</v>
      </c>
      <c r="M24" s="28">
        <f>M20-M22</f>
        <v>1710756.90909261</v>
      </c>
      <c r="N24" s="29">
        <f>+M24/$M$20</f>
        <v>0.9000372629393657</v>
      </c>
      <c r="O24" s="29">
        <f>IF(K24=0,"",(M24-K24)/ABS(K24)+1)</f>
        <v>0.68323948224044662</v>
      </c>
      <c r="P24" s="28">
        <f>P20-P22</f>
        <v>1717568.9222309762</v>
      </c>
      <c r="Q24" s="29">
        <f>+P24/$P$20</f>
        <v>0.92073972476097754</v>
      </c>
      <c r="R24" s="30">
        <f>IF(P24=0,"",(M24-P24)/ABS(P24))</f>
        <v>-3.9660784788292155E-3</v>
      </c>
      <c r="T24" s="32">
        <f>+E34/C34</f>
        <v>0.71575308560112316</v>
      </c>
      <c r="U24" s="31" t="s">
        <v>101</v>
      </c>
      <c r="AE24" s="30"/>
      <c r="AF24" s="78"/>
    </row>
    <row r="25" spans="2:33" x14ac:dyDescent="0.2">
      <c r="J25" s="30"/>
      <c r="R25" s="30"/>
      <c r="T25" s="32">
        <f>+E36/C36</f>
        <v>0.34828818819660445</v>
      </c>
      <c r="U25" s="84" t="s">
        <v>102</v>
      </c>
      <c r="V25" s="18" t="s">
        <v>43</v>
      </c>
      <c r="W25" s="28">
        <f>'COLOMB$ '!U25/Paramet!$D$10*1000</f>
        <v>91437.058823529413</v>
      </c>
      <c r="X25" s="28">
        <f>'COLOMB$ '!V25/Paramet!$D$8*1000</f>
        <v>51084.509282650419</v>
      </c>
      <c r="Y25" s="28">
        <f>'COLOMB$ '!W25/Paramet!$D$9*1000</f>
        <v>61429.694872574779</v>
      </c>
      <c r="Z25" s="28">
        <f>'COLOMB$ '!X25/Paramet!$D$10*1000</f>
        <v>593756.76470588229</v>
      </c>
      <c r="AA25" s="28">
        <f>'COLOMB$ '!Y25/Paramet!$D$8*1000</f>
        <v>395579.13524246751</v>
      </c>
      <c r="AB25" s="31">
        <f>+AA25-Z25</f>
        <v>-198177.62946341478</v>
      </c>
      <c r="AC25" s="32">
        <f>IF(Z25=0,"",(AA25-Z25)/ABS(Z25)+1)</f>
        <v>0.66623095307119207</v>
      </c>
      <c r="AD25" s="28">
        <f>'COLOMB$ '!AB25/Paramet!$D$9*1000</f>
        <v>429657.14833282633</v>
      </c>
      <c r="AE25" s="30">
        <f>IF(AD25=0,"",(AA25-AD25)/ABS(AD25))</f>
        <v>-7.9314432967285076E-2</v>
      </c>
    </row>
    <row r="26" spans="2:33" x14ac:dyDescent="0.2">
      <c r="B26" s="18" t="s">
        <v>44</v>
      </c>
      <c r="C26" s="28">
        <f>+'COL. CONS.$'!C26/Paramet!$D$10*1000</f>
        <v>64062.941176470587</v>
      </c>
      <c r="D26" s="29">
        <f>+C26/$C$20</f>
        <v>0.24782089776395272</v>
      </c>
      <c r="E26" s="28">
        <f>+'COL. CONS.$'!E26/Paramet!$D$8*1000</f>
        <v>44679.096477603744</v>
      </c>
      <c r="F26" s="29">
        <f>+E26/$E$20</f>
        <v>0.24378372474385784</v>
      </c>
      <c r="G26" s="29">
        <f>IF(C26=0,"",(E26-C26)/ABS(C26)+1)</f>
        <v>0.69742499574799011</v>
      </c>
      <c r="H26" s="28">
        <f>+'COL. CONS.$'!H26/Paramet!$D$9*1000</f>
        <v>59693.885486838626</v>
      </c>
      <c r="I26" s="29">
        <f>+H26/$H$20</f>
        <v>0.24293425282947359</v>
      </c>
      <c r="J26" s="30">
        <f>IF(H26=0,"",(E26-H26)/ABS(H26))</f>
        <v>-0.25152976534833471</v>
      </c>
      <c r="K26" s="28">
        <f>+'COL. CONS.$'!K26/Paramet!$D$10*1000</f>
        <v>647023.5294117647</v>
      </c>
      <c r="L26" s="29">
        <f>+K26/$K$20</f>
        <v>0.2349644959960934</v>
      </c>
      <c r="M26" s="28">
        <f>+'COL. CONS.$'!M26/Paramet!$D$8*1000</f>
        <v>450068.0799769623</v>
      </c>
      <c r="N26" s="29">
        <f>+M26/$M$20</f>
        <v>0.23678293548654739</v>
      </c>
      <c r="O26" s="29">
        <f>IF(K26=0,"",(M26-K26)/ABS(K26)+1)</f>
        <v>0.69559770165721391</v>
      </c>
      <c r="P26" s="28">
        <f>+'COL. CONS.$'!P26/Paramet!$D$9*1000</f>
        <v>464878.35514014034</v>
      </c>
      <c r="Q26" s="29">
        <f>+P26/$P$20</f>
        <v>0.24920803073398162</v>
      </c>
      <c r="R26" s="30">
        <f>IF(P26=0,"",(M26-P26)/ABS(P26))</f>
        <v>-3.1858388327659172E-2</v>
      </c>
      <c r="T26" s="32">
        <f>+E38/C38</f>
        <v>0.14046610712421848</v>
      </c>
      <c r="U26" s="84" t="s">
        <v>103</v>
      </c>
      <c r="AE26" s="30"/>
    </row>
    <row r="27" spans="2:33" x14ac:dyDescent="0.2">
      <c r="B27" s="18" t="s">
        <v>45</v>
      </c>
      <c r="C27" s="28">
        <f>+'COL. CONS.$'!C27/Paramet!$D$10*1000</f>
        <v>78128.23529411765</v>
      </c>
      <c r="D27" s="29">
        <f>+C27/$C$20</f>
        <v>0.3022310411563322</v>
      </c>
      <c r="E27" s="28">
        <f>+'COL. CONS.$'!E27/Paramet!$D$8*1000</f>
        <v>58402.489451108333</v>
      </c>
      <c r="F27" s="29">
        <f>+E27/$E$20</f>
        <v>0.31866303339061286</v>
      </c>
      <c r="G27" s="29">
        <f>IF(C27=0,"",(E27-C27)/ABS(C27)+1)</f>
        <v>0.74752090881419808</v>
      </c>
      <c r="H27" s="28">
        <f>+'COL. CONS.$'!H27/Paramet!$D$9*1000</f>
        <v>75135.833626694715</v>
      </c>
      <c r="I27" s="29">
        <f>+H27/$H$20</f>
        <v>0.30577784397775842</v>
      </c>
      <c r="J27" s="30">
        <f>IF(H27=0,"",(E27-H27)/ABS(H27))</f>
        <v>-0.22270790604020474</v>
      </c>
      <c r="K27" s="28">
        <f>+'COL. CONS.$'!K27/Paramet!$D$10*1000</f>
        <v>909626.4705882353</v>
      </c>
      <c r="L27" s="29">
        <f>+K27/$K$20</f>
        <v>0.33032790229557879</v>
      </c>
      <c r="M27" s="28">
        <f>+'COL. CONS.$'!M27/Paramet!$D$8*1000</f>
        <v>652595.94413360185</v>
      </c>
      <c r="N27" s="29">
        <f>+M27/$M$20</f>
        <v>0.34333379818110799</v>
      </c>
      <c r="O27" s="29">
        <f>IF(K27=0,"",(M27-K27)/ABS(K27)+1)</f>
        <v>0.71743288617313716</v>
      </c>
      <c r="P27" s="28">
        <f>+'COL. CONS.$'!P27/Paramet!$D$9*1000</f>
        <v>809161.64735301607</v>
      </c>
      <c r="Q27" s="29">
        <f>+P27/$P$20</f>
        <v>0.43376848685829039</v>
      </c>
      <c r="R27" s="30">
        <f>IF(P27=0,"",(M27-P27)/ABS(P27))</f>
        <v>-0.19349125571087367</v>
      </c>
      <c r="T27" s="32">
        <f>+E39/C39</f>
        <v>1.0647089494786077</v>
      </c>
      <c r="U27" s="31"/>
      <c r="V27" s="18" t="s">
        <v>46</v>
      </c>
      <c r="W27" s="28">
        <f>'COLOMB$ '!U27/Paramet!$D$10*1000</f>
        <v>23708.823529411762</v>
      </c>
      <c r="X27" s="28">
        <f>'COLOMB$ '!V27/Paramet!$D$8*1000</f>
        <v>-513.54417185950331</v>
      </c>
      <c r="Y27" s="28">
        <f>'COLOMB$ '!W27/Paramet!$D$9*1000</f>
        <v>14019.25244204658</v>
      </c>
      <c r="Z27" s="28">
        <f>'COLOMB$ '!X27/Paramet!$D$10*1000</f>
        <v>43001.470588235294</v>
      </c>
      <c r="AA27" s="28">
        <f>'COLOMB$ '!Y27/Paramet!$D$8*1000</f>
        <v>-5736.508565321622</v>
      </c>
      <c r="AB27" s="31">
        <f>+AA27-Z27</f>
        <v>-48737.979153556917</v>
      </c>
      <c r="AC27" s="32">
        <f>IF(Z27=0,"",(AA27-Z27)/ABS(Z27)+1)</f>
        <v>-0.13340261360482564</v>
      </c>
      <c r="AD27" s="28">
        <f>'COLOMB$ '!AB27/Paramet!$D$9*1000</f>
        <v>48881.738507796108</v>
      </c>
      <c r="AE27" s="30">
        <f>IF(AD27=0,"",(AA27-AD27)/ABS(AD27))</f>
        <v>-1.1173548392597925</v>
      </c>
    </row>
    <row r="28" spans="2:33" x14ac:dyDescent="0.2">
      <c r="B28" s="18" t="s">
        <v>47</v>
      </c>
      <c r="C28" s="28">
        <f>SUM(C26:C27)</f>
        <v>142191.17647058825</v>
      </c>
      <c r="D28" s="29">
        <f>+C28/$C$20</f>
        <v>0.55005193892028503</v>
      </c>
      <c r="E28" s="28">
        <f>SUM(E26:E27)</f>
        <v>103081.58592871207</v>
      </c>
      <c r="F28" s="29">
        <f>+E28/$E$20</f>
        <v>0.56244675813447065</v>
      </c>
      <c r="G28" s="29">
        <f>IF(C28=0,"",(E28-C28)/ABS(C28)+1)</f>
        <v>0.72495065085866384</v>
      </c>
      <c r="H28" s="28">
        <f>+'COL. CONS.$'!H28/Paramet!$D$9*1000</f>
        <v>134829.71911353333</v>
      </c>
      <c r="I28" s="29">
        <f>+H28/$H$20</f>
        <v>0.54871209680723199</v>
      </c>
      <c r="J28" s="30">
        <f>IF(H28=0,"",(E28-H28)/ABS(H28))</f>
        <v>-0.23546836256543524</v>
      </c>
      <c r="K28" s="28">
        <f>SUM(K26:K27)</f>
        <v>1556650</v>
      </c>
      <c r="L28" s="29">
        <f>+K28/$K$20</f>
        <v>0.56529239829167222</v>
      </c>
      <c r="M28" s="28">
        <f>SUM(M26:M27)</f>
        <v>1102664.024110564</v>
      </c>
      <c r="N28" s="29">
        <f>+M28/$M$20</f>
        <v>0.58011673366765526</v>
      </c>
      <c r="O28" s="29">
        <f>IF(K28=0,"",(M28-K28)/ABS(K28)+1)</f>
        <v>0.70835706427942313</v>
      </c>
      <c r="P28" s="28">
        <f>SUM(P26:P27)</f>
        <v>1274040.0024931564</v>
      </c>
      <c r="Q28" s="29">
        <f>+P28/$P$20</f>
        <v>0.68297651759227196</v>
      </c>
      <c r="R28" s="30">
        <f>IF(P28=0,"",(M28-P28)/ABS(P28))</f>
        <v>-0.13451381279020153</v>
      </c>
      <c r="T28" s="32">
        <f>+E41/C41</f>
        <v>0.19731106694192072</v>
      </c>
      <c r="U28" s="16"/>
      <c r="V28" s="18" t="s">
        <v>48</v>
      </c>
      <c r="W28" s="28">
        <f>'COLOMB$ '!U28/Paramet!$D$10*1000</f>
        <v>22794.117647058822</v>
      </c>
      <c r="X28" s="28">
        <f>'COLOMB$ '!V28/Paramet!$D$8*1000</f>
        <v>18191.138806240135</v>
      </c>
      <c r="Y28" s="28">
        <f>'COLOMB$ '!W28/Paramet!$D$9*1000</f>
        <v>0</v>
      </c>
      <c r="Z28" s="28">
        <f>'COLOMB$ '!X28/Paramet!$D$10*1000</f>
        <v>182352.94117647057</v>
      </c>
      <c r="AA28" s="28">
        <f>'COLOMB$ '!Y28/Paramet!$D$8*1000</f>
        <v>118943.94730440315</v>
      </c>
      <c r="AB28" s="31">
        <f>+AA28-Z28</f>
        <v>-63408.993872067425</v>
      </c>
      <c r="AC28" s="32">
        <f>IF(Z28=0,"",(AA28-Z28)/ABS(Z28)+1)</f>
        <v>0.65227325941124314</v>
      </c>
      <c r="AD28" s="28">
        <f>'COLOMB$ '!AB28/Paramet!$D$9*1000</f>
        <v>0</v>
      </c>
      <c r="AE28" s="30" t="str">
        <f>IF(AD28=0,"",(AA28-AD28)/ABS(AD28))</f>
        <v/>
      </c>
    </row>
    <row r="29" spans="2:33" x14ac:dyDescent="0.2">
      <c r="J29" s="30"/>
      <c r="R29" s="30"/>
      <c r="T29" s="23">
        <f>+E42/C42</f>
        <v>0.47073027889873187</v>
      </c>
      <c r="U29" s="23"/>
      <c r="AE29" s="2"/>
    </row>
    <row r="30" spans="2:33" x14ac:dyDescent="0.2">
      <c r="B30" s="18" t="s">
        <v>49</v>
      </c>
      <c r="C30" s="28">
        <f>+'COL. CONS.$'!C30/Paramet!$D$10*1000</f>
        <v>16862.941176470587</v>
      </c>
      <c r="D30" s="29">
        <f>+C30/$C$20</f>
        <v>6.5232553244504318E-2</v>
      </c>
      <c r="E30" s="28">
        <f>+'COL. CONS.$'!E30/Paramet!$D$8*1000</f>
        <v>11693.626377739103</v>
      </c>
      <c r="F30" s="29">
        <f>+E30/$E$20</f>
        <v>6.3804239988542316E-2</v>
      </c>
      <c r="G30" s="29">
        <f>IF(C30=0,"",(E30-C30)/ABS(C30)+1)</f>
        <v>0.69345117529411793</v>
      </c>
      <c r="H30" s="28">
        <f>+'COL. CONS.$'!H30/Paramet!$D$9*1000</f>
        <v>10891.560047669149</v>
      </c>
      <c r="I30" s="29">
        <f>+H30/$H$20</f>
        <v>4.4325025599334267E-2</v>
      </c>
      <c r="J30" s="30">
        <f>IF(H30=0,"",(E30-H30)/ABS(H30))</f>
        <v>7.3641087829433655E-2</v>
      </c>
      <c r="K30" s="28">
        <f>+'COL. CONS.$'!K30/Paramet!$D$10*1000</f>
        <v>175089.41176470587</v>
      </c>
      <c r="L30" s="29">
        <f>+K30/$K$20</f>
        <v>6.3583151955769579E-2</v>
      </c>
      <c r="M30" s="28">
        <f>+'COL. CONS.$'!M30/Paramet!$D$8*1000</f>
        <v>117298.11183051909</v>
      </c>
      <c r="N30" s="29">
        <f>+M30/$M$20</f>
        <v>6.171108879279176E-2</v>
      </c>
      <c r="O30" s="29">
        <f>IF(K30=0,"",(M30-K30)/ABS(K30)+1)</f>
        <v>0.66993263983404261</v>
      </c>
      <c r="P30" s="28">
        <f>+'COL. CONS.$'!P30/Paramet!$D$9*1000</f>
        <v>112093.2403502386</v>
      </c>
      <c r="Q30" s="29">
        <f>+P30/$P$20</f>
        <v>6.0089989945547838E-2</v>
      </c>
      <c r="R30" s="30">
        <f>IF(P30=0,"",(M30-P30)/ABS(P30))</f>
        <v>4.6433410828500603E-2</v>
      </c>
      <c r="T30" s="32">
        <f>+E43/C43</f>
        <v>-0.19539094706558227</v>
      </c>
      <c r="U30" s="16"/>
      <c r="V30" s="35" t="s">
        <v>50</v>
      </c>
      <c r="W30" s="36">
        <f>+W21-W23-W25-W27-W28</f>
        <v>13879.117647058829</v>
      </c>
      <c r="X30" s="36">
        <f>+X21-X23-X25-X27-X28</f>
        <v>15959.435135803902</v>
      </c>
      <c r="Y30" s="36">
        <f>+Y21-Y23-Y25-Y27-Y28</f>
        <v>110354.66612897595</v>
      </c>
      <c r="Z30" s="36">
        <f>'COLOMB$ '!X30/Paramet!$D$10*1000</f>
        <v>13879.117647058823</v>
      </c>
      <c r="AA30" s="36">
        <f>+'COL. CONS.$'!Y30/Paramet!D8*1000</f>
        <v>15959.435135803826</v>
      </c>
      <c r="AB30" s="40">
        <f>+AA30-Z30</f>
        <v>2080.3174887450023</v>
      </c>
      <c r="AC30" s="41">
        <f>IF(W30=0,"",(X30-W30)/ABS(W30)+1)</f>
        <v>1.149888310024227</v>
      </c>
      <c r="AD30" s="36">
        <f>+AD21-AD23-AD25-AD27-AD28</f>
        <v>110354.77943544948</v>
      </c>
      <c r="AE30" s="30">
        <f>IF(AD30=0,"",(AA30-AD30)/ABS(AD30))</f>
        <v>-0.85538066210227826</v>
      </c>
    </row>
    <row r="31" spans="2:33" x14ac:dyDescent="0.2">
      <c r="J31" s="30"/>
      <c r="R31" s="30"/>
      <c r="T31" s="32">
        <f>+E45/C45</f>
        <v>0.57478024359102253</v>
      </c>
      <c r="U31" s="16"/>
      <c r="W31" s="78"/>
      <c r="X31" s="78"/>
      <c r="Y31" s="78"/>
      <c r="Z31" s="78"/>
      <c r="AA31" s="78"/>
      <c r="AB31" s="78"/>
    </row>
    <row r="32" spans="2:33" x14ac:dyDescent="0.2">
      <c r="B32" s="18" t="s">
        <v>51</v>
      </c>
      <c r="C32" s="28">
        <f>+'COL. CONS.$'!C31/Paramet!$D$10*1000</f>
        <v>49547.941176470587</v>
      </c>
      <c r="D32" s="29">
        <f>+C32/$C$20</f>
        <v>0.19167111342709267</v>
      </c>
      <c r="E32" s="28">
        <f>+'COL. CONS.$'!E31/Paramet!$D$8*1000</f>
        <v>34532.354959237011</v>
      </c>
      <c r="F32" s="29">
        <f>+E32/$E$20</f>
        <v>0.18841979314330423</v>
      </c>
      <c r="G32" s="29">
        <f>IF(C32=0,"",(E32-C32)/ABS(C32)+1)</f>
        <v>0.6969483320456471</v>
      </c>
      <c r="H32" s="28">
        <f>+'COL. CONS.$'!H31/Paramet!$D$9*1000</f>
        <v>44451.161798363486</v>
      </c>
      <c r="I32" s="29">
        <f>+H32/$H$20</f>
        <v>0.1809014389131762</v>
      </c>
      <c r="J32" s="30">
        <f>IF(H32=0,"",(E32-H32)/ABS(H32))</f>
        <v>-0.22313942848377127</v>
      </c>
      <c r="K32" s="28">
        <f>+'COL. CONS.$'!K31/Paramet!$D$10*1000</f>
        <v>559137.9411764706</v>
      </c>
      <c r="L32" s="29">
        <f>+K32/$K$20</f>
        <v>0.2030491296974368</v>
      </c>
      <c r="M32" s="28">
        <f>+'COL. CONS.$'!M31/Paramet!$D$8*1000</f>
        <v>388802.14498150529</v>
      </c>
      <c r="N32" s="29">
        <f>+M32/$M$20</f>
        <v>0.20455063868759454</v>
      </c>
      <c r="O32" s="29">
        <f>IF(K32=0,"",(M32-K32)/ABS(K32)+1)</f>
        <v>0.69535997532815375</v>
      </c>
      <c r="P32" s="28">
        <f>+'COL. CONS.$'!P31/Paramet!$D$9*1000</f>
        <v>422125.3655615336</v>
      </c>
      <c r="Q32" s="29">
        <f>+P32/$P$20</f>
        <v>0.22628937207183936</v>
      </c>
      <c r="R32" s="30">
        <f>IF(P32=0,"",(M32-P32)/ABS(P32))</f>
        <v>-7.8941526140463014E-2</v>
      </c>
      <c r="T32" s="32">
        <f>+E46/C46</f>
        <v>0.67274844844743364</v>
      </c>
      <c r="U32" s="16"/>
    </row>
    <row r="33" spans="2:27" x14ac:dyDescent="0.2">
      <c r="B33" s="18" t="s">
        <v>52</v>
      </c>
      <c r="C33" s="28">
        <f>SUM(C30:C32)</f>
        <v>66410.882352941175</v>
      </c>
      <c r="D33" s="29">
        <f>+C33/$C$20</f>
        <v>0.25690366667159698</v>
      </c>
      <c r="E33" s="28">
        <f>SUM(E30:E32)</f>
        <v>46225.98133697611</v>
      </c>
      <c r="F33" s="29">
        <f>+E33/$E$20</f>
        <v>0.25222403313184655</v>
      </c>
      <c r="G33" s="29">
        <f>IF(C33=0,"",(E33-C33)/ABS(C33)+1)</f>
        <v>0.69606033979954907</v>
      </c>
      <c r="H33" s="28">
        <f>SUM(H30:H32)</f>
        <v>55342.721846032633</v>
      </c>
      <c r="I33" s="29">
        <f>+H33/$H$20</f>
        <v>0.22522646451251047</v>
      </c>
      <c r="J33" s="30">
        <f>IF(H33=0,"",(E33-H33)/ABS(H33))</f>
        <v>-0.16473242018019893</v>
      </c>
      <c r="K33" s="28">
        <f>SUM(K30:K32)</f>
        <v>734227.3529411765</v>
      </c>
      <c r="L33" s="29">
        <f>+K33/$K$20</f>
        <v>0.2666322816532064</v>
      </c>
      <c r="M33" s="28">
        <f>SUM(M30:M32)</f>
        <v>506100.2568120244</v>
      </c>
      <c r="N33" s="29">
        <f>+M33/$M$20</f>
        <v>0.26626172748038629</v>
      </c>
      <c r="O33" s="29">
        <f>IF(K33=0,"",(M33-K33)/ABS(K33)+1)</f>
        <v>0.68929638045311448</v>
      </c>
      <c r="P33" s="28">
        <f>SUM(P30:P32)</f>
        <v>534218.60591177223</v>
      </c>
      <c r="Q33" s="29">
        <f>+P33/$P$20</f>
        <v>0.28637936201738723</v>
      </c>
      <c r="R33" s="30">
        <f>IF(P33=0,"",(M33-P33)/ABS(P33))</f>
        <v>-5.2634537226117627E-2</v>
      </c>
    </row>
    <row r="34" spans="2:27" x14ac:dyDescent="0.2">
      <c r="B34" s="18" t="s">
        <v>53</v>
      </c>
      <c r="C34" s="28">
        <f>+C28+C33</f>
        <v>208602.05882352943</v>
      </c>
      <c r="D34" s="29">
        <f>+C34/$C$20</f>
        <v>0.80695560559188195</v>
      </c>
      <c r="E34" s="28">
        <f>+E28+E33</f>
        <v>149307.56726568818</v>
      </c>
      <c r="F34" s="29">
        <f>+E34/$E$20</f>
        <v>0.81467079126631725</v>
      </c>
      <c r="G34" s="29">
        <f>IF(C34=0,"",(E34-C34)/ABS(C34)+1)</f>
        <v>0.71575308560112316</v>
      </c>
      <c r="H34" s="28">
        <f>+H28+H33</f>
        <v>190172.44095956595</v>
      </c>
      <c r="I34" s="29">
        <f>+H34/$H$20</f>
        <v>0.77393856131974237</v>
      </c>
      <c r="J34" s="30">
        <f>IF(H34=0,"",(E34-H34)/ABS(H34))</f>
        <v>-0.21488325799302524</v>
      </c>
      <c r="K34" s="28">
        <f>+K28+K33</f>
        <v>2290877.3529411764</v>
      </c>
      <c r="L34" s="29">
        <f>+K34/$K$20</f>
        <v>0.83192467994487851</v>
      </c>
      <c r="M34" s="28">
        <f>+M28+M33</f>
        <v>1608764.2809225884</v>
      </c>
      <c r="N34" s="29">
        <f>+M34/$M$20</f>
        <v>0.84637846114804161</v>
      </c>
      <c r="O34" s="29">
        <f>IF(K34=0,"",(M34-K34)/ABS(K34)+1)</f>
        <v>0.70224810545058336</v>
      </c>
      <c r="P34" s="28">
        <f>+P28+P33</f>
        <v>1808258.6084049286</v>
      </c>
      <c r="Q34" s="29">
        <f>+P34/$P$20</f>
        <v>0.96935587960965919</v>
      </c>
      <c r="R34" s="30">
        <f>IF(P34=0,"",(M34-P34)/ABS(P34))</f>
        <v>-0.11032400263716417</v>
      </c>
    </row>
    <row r="35" spans="2:27" x14ac:dyDescent="0.2">
      <c r="J35" s="30"/>
      <c r="R35" s="30"/>
    </row>
    <row r="36" spans="2:27" x14ac:dyDescent="0.2">
      <c r="B36" s="18" t="s">
        <v>54</v>
      </c>
      <c r="C36" s="28">
        <f>C24-C34</f>
        <v>24312.352941176418</v>
      </c>
      <c r="D36" s="29">
        <f>+C36/$C$20</f>
        <v>9.4049836332668307E-2</v>
      </c>
      <c r="E36" s="28">
        <f>E24-E34</f>
        <v>8467.7053566787217</v>
      </c>
      <c r="F36" s="29">
        <f>+E36/$E$20</f>
        <v>4.6202562599255349E-2</v>
      </c>
      <c r="G36" s="29">
        <f>IF(C36=0,"",(E36-C36)/ABS(C36)+1)</f>
        <v>0.34828818819660445</v>
      </c>
      <c r="H36" s="28">
        <f>H24-H34</f>
        <v>26534.333863544627</v>
      </c>
      <c r="I36" s="29">
        <f>+H36/$H$20</f>
        <v>0.10798591043113212</v>
      </c>
      <c r="J36" s="30">
        <f>IF(H36=0,"",(E36-H36)/ABS(H36))</f>
        <v>-0.68087740961485166</v>
      </c>
      <c r="K36" s="28">
        <f>K24-K34</f>
        <v>213013.23529411806</v>
      </c>
      <c r="L36" s="29">
        <f>+K36/$K$20</f>
        <v>7.7355065459339137E-2</v>
      </c>
      <c r="M36" s="28">
        <f>M24-M34</f>
        <v>101992.62817002158</v>
      </c>
      <c r="N36" s="29">
        <f>+M36/$M$20</f>
        <v>5.365880179132413E-2</v>
      </c>
      <c r="O36" s="29">
        <f>IF(K36=0,"",(M36-K36)/ABS(K36)+1)</f>
        <v>0.47880887790467686</v>
      </c>
      <c r="P36" s="28">
        <f>P24-P34</f>
        <v>-90689.686173952417</v>
      </c>
      <c r="Q36" s="29">
        <f>+P36/$P$20</f>
        <v>-4.8616154848681647E-2</v>
      </c>
      <c r="R36" s="30">
        <f>IF(P36=0,"",(M36-P36)/ABS(P36))</f>
        <v>2.1246331581122568</v>
      </c>
      <c r="Z36" s="33"/>
      <c r="AA36" s="33"/>
    </row>
    <row r="37" spans="2:27" ht="11.25" customHeight="1" x14ac:dyDescent="0.2">
      <c r="J37" s="30"/>
      <c r="R37" s="30"/>
    </row>
    <row r="38" spans="2:27" x14ac:dyDescent="0.2">
      <c r="B38" s="18" t="s">
        <v>55</v>
      </c>
      <c r="C38" s="28">
        <f>+'COL. CONS.$'!C38/Paramet!$D$10*1000</f>
        <v>188.23529411764704</v>
      </c>
      <c r="D38" s="29">
        <f>+C38/$C$20</f>
        <v>7.2816887146340324E-4</v>
      </c>
      <c r="E38" s="28">
        <f>+'COL. CONS.$'!E38/Paramet!$D$8*1000</f>
        <v>26.440678988088184</v>
      </c>
      <c r="F38" s="29">
        <f>+E38/$E$20</f>
        <v>1.4426896953262876E-4</v>
      </c>
      <c r="G38" s="29">
        <f>IF(C38=0,"",(E38-C38)/ABS(C38)+1)</f>
        <v>0.14046610712421859</v>
      </c>
      <c r="H38" s="28">
        <f>+'COL. CONS.$'!H38/Paramet!$D$9*1000</f>
        <v>1559.2620805887836</v>
      </c>
      <c r="I38" s="29">
        <f>+H38/$H$20</f>
        <v>6.345677876784959E-3</v>
      </c>
      <c r="J38" s="30">
        <f>IF(H38=0,"",(E38-H38)/ABS(H38))</f>
        <v>-0.98304282563063161</v>
      </c>
      <c r="K38" s="28">
        <f>+'COL. CONS.$'!K38/Paramet!$D$10*1000</f>
        <v>2070.588235294118</v>
      </c>
      <c r="L38" s="29">
        <f>+K38/$K$20</f>
        <v>7.51927401409394E-4</v>
      </c>
      <c r="M38" s="28">
        <f>+'COL. CONS.$'!M38/Paramet!$D$8*1000</f>
        <v>5024.3116388155968</v>
      </c>
      <c r="N38" s="29">
        <f>+M38/$M$20</f>
        <v>2.643314004181053E-3</v>
      </c>
      <c r="O38" s="29">
        <f>IF(K38=0,"",(M38-K38)/ABS(K38)+1)</f>
        <v>2.4265141437461684</v>
      </c>
      <c r="P38" s="28">
        <f>+'COL. CONS.$'!P38/Paramet!$D$9*1000</f>
        <v>54684.032458401678</v>
      </c>
      <c r="Q38" s="29">
        <f>+P38/$P$20</f>
        <v>2.9314550550419288E-2</v>
      </c>
      <c r="R38" s="30">
        <f>IF(P38=0,"",(M38-P38)/ABS(P38))</f>
        <v>-0.90812104716970887</v>
      </c>
    </row>
    <row r="39" spans="2:27" x14ac:dyDescent="0.2">
      <c r="B39" s="18" t="s">
        <v>56</v>
      </c>
      <c r="C39" s="28">
        <f>+'COL. CONS.$'!C39/Paramet!$D$10*1000</f>
        <v>4219.4117647058829</v>
      </c>
      <c r="D39" s="29">
        <f>+C39/$C$20</f>
        <v>1.6322360359396854E-2</v>
      </c>
      <c r="E39" s="28">
        <f>+'COL. CONS.$'!E39/Paramet!$D$8*1000</f>
        <v>4492.4454674176786</v>
      </c>
      <c r="F39" s="29">
        <f>+E39/$E$20</f>
        <v>2.4512247910042806E-2</v>
      </c>
      <c r="G39" s="29">
        <f>IF(C39=0,"",(E39-C39)/ABS(C39)+1)</f>
        <v>1.0647089494786077</v>
      </c>
      <c r="H39" s="28">
        <f>+'COL. CONS.$'!H39/Paramet!$D$9*1000</f>
        <v>3930.1151140120369</v>
      </c>
      <c r="I39" s="29">
        <f>+H39/$H$20</f>
        <v>1.5994260902430987E-2</v>
      </c>
      <c r="J39" s="30">
        <f>IF(H39=0,"",(E39-H39)/ABS(H39))</f>
        <v>0.14308241287914589</v>
      </c>
      <c r="K39" s="28">
        <f>+'COL. CONS.$'!K39/Paramet!$D$10*1000</f>
        <v>48304.117647058825</v>
      </c>
      <c r="L39" s="29">
        <f>+K39/$K$20</f>
        <v>1.7541483642481592E-2</v>
      </c>
      <c r="M39" s="28">
        <f>+'COL. CONS.$'!M39/Paramet!$D$8*1000</f>
        <v>44308.406581959491</v>
      </c>
      <c r="N39" s="29">
        <f>+M39/$M$20</f>
        <v>2.3310861276242597E-2</v>
      </c>
      <c r="O39" s="29">
        <f>IF(K39=0,"",(M39-K39)/ABS(K39)+1)</f>
        <v>0.91728011482800309</v>
      </c>
      <c r="P39" s="28">
        <f>+'COL. CONS.$'!P39/Paramet!$D$9*1000</f>
        <v>70935.67617140949</v>
      </c>
      <c r="Q39" s="29">
        <f>+P39/$P$20</f>
        <v>3.8026593348557437E-2</v>
      </c>
      <c r="R39" s="30">
        <f>IF(P39=0,"",(M39-P39)/ABS(P39))</f>
        <v>-0.37537204163822546</v>
      </c>
    </row>
    <row r="40" spans="2:27" x14ac:dyDescent="0.2">
      <c r="J40" s="30"/>
      <c r="R40" s="30"/>
    </row>
    <row r="41" spans="2:27" x14ac:dyDescent="0.2">
      <c r="B41" s="18" t="s">
        <v>57</v>
      </c>
      <c r="C41" s="28">
        <f>+C36+C38-C39</f>
        <v>20281.17647058818</v>
      </c>
      <c r="D41" s="29">
        <f>+C41/$C$20</f>
        <v>7.8455644844734843E-2</v>
      </c>
      <c r="E41" s="28">
        <f>E36+E38-E39</f>
        <v>4001.7005682491317</v>
      </c>
      <c r="F41" s="29">
        <f>+E41/$E$20</f>
        <v>2.1834583658745178E-2</v>
      </c>
      <c r="G41" s="29">
        <f>IF(C41=0,"",(E41-C41)/ABS(C41)+1)</f>
        <v>0.1973110669419208</v>
      </c>
      <c r="H41" s="28">
        <f>+H36+H38-H39</f>
        <v>24163.480830121374</v>
      </c>
      <c r="I41" s="29">
        <f>+H41/$H$20</f>
        <v>9.8337327405486091E-2</v>
      </c>
      <c r="J41" s="30">
        <f>IF(H41=0,"",(E41-H41)/ABS(H41))</f>
        <v>-0.83439055836439147</v>
      </c>
      <c r="K41" s="28">
        <f>K36+K38-K39</f>
        <v>166779.70588235336</v>
      </c>
      <c r="L41" s="29">
        <f>+K41/$K$20</f>
        <v>6.0565509218266943E-2</v>
      </c>
      <c r="M41" s="28">
        <f>M36+M38-M39</f>
        <v>62708.533226877676</v>
      </c>
      <c r="N41" s="29">
        <f>+M41/$M$20</f>
        <v>3.2991254519262582E-2</v>
      </c>
      <c r="O41" s="29">
        <f>IF(K41=0,"",(M41-K41)/ABS(K41)+1)</f>
        <v>0.37599618547782054</v>
      </c>
      <c r="P41" s="28">
        <f>P36+P38-P39</f>
        <v>-106941.32988696023</v>
      </c>
      <c r="Q41" s="29">
        <f>+P41/$P$20</f>
        <v>-5.7328197646819797E-2</v>
      </c>
      <c r="R41" s="30">
        <f>IF(P41=0,"",(M41-P41)/ABS(P41))</f>
        <v>1.5863825827971489</v>
      </c>
    </row>
    <row r="42" spans="2:27" x14ac:dyDescent="0.2">
      <c r="B42" s="18" t="s">
        <v>43</v>
      </c>
      <c r="C42" s="28">
        <f>+'COL. CONS.$'!C42/Paramet!$D$10*1000</f>
        <v>11956.470588235296</v>
      </c>
      <c r="D42" s="29">
        <f>+C42/$C$20</f>
        <v>4.6252376504266057E-2</v>
      </c>
      <c r="E42" s="28">
        <f>+'COL. CONS.$'!E42/Paramet!$D$8*1000</f>
        <v>5628.2727346444854</v>
      </c>
      <c r="F42" s="29">
        <f>+E42/$E$20</f>
        <v>3.0709691987923556E-2</v>
      </c>
      <c r="G42" s="29">
        <f>IF(C42=0,"",(E42-C42)/ABS(C42)+1)</f>
        <v>0.47073027889873187</v>
      </c>
      <c r="H42" s="28">
        <f>+'COL. CONS.$'!H42/Paramet!$D$9*1000</f>
        <v>10227.288842128359</v>
      </c>
      <c r="I42" s="29">
        <f>+H42/$H$20</f>
        <v>4.162166280634326E-2</v>
      </c>
      <c r="J42" s="30">
        <f>IF(H42=0,"",(E42-H42)/ABS(H42))</f>
        <v>-0.44968086640318172</v>
      </c>
      <c r="K42" s="28">
        <f>+'COL. CONS.$'!K42/Paramet!$D$10*1000</f>
        <v>110532.94117647059</v>
      </c>
      <c r="L42" s="29">
        <f>+K42/$K$20</f>
        <v>4.0139679059441352E-2</v>
      </c>
      <c r="M42" s="28">
        <f>+'COL. CONS.$'!M42/Paramet!$D$8*1000</f>
        <v>67981.912086678261</v>
      </c>
      <c r="N42" s="29">
        <f>+M42/$M$20</f>
        <v>3.5765603960840844E-2</v>
      </c>
      <c r="O42" s="29">
        <f>IF(K42=0,"",(M42-K42)/ABS(K42)+1)</f>
        <v>0.61503757489038691</v>
      </c>
      <c r="P42" s="28">
        <f>+'COL. CONS.$'!P42/Paramet!$D$9*1000</f>
        <v>79519.378306548519</v>
      </c>
      <c r="Q42" s="29">
        <f>+P42/$P$20</f>
        <v>4.2628071309088036E-2</v>
      </c>
      <c r="R42" s="30">
        <f>IF(P42=0,"",(M42-P42)/ABS(P42))</f>
        <v>-0.14508999523855851</v>
      </c>
    </row>
    <row r="43" spans="2:27" x14ac:dyDescent="0.2">
      <c r="B43" s="35" t="s">
        <v>58</v>
      </c>
      <c r="C43" s="36">
        <f>C41-C42</f>
        <v>8324.7058823528841</v>
      </c>
      <c r="D43" s="37">
        <f>+C43/$C$20</f>
        <v>3.2203268340468792E-2</v>
      </c>
      <c r="E43" s="36">
        <f>E41-E42</f>
        <v>-1626.5721663953536</v>
      </c>
      <c r="F43" s="37">
        <f>+E43/$E$20</f>
        <v>-8.8751083291783803E-3</v>
      </c>
      <c r="G43" s="37">
        <f>IF(C43=0,"",(E43-C43)/ABS(C43)+1)</f>
        <v>-0.19539094706558235</v>
      </c>
      <c r="H43" s="36">
        <f>H41-H42</f>
        <v>13936.191987993016</v>
      </c>
      <c r="I43" s="37">
        <f>+H43/$H$20</f>
        <v>5.6715664599142832E-2</v>
      </c>
      <c r="J43" s="38">
        <f>IF(H43=0,"",(E43-H43)/ABS(H43))</f>
        <v>-1.1167156830070049</v>
      </c>
      <c r="K43" s="36">
        <f>K41-K42</f>
        <v>56246.764705882772</v>
      </c>
      <c r="L43" s="37">
        <f>+K43/$K$20</f>
        <v>2.0425830158825591E-2</v>
      </c>
      <c r="M43" s="36">
        <f>M41-M42</f>
        <v>-5273.3788598005849</v>
      </c>
      <c r="N43" s="37">
        <f>+M43/$M$20</f>
        <v>-2.7743494415782594E-3</v>
      </c>
      <c r="O43" s="37">
        <f>IF(K43=0,"",(M43-K43)/ABS(K43)+1)</f>
        <v>-9.3754349914619173E-2</v>
      </c>
      <c r="P43" s="36">
        <f>P41-P42</f>
        <v>-186460.70819350873</v>
      </c>
      <c r="Q43" s="37">
        <f>+P43/$P$20</f>
        <v>-9.9956268955907826E-2</v>
      </c>
      <c r="R43" s="38">
        <f>IF(P43=0,"",(M43-P43)/ABS(P43))</f>
        <v>0.97171855180165967</v>
      </c>
    </row>
    <row r="44" spans="2:27" x14ac:dyDescent="0.2">
      <c r="J44" s="30"/>
      <c r="R44" s="30"/>
    </row>
    <row r="45" spans="2:27" x14ac:dyDescent="0.2">
      <c r="B45" s="18" t="s">
        <v>59</v>
      </c>
      <c r="C45" s="28">
        <f>+'COL. CONS.$'!C45/Paramet!$D$10*1000</f>
        <v>49316.764705882357</v>
      </c>
      <c r="D45" s="29">
        <f>+C45/$C$20</f>
        <v>0.19077683103182672</v>
      </c>
      <c r="E45" s="28">
        <f>+'COL. CONS.$'!E45/Paramet!$D$8*1000</f>
        <v>28346.302030768202</v>
      </c>
      <c r="F45" s="29">
        <f>+E45/$E$20</f>
        <v>0.15466667046946683</v>
      </c>
      <c r="G45" s="29">
        <f>IF(C45=0,"",(E45-C45)/ABS(C45)+1)</f>
        <v>0.57478024359102253</v>
      </c>
      <c r="H45" s="28">
        <f>+'COL. CONS.$'!H45/Paramet!$D$9*1000</f>
        <v>22544.621867972422</v>
      </c>
      <c r="I45" s="29">
        <f>+H45/$H$20</f>
        <v>9.1749110049578461E-2</v>
      </c>
      <c r="J45" s="30">
        <f>IF(H45=0,"",(E45-H45)/ABS(H45))</f>
        <v>0.25734209235231498</v>
      </c>
      <c r="K45" s="28">
        <f>+'COL. CONS.$'!K45/Paramet!$D$10*1000</f>
        <v>486693.5294117647</v>
      </c>
      <c r="L45" s="29">
        <f>+K45/$K$20</f>
        <v>0.17674117654849514</v>
      </c>
      <c r="M45" s="28">
        <f>+'COL. CONS.$'!M45/Paramet!$D$8*1000</f>
        <v>319421.80085497291</v>
      </c>
      <c r="N45" s="29">
        <f>+M45/$M$20</f>
        <v>0.16804931304773116</v>
      </c>
      <c r="O45" s="29">
        <f>IF(K45=0,"",(M45-K45)/ABS(K45)+1)</f>
        <v>0.65630993952403194</v>
      </c>
      <c r="P45" s="28">
        <f>+'COL. CONS.$'!P45/Paramet!$D$9*1000</f>
        <v>333323.70720372564</v>
      </c>
      <c r="Q45" s="29">
        <f>+P45/$P$20</f>
        <v>0.17868533510051188</v>
      </c>
      <c r="R45" s="30">
        <f>IF(P45=0,"",(M45-P45)/ABS(P45))</f>
        <v>-4.1706923475010919E-2</v>
      </c>
    </row>
    <row r="46" spans="2:27" x14ac:dyDescent="0.2">
      <c r="B46" s="18" t="s">
        <v>34</v>
      </c>
      <c r="C46" s="28">
        <f>+'COL. CONS.$'!C46/Paramet!$D$10*1000</f>
        <v>111786.47058823529</v>
      </c>
      <c r="D46" s="29">
        <f>+C46/$C$20</f>
        <v>0.43243446195715868</v>
      </c>
      <c r="E46" s="28">
        <f>+'COL. CONS.$'!E46/Paramet!$D$8*1000</f>
        <v>75204.174645649968</v>
      </c>
      <c r="F46" s="29">
        <f>+E46/$E$20</f>
        <v>0.41033850853707821</v>
      </c>
      <c r="G46" s="29">
        <f>IF(C46=0,"",(E46-C46)/ABS(C46)+1)</f>
        <v>0.67274844844743376</v>
      </c>
      <c r="H46" s="28">
        <f>+'COL. CONS.$'!H46/Paramet!$D$9*1000</f>
        <v>88661.293748659926</v>
      </c>
      <c r="I46" s="29">
        <f>+H46/$H$20</f>
        <v>0.36082196653917076</v>
      </c>
      <c r="J46" s="30">
        <f>IF(H46=0,"",(E46-H46)/ABS(H46))</f>
        <v>-0.15178121741781325</v>
      </c>
      <c r="K46" s="28">
        <f>+'COL. CONS.$'!K46/Paramet!$D$10*1000</f>
        <v>1184948.5294117646</v>
      </c>
      <c r="L46" s="29">
        <f>+K46/$K$20</f>
        <v>0.43031021491238652</v>
      </c>
      <c r="M46" s="28">
        <f>+'COL. CONS.$'!M46/Paramet!$D$8*1000</f>
        <v>804492.58885000751</v>
      </c>
      <c r="N46" s="29">
        <f>+M46/$M$20</f>
        <v>0.42324733799123787</v>
      </c>
      <c r="O46" s="29">
        <f>IF(K46=0,"",(M46-K46)/ABS(K46)+1)</f>
        <v>0.67892618867536458</v>
      </c>
      <c r="P46" s="28">
        <f>+'COL. CONS.$'!P46/Paramet!$D$9*1000</f>
        <v>879984.08119711385</v>
      </c>
      <c r="Q46" s="29">
        <f>+P46/$P$20</f>
        <v>0.4717343742241471</v>
      </c>
      <c r="R46" s="30">
        <f>IF(P46=0,"",(M46-P46)/ABS(P46))</f>
        <v>-8.5787338612317993E-2</v>
      </c>
    </row>
    <row r="48" spans="2:27" x14ac:dyDescent="0.2">
      <c r="P48" s="23"/>
    </row>
  </sheetData>
  <conditionalFormatting sqref="R10:R46">
    <cfRule type="cellIs" dxfId="63" priority="3" operator="lessThan">
      <formula>0</formula>
    </cfRule>
  </conditionalFormatting>
  <conditionalFormatting sqref="J10:J46">
    <cfRule type="cellIs" dxfId="62" priority="2" operator="lessThan">
      <formula>0</formula>
    </cfRule>
  </conditionalFormatting>
  <conditionalFormatting sqref="AE19:AE28 AE30 AE10:AE11 AE13:AE17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560BF-51DB-4649-B97A-C25078022EBC}">
  <sheetPr>
    <tabColor theme="0" tint="-0.249977111117893"/>
  </sheetPr>
  <dimension ref="A1:AI68"/>
  <sheetViews>
    <sheetView showGridLines="0" zoomScaleNormal="100" workbookViewId="0">
      <selection activeCell="O52" sqref="O52"/>
    </sheetView>
  </sheetViews>
  <sheetFormatPr baseColWidth="10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6.5703125" style="2" bestFit="1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48" customFormat="1" x14ac:dyDescent="0.2"/>
    <row r="2" spans="1:34" x14ac:dyDescent="0.2">
      <c r="Z2" s="48"/>
      <c r="AA2" s="48"/>
      <c r="AB2" s="48"/>
    </row>
    <row r="3" spans="1:34" ht="18" x14ac:dyDescent="0.25">
      <c r="B3" s="15" t="s">
        <v>104</v>
      </c>
      <c r="T3" s="17"/>
      <c r="U3" s="85" t="str">
        <f>+B3</f>
        <v>MUSICAR S.A. EL SALVADOR</v>
      </c>
    </row>
    <row r="4" spans="1:34" x14ac:dyDescent="0.2">
      <c r="B4" s="3" t="s">
        <v>105</v>
      </c>
      <c r="U4" s="3" t="s">
        <v>20</v>
      </c>
    </row>
    <row r="5" spans="1:34" x14ac:dyDescent="0.2">
      <c r="B5" s="3" t="s">
        <v>93</v>
      </c>
      <c r="U5" s="3" t="s">
        <v>93</v>
      </c>
    </row>
    <row r="6" spans="1:34" ht="13.5" thickBot="1" x14ac:dyDescent="0.25">
      <c r="B6" s="74" t="str">
        <f>+'COL. CONS.$'!B6</f>
        <v>NOVIEMBRE De 2022</v>
      </c>
      <c r="C6" s="86"/>
      <c r="K6" s="81" t="s">
        <v>22</v>
      </c>
      <c r="L6" s="81"/>
      <c r="M6" s="81"/>
      <c r="N6" s="81"/>
      <c r="O6" s="81"/>
      <c r="P6" s="81"/>
      <c r="Q6" s="81"/>
      <c r="R6" s="81"/>
      <c r="S6" s="87"/>
      <c r="T6" s="88"/>
      <c r="U6" s="19" t="str">
        <f>+B6</f>
        <v>NOVIEMBRE De 2022</v>
      </c>
      <c r="Y6" s="20" t="s">
        <v>22</v>
      </c>
      <c r="Z6" s="20"/>
      <c r="AA6" s="20"/>
      <c r="AB6" s="20"/>
      <c r="AC6" s="20"/>
      <c r="AD6" s="20"/>
    </row>
    <row r="7" spans="1:34" x14ac:dyDescent="0.2">
      <c r="A7" s="89"/>
      <c r="B7" s="3"/>
      <c r="C7" s="55" t="str">
        <f>+'COLOMB$ '!D7:D7</f>
        <v>Ppto 2022</v>
      </c>
      <c r="D7" s="55"/>
      <c r="E7" s="55" t="str">
        <f>+'COLOMB$ '!F7:F7</f>
        <v>Real 2022</v>
      </c>
      <c r="F7" s="55"/>
      <c r="G7" s="55" t="s">
        <v>23</v>
      </c>
      <c r="H7" s="55" t="str">
        <f>+'COLOMB$ '!I7:I7</f>
        <v>Real 2021</v>
      </c>
      <c r="I7" s="55"/>
      <c r="J7" s="55" t="s">
        <v>24</v>
      </c>
      <c r="K7" s="55" t="str">
        <f>+C7</f>
        <v>Ppto 2022</v>
      </c>
      <c r="L7" s="55"/>
      <c r="M7" s="55" t="str">
        <f>+E7</f>
        <v>Real 2022</v>
      </c>
      <c r="N7" s="55"/>
      <c r="O7" s="55" t="s">
        <v>23</v>
      </c>
      <c r="P7" s="55" t="str">
        <f>+H7</f>
        <v>Real 2021</v>
      </c>
      <c r="Q7" s="55"/>
      <c r="R7" s="55" t="s">
        <v>24</v>
      </c>
      <c r="S7" s="55"/>
      <c r="T7" s="57"/>
      <c r="V7" s="48" t="str">
        <f>+C7</f>
        <v>Ppto 2022</v>
      </c>
      <c r="W7" s="48" t="str">
        <f>+M7</f>
        <v>Real 2022</v>
      </c>
      <c r="X7" s="48" t="str">
        <f>+H7</f>
        <v>Real 2021</v>
      </c>
      <c r="Y7" s="48" t="str">
        <f>+V7</f>
        <v>Ppto 2022</v>
      </c>
      <c r="Z7" s="48" t="str">
        <f>+W7</f>
        <v>Real 2022</v>
      </c>
      <c r="AA7" s="48" t="s">
        <v>25</v>
      </c>
      <c r="AB7" s="48" t="s">
        <v>23</v>
      </c>
      <c r="AC7" s="48" t="str">
        <f>+X7</f>
        <v>Real 2021</v>
      </c>
      <c r="AD7" s="48" t="s">
        <v>24</v>
      </c>
      <c r="AF7" s="2" t="s">
        <v>106</v>
      </c>
    </row>
    <row r="8" spans="1:34" ht="13.5" thickBot="1" x14ac:dyDescent="0.25">
      <c r="B8" s="26" t="s">
        <v>26</v>
      </c>
      <c r="C8" s="60" t="s">
        <v>27</v>
      </c>
      <c r="D8" s="60" t="s">
        <v>28</v>
      </c>
      <c r="E8" s="60" t="s">
        <v>27</v>
      </c>
      <c r="F8" s="60" t="s">
        <v>28</v>
      </c>
      <c r="G8" s="60" t="s">
        <v>29</v>
      </c>
      <c r="H8" s="60" t="s">
        <v>27</v>
      </c>
      <c r="I8" s="60" t="s">
        <v>28</v>
      </c>
      <c r="J8" s="60" t="s">
        <v>29</v>
      </c>
      <c r="K8" s="60" t="s">
        <v>27</v>
      </c>
      <c r="L8" s="60" t="s">
        <v>28</v>
      </c>
      <c r="M8" s="60" t="s">
        <v>27</v>
      </c>
      <c r="N8" s="60" t="s">
        <v>28</v>
      </c>
      <c r="O8" s="60" t="s">
        <v>29</v>
      </c>
      <c r="P8" s="60" t="s">
        <v>27</v>
      </c>
      <c r="Q8" s="60" t="s">
        <v>28</v>
      </c>
      <c r="R8" s="60" t="s">
        <v>29</v>
      </c>
      <c r="S8" s="55"/>
      <c r="T8" s="57"/>
      <c r="U8" s="26"/>
      <c r="V8" s="27"/>
      <c r="W8" s="27"/>
      <c r="X8" s="27"/>
      <c r="Y8" s="26"/>
      <c r="Z8" s="26"/>
      <c r="AA8" s="27"/>
      <c r="AB8" s="27" t="s">
        <v>29</v>
      </c>
      <c r="AC8" s="26"/>
      <c r="AD8" s="27" t="s">
        <v>29</v>
      </c>
      <c r="AF8" s="2" t="s">
        <v>63</v>
      </c>
      <c r="AG8" s="2" t="s">
        <v>65</v>
      </c>
      <c r="AH8" s="2" t="s">
        <v>107</v>
      </c>
    </row>
    <row r="9" spans="1:34" x14ac:dyDescent="0.2"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</row>
    <row r="10" spans="1:34" x14ac:dyDescent="0.2">
      <c r="A10" s="89"/>
      <c r="B10" s="3" t="str">
        <f>+'COLOMB$ '!B10</f>
        <v>Musical Experience  (Ambiental)</v>
      </c>
      <c r="C10" s="61">
        <v>7552</v>
      </c>
      <c r="D10" s="30">
        <f>+C10/$C$20</f>
        <v>0.76253020283989992</v>
      </c>
      <c r="E10" s="61">
        <v>6863.65</v>
      </c>
      <c r="F10" s="30">
        <f>+E10/$E$20</f>
        <v>0.87423783691525048</v>
      </c>
      <c r="G10" s="30">
        <f>IF(C10=0,"",(E10-C10)/ABS(C10)+1)</f>
        <v>0.90885195974576272</v>
      </c>
      <c r="H10" s="61">
        <v>7377.17</v>
      </c>
      <c r="I10" s="30">
        <f>+H10/$H$20</f>
        <v>0.67083294307644881</v>
      </c>
      <c r="J10" s="30">
        <f>IF(H10=0,"",(E10-H10)/ABS(H10))</f>
        <v>-6.9609348842442353E-2</v>
      </c>
      <c r="K10" s="61">
        <v>76370</v>
      </c>
      <c r="L10" s="30">
        <f>+K10/$K$20</f>
        <v>0.74634129561018026</v>
      </c>
      <c r="M10" s="61">
        <v>73639.7</v>
      </c>
      <c r="N10" s="30">
        <f>+M10/$M$20</f>
        <v>0.83117750023590009</v>
      </c>
      <c r="O10" s="30">
        <f>IF(K10=0,"",(M10-K10)/ABS(K10)+1)</f>
        <v>0.96424905067434852</v>
      </c>
      <c r="P10" s="61">
        <v>78638.429999999993</v>
      </c>
      <c r="Q10" s="30">
        <f>+P10/$P$20</f>
        <v>0.78136675339308626</v>
      </c>
      <c r="R10" s="30">
        <f t="shared" ref="R10:R17" si="0">IF(P10=0,"",(M10-P10)/ABS(P10))</f>
        <v>-6.3565994387222588E-2</v>
      </c>
      <c r="S10" s="30"/>
      <c r="T10" s="57"/>
      <c r="U10" s="3" t="s">
        <v>30</v>
      </c>
      <c r="V10" s="61">
        <v>8795.0749180777784</v>
      </c>
      <c r="W10" s="61">
        <v>12166.550000000003</v>
      </c>
      <c r="X10" s="61">
        <v>15986</v>
      </c>
      <c r="Y10" s="61">
        <v>24475</v>
      </c>
      <c r="Z10" s="61">
        <v>24475</v>
      </c>
      <c r="AA10" s="57">
        <f>+Z10-Y10</f>
        <v>0</v>
      </c>
      <c r="AB10" s="63">
        <f>IF(Y10=0,"",(Z10-Y10)/ABS(Y10)+1)</f>
        <v>1</v>
      </c>
      <c r="AC10" s="61">
        <v>14944</v>
      </c>
      <c r="AD10" s="30">
        <f>IF(X10=0,"",(Z10-AC10)/ABS(AC10))</f>
        <v>0.63778104925053536</v>
      </c>
      <c r="AF10" s="62">
        <v>24475</v>
      </c>
      <c r="AG10" s="62">
        <v>14944</v>
      </c>
      <c r="AH10" s="62">
        <v>24475</v>
      </c>
    </row>
    <row r="11" spans="1:34" x14ac:dyDescent="0.2">
      <c r="A11" s="89"/>
      <c r="B11" s="3" t="str">
        <f>+'COLOMB$ '!B11</f>
        <v>Instalaciones</v>
      </c>
      <c r="C11" s="61">
        <v>589.67999999999995</v>
      </c>
      <c r="D11" s="30">
        <f>+C11/$C$20</f>
        <v>5.9540361495051923E-2</v>
      </c>
      <c r="E11" s="61">
        <v>60</v>
      </c>
      <c r="F11" s="30">
        <f>+E11/$E$20</f>
        <v>7.6423288213873126E-3</v>
      </c>
      <c r="G11" s="30">
        <f>IF(C11=0,"",(E11-C11)/ABS(C11)+1)</f>
        <v>0.1017501017501018</v>
      </c>
      <c r="H11" s="61">
        <v>1700</v>
      </c>
      <c r="I11" s="30">
        <f>+H11/$H$20</f>
        <v>0.1545871930875882</v>
      </c>
      <c r="J11" s="30">
        <f>IF(H11=0,"",(E11-H11)/ABS(H11))</f>
        <v>-0.96470588235294119</v>
      </c>
      <c r="K11" s="61">
        <v>5896.8</v>
      </c>
      <c r="L11" s="30">
        <f>+K11/$K$20</f>
        <v>5.7627672540973035E-2</v>
      </c>
      <c r="M11" s="61">
        <v>1298.23</v>
      </c>
      <c r="N11" s="30">
        <f>+M11/$M$20</f>
        <v>1.4653231424506788E-2</v>
      </c>
      <c r="O11" s="30">
        <f>IF(K11=0,"",(M11-K11)/ABS(K11)+1)</f>
        <v>0.22015839099172441</v>
      </c>
      <c r="P11" s="61">
        <v>5170</v>
      </c>
      <c r="Q11" s="30">
        <f>+P11/$P$20</f>
        <v>5.1370126731195627E-2</v>
      </c>
      <c r="R11" s="30">
        <f t="shared" si="0"/>
        <v>-0.74889168278529983</v>
      </c>
      <c r="S11" s="30"/>
      <c r="T11" s="57"/>
      <c r="U11" s="3" t="s">
        <v>31</v>
      </c>
      <c r="V11" s="61">
        <v>10980.404046111111</v>
      </c>
      <c r="W11" s="61">
        <v>8587.5</v>
      </c>
      <c r="X11" s="61">
        <v>12070.8</v>
      </c>
      <c r="Y11" s="61">
        <f>+AF11+V11</f>
        <v>115008.19316166667</v>
      </c>
      <c r="Z11" s="61">
        <f>+W11+AH11</f>
        <v>97891.24</v>
      </c>
      <c r="AA11" s="57">
        <f>+Z11-Y11</f>
        <v>-17116.953161666665</v>
      </c>
      <c r="AB11" s="63">
        <f>IF(Y11=0,"",(Z11-Y11)/ABS(Y11)+1)</f>
        <v>0.85116753258087086</v>
      </c>
      <c r="AC11" s="61">
        <v>106808.8</v>
      </c>
      <c r="AD11" s="30">
        <f>IF(AC11=0,"",(Z11-AC11)/ABS(AC11))</f>
        <v>-8.3490873411179584E-2</v>
      </c>
      <c r="AF11" s="62">
        <v>104027.78911555556</v>
      </c>
      <c r="AG11" s="62">
        <v>84465</v>
      </c>
      <c r="AH11" s="62">
        <v>89303.74</v>
      </c>
    </row>
    <row r="12" spans="1:34" x14ac:dyDescent="0.2">
      <c r="A12" s="89"/>
      <c r="B12" s="3" t="str">
        <f>+'COLOMB$ '!B12</f>
        <v>Voice Experience (Publihold)</v>
      </c>
      <c r="C12" s="61">
        <v>1158.49</v>
      </c>
      <c r="D12" s="30">
        <f>+C12/$C$20</f>
        <v>0.11697346592796552</v>
      </c>
      <c r="E12" s="61">
        <v>927.36</v>
      </c>
      <c r="F12" s="30">
        <f>+E12/$E$20</f>
        <v>0.11811983426336231</v>
      </c>
      <c r="G12" s="30">
        <f>IF(C12=0,"",(E12-C12)/ABS(C12)+1)</f>
        <v>0.80049029339916622</v>
      </c>
      <c r="H12" s="61">
        <v>1034.8599999999999</v>
      </c>
      <c r="I12" s="30">
        <f>+H12/$H$20</f>
        <v>9.4103589787424405E-2</v>
      </c>
      <c r="J12" s="30">
        <f>IF(H12=0,"",(E12-H12)/ABS(H12))</f>
        <v>-0.10387878553620769</v>
      </c>
      <c r="K12" s="61">
        <v>12892.06</v>
      </c>
      <c r="L12" s="30">
        <f>+K12/$K$20</f>
        <v>0.12599026795186827</v>
      </c>
      <c r="M12" s="61">
        <v>11336.91</v>
      </c>
      <c r="N12" s="30">
        <f>+M12/$M$20</f>
        <v>0.12796065864200123</v>
      </c>
      <c r="O12" s="30">
        <f>IF(K12=0,"",(M12-K12)/ABS(K12)+1)</f>
        <v>0.87937148911810836</v>
      </c>
      <c r="P12" s="61">
        <v>10793.37</v>
      </c>
      <c r="Q12" s="30">
        <f>+P12/$P$20</f>
        <v>0.10724502606512283</v>
      </c>
      <c r="R12" s="30">
        <f t="shared" si="0"/>
        <v>5.0358692419512997E-2</v>
      </c>
      <c r="S12" s="30"/>
      <c r="T12" s="57"/>
      <c r="AF12" s="62"/>
      <c r="AG12" s="62"/>
      <c r="AH12" s="62"/>
    </row>
    <row r="13" spans="1:34" x14ac:dyDescent="0.2">
      <c r="A13" s="89"/>
      <c r="B13" s="3" t="str">
        <f>+'COLOMB$ '!B13</f>
        <v>Service &amp; Equipment Experience</v>
      </c>
      <c r="C13" s="61">
        <v>429.7</v>
      </c>
      <c r="D13" s="30">
        <f>+C13/$C$20</f>
        <v>4.3387080000040386E-2</v>
      </c>
      <c r="E13" s="61">
        <v>0</v>
      </c>
      <c r="F13" s="30"/>
      <c r="G13" s="30">
        <f>IF(C13=0,"",(E13-C13)/ABS(C13)+1)</f>
        <v>0</v>
      </c>
      <c r="H13" s="61">
        <v>885</v>
      </c>
      <c r="I13" s="30"/>
      <c r="J13" s="30">
        <f>IF(H13=0,"",(E13-H13)/ABS(H13))</f>
        <v>-1</v>
      </c>
      <c r="K13" s="61">
        <v>4616.9799999999996</v>
      </c>
      <c r="L13" s="30">
        <f>+K13/$K$20</f>
        <v>4.5120372332149924E-2</v>
      </c>
      <c r="M13" s="61">
        <v>666</v>
      </c>
      <c r="N13" s="30">
        <f>+M13/$M$20</f>
        <v>7.5171981303170637E-3</v>
      </c>
      <c r="O13" s="30">
        <f>IF(K13=0,"",(M13-K13)/ABS(K13)+1)</f>
        <v>0.14425013753579186</v>
      </c>
      <c r="P13" s="61">
        <v>3736.35</v>
      </c>
      <c r="Q13" s="30"/>
      <c r="R13" s="30">
        <f t="shared" si="0"/>
        <v>-0.82175117427435862</v>
      </c>
      <c r="S13" s="30"/>
      <c r="T13" s="57"/>
      <c r="U13" s="3" t="s">
        <v>32</v>
      </c>
      <c r="V13" s="61">
        <v>787</v>
      </c>
      <c r="W13" s="61">
        <v>0</v>
      </c>
      <c r="X13" s="61"/>
      <c r="Y13" s="61">
        <f>+AF13+V13</f>
        <v>25781.999375799995</v>
      </c>
      <c r="Z13" s="61">
        <f t="shared" ref="Z13:Z16" si="1">+W13+AH13</f>
        <v>12023</v>
      </c>
      <c r="AA13" s="57">
        <f>+Y13-Z13</f>
        <v>13758.999375799995</v>
      </c>
      <c r="AB13" s="63">
        <f>IF(Y13=0,"",(Z13-Y13)/ABS(Y13)+1)</f>
        <v>0.46633311190307702</v>
      </c>
      <c r="AC13" s="61">
        <v>94</v>
      </c>
      <c r="AD13" s="30">
        <f>IF(AC13=0,"",(Z13-AC13)/ABS(AC13))</f>
        <v>126.90425531914893</v>
      </c>
      <c r="AF13" s="62">
        <v>24994.999375799995</v>
      </c>
      <c r="AG13" s="62">
        <v>94</v>
      </c>
      <c r="AH13" s="62">
        <v>12023</v>
      </c>
    </row>
    <row r="14" spans="1:34" x14ac:dyDescent="0.2">
      <c r="A14" s="89"/>
      <c r="B14" s="3" t="str">
        <f>+'COLOMB$ '!B14</f>
        <v>POP Satelital</v>
      </c>
      <c r="C14" s="61"/>
      <c r="D14" s="30"/>
      <c r="E14" s="61"/>
      <c r="F14" s="30"/>
      <c r="G14" s="30"/>
      <c r="H14" s="61"/>
      <c r="I14" s="30"/>
      <c r="J14" s="30"/>
      <c r="K14" s="61"/>
      <c r="L14" s="30"/>
      <c r="M14" s="61"/>
      <c r="N14" s="30"/>
      <c r="O14" s="30"/>
      <c r="P14" s="61"/>
      <c r="Q14" s="30"/>
      <c r="R14" s="30" t="str">
        <f t="shared" si="0"/>
        <v/>
      </c>
      <c r="S14" s="30"/>
      <c r="T14" s="57"/>
      <c r="U14" s="3" t="s">
        <v>33</v>
      </c>
      <c r="V14" s="61"/>
      <c r="W14" s="61"/>
      <c r="X14" s="61"/>
      <c r="Y14" s="61">
        <f t="shared" ref="Y14:Y16" si="2">+AF14+V14</f>
        <v>0</v>
      </c>
      <c r="Z14" s="61">
        <f t="shared" si="1"/>
        <v>0</v>
      </c>
      <c r="AA14" s="57">
        <f>+Y14-Z14</f>
        <v>0</v>
      </c>
      <c r="AB14" s="63" t="str">
        <f>IF(Y14=0,"",(Z14-Y14)/ABS(Y14)+1)</f>
        <v/>
      </c>
      <c r="AC14" s="61">
        <v>0</v>
      </c>
      <c r="AD14" s="30" t="str">
        <f>IF(AC14=0,"",(Z14-AC14)/ABS(AC14))</f>
        <v/>
      </c>
      <c r="AF14" s="62">
        <v>0</v>
      </c>
      <c r="AG14" s="62">
        <v>0</v>
      </c>
      <c r="AH14" s="62">
        <v>0</v>
      </c>
    </row>
    <row r="15" spans="1:34" x14ac:dyDescent="0.2">
      <c r="A15" s="89"/>
      <c r="B15" s="3" t="str">
        <f>+'COLOMB$ '!B15</f>
        <v>Voice Experience (Audicóm)</v>
      </c>
      <c r="C15" s="61">
        <v>174</v>
      </c>
      <c r="D15" s="30">
        <f>+C15/$C$20</f>
        <v>1.7568889737042185E-2</v>
      </c>
      <c r="E15" s="61">
        <v>0</v>
      </c>
      <c r="F15" s="30"/>
      <c r="G15" s="30">
        <f>IF(C15=0,"",(E15-C15)/ABS(C15)+1)</f>
        <v>0</v>
      </c>
      <c r="H15" s="61">
        <v>0</v>
      </c>
      <c r="I15" s="30"/>
      <c r="J15" s="30" t="str">
        <f>IF(H15=0,"",(E15-H15)/ABS(H15))</f>
        <v/>
      </c>
      <c r="K15" s="61">
        <v>2550</v>
      </c>
      <c r="L15" s="30"/>
      <c r="M15" s="61">
        <v>1656</v>
      </c>
      <c r="N15" s="30"/>
      <c r="O15" s="30">
        <f>IF(K15=0,"",(M15-K15)/ABS(K15)+1)</f>
        <v>0.64941176470588236</v>
      </c>
      <c r="P15" s="61">
        <v>2304</v>
      </c>
      <c r="Q15" s="30"/>
      <c r="R15" s="30">
        <f t="shared" si="0"/>
        <v>-0.28125</v>
      </c>
      <c r="S15" s="30"/>
      <c r="T15" s="57"/>
      <c r="U15" s="3" t="s">
        <v>34</v>
      </c>
      <c r="V15" s="61">
        <v>6058.5290193499995</v>
      </c>
      <c r="W15" s="61">
        <v>4900.3999999999996</v>
      </c>
      <c r="X15" s="61">
        <v>4639.2</v>
      </c>
      <c r="Y15" s="61">
        <f t="shared" si="2"/>
        <v>66903.774116099987</v>
      </c>
      <c r="Z15" s="61">
        <f t="shared" si="1"/>
        <v>56850.8</v>
      </c>
      <c r="AA15" s="57">
        <f>+Y15-Z15</f>
        <v>10052.974116099984</v>
      </c>
      <c r="AB15" s="63">
        <f>IF(Y15=0,"",(Z15-Y15)/ABS(Y15)+1)</f>
        <v>0.8497398054307852</v>
      </c>
      <c r="AC15" s="61">
        <v>55055.1</v>
      </c>
      <c r="AD15" s="30">
        <f>IF(AC15=0,"",(Z15-AC15)/ABS(AC15))</f>
        <v>3.2616415191326589E-2</v>
      </c>
      <c r="AF15" s="62">
        <v>60845.245096749983</v>
      </c>
      <c r="AG15" s="62">
        <v>45812.9</v>
      </c>
      <c r="AH15" s="62">
        <v>51950.400000000001</v>
      </c>
    </row>
    <row r="16" spans="1:34" x14ac:dyDescent="0.2">
      <c r="B16" s="3" t="str">
        <f>+'COLOMB$ '!B16</f>
        <v>Fact. Servicio Satelital</v>
      </c>
      <c r="C16" s="61"/>
      <c r="D16" s="30"/>
      <c r="E16" s="61"/>
      <c r="F16" s="30"/>
      <c r="G16" s="30"/>
      <c r="H16" s="61"/>
      <c r="I16" s="30"/>
      <c r="J16" s="30"/>
      <c r="K16" s="61">
        <f>+T16+C16</f>
        <v>0</v>
      </c>
      <c r="L16" s="30"/>
      <c r="M16" s="61"/>
      <c r="N16" s="30"/>
      <c r="O16" s="30"/>
      <c r="P16" s="61"/>
      <c r="Q16" s="30"/>
      <c r="R16" s="30" t="str">
        <f t="shared" si="0"/>
        <v/>
      </c>
      <c r="S16" s="30"/>
      <c r="T16" s="57"/>
      <c r="U16" s="3" t="s">
        <v>35</v>
      </c>
      <c r="V16" s="61">
        <v>1323.855</v>
      </c>
      <c r="W16" s="61">
        <v>1343.6999999999998</v>
      </c>
      <c r="X16" s="61">
        <v>2174.8999999999996</v>
      </c>
      <c r="Y16" s="61">
        <f t="shared" si="2"/>
        <v>15828.129999999997</v>
      </c>
      <c r="Z16" s="61">
        <f t="shared" si="1"/>
        <v>18317.3</v>
      </c>
      <c r="AA16" s="57">
        <f>+Y16-Z16</f>
        <v>-2489.1700000000019</v>
      </c>
      <c r="AB16" s="63">
        <f>IF(Y16=0,"",(Z16-Y16)/ABS(Y16)+1)</f>
        <v>1.1572624182389204</v>
      </c>
      <c r="AC16" s="61">
        <v>19478.68</v>
      </c>
      <c r="AD16" s="30">
        <f>IF(AC16=0,"",(Z16-AC16)/ABS(AC16))</f>
        <v>-5.9623136680719689E-2</v>
      </c>
      <c r="AF16" s="62">
        <v>14504.274999999998</v>
      </c>
      <c r="AG16" s="62">
        <v>15891.779999999999</v>
      </c>
      <c r="AH16" s="62">
        <v>16973.599999999999</v>
      </c>
    </row>
    <row r="17" spans="1:35" x14ac:dyDescent="0.2">
      <c r="A17" s="89"/>
      <c r="B17" s="3" t="str">
        <f>+'COLOMB$ '!B17</f>
        <v>Visual Experience</v>
      </c>
      <c r="C17" s="61"/>
      <c r="D17" s="30"/>
      <c r="E17" s="61"/>
      <c r="F17" s="30"/>
      <c r="G17" s="30" t="str">
        <f>IF(C17=0,"",(E17-C17)/ABS(C17)+1)</f>
        <v/>
      </c>
      <c r="H17" s="61"/>
      <c r="I17" s="30"/>
      <c r="J17" s="30" t="str">
        <f>IF(H17=0,"",(E17-H17)/ABS(H17))</f>
        <v/>
      </c>
      <c r="K17" s="61">
        <f>+T17+C17</f>
        <v>0</v>
      </c>
      <c r="L17" s="30"/>
      <c r="M17" s="61"/>
      <c r="N17" s="30"/>
      <c r="O17" s="30" t="str">
        <f>IF(K17=0,"",(M17-K17)/ABS(K17)+1)</f>
        <v/>
      </c>
      <c r="P17" s="61"/>
      <c r="Q17" s="30"/>
      <c r="R17" s="30" t="str">
        <f t="shared" si="0"/>
        <v/>
      </c>
      <c r="S17" s="30"/>
      <c r="T17" s="57"/>
      <c r="U17" s="3" t="s">
        <v>36</v>
      </c>
      <c r="V17" s="61">
        <f>SUM(V13:V16)</f>
        <v>8169.38401935</v>
      </c>
      <c r="W17" s="61">
        <f>SUM(W13:W16)</f>
        <v>6244.0999999999995</v>
      </c>
      <c r="X17" s="61">
        <f>SUM(X13:X16)</f>
        <v>6814.0999999999995</v>
      </c>
      <c r="Y17" s="61">
        <f>SUM(Y13:Y16)</f>
        <v>108513.90349189998</v>
      </c>
      <c r="Z17" s="61">
        <f>SUM(Z13:Z16)</f>
        <v>87191.1</v>
      </c>
      <c r="AA17" s="57">
        <f>+Z17-Y17</f>
        <v>-21322.803491899977</v>
      </c>
      <c r="AB17" s="63">
        <f>IF(Y17=0,"",(Z17-Y17)/ABS(Y17)+1)</f>
        <v>0.80350164535836077</v>
      </c>
      <c r="AC17" s="61">
        <f>SUM(AC13:AC16)</f>
        <v>74627.78</v>
      </c>
      <c r="AD17" s="30">
        <f>IF(AC17=0,"",(Z17-AC17)/ABS(AC17))</f>
        <v>0.16834642541959585</v>
      </c>
      <c r="AF17" s="62">
        <v>100344.51947254998</v>
      </c>
      <c r="AG17" s="62">
        <v>61798.68</v>
      </c>
      <c r="AH17" s="62">
        <v>80947</v>
      </c>
    </row>
    <row r="18" spans="1:35" x14ac:dyDescent="0.2">
      <c r="A18" s="89"/>
      <c r="B18" s="3" t="str">
        <f>+'COL. CONS.$'!B18</f>
        <v>Olfa Experience</v>
      </c>
      <c r="C18" s="61">
        <v>0</v>
      </c>
      <c r="D18" s="30"/>
      <c r="E18" s="61"/>
      <c r="F18" s="30"/>
      <c r="G18" s="30"/>
      <c r="H18" s="61"/>
      <c r="I18" s="30"/>
      <c r="J18" s="30"/>
      <c r="K18" s="61">
        <v>0</v>
      </c>
      <c r="L18" s="30"/>
      <c r="M18" s="61"/>
      <c r="N18" s="30"/>
      <c r="O18" s="30"/>
      <c r="P18" s="61"/>
      <c r="Q18" s="30"/>
      <c r="R18" s="30"/>
      <c r="S18" s="30"/>
      <c r="T18" s="57"/>
      <c r="AF18" s="62"/>
      <c r="AG18" s="62"/>
      <c r="AH18" s="62"/>
    </row>
    <row r="19" spans="1:35" x14ac:dyDescent="0.2">
      <c r="B19" s="3" t="str">
        <f>+'COLOMB$ '!B19</f>
        <v>Locutor virtual</v>
      </c>
      <c r="C19" s="61"/>
      <c r="D19" s="30"/>
      <c r="E19" s="61"/>
      <c r="F19" s="30"/>
      <c r="G19" s="30"/>
      <c r="H19" s="61"/>
      <c r="I19" s="30"/>
      <c r="J19" s="30"/>
      <c r="K19" s="61"/>
      <c r="L19" s="30"/>
      <c r="M19" s="61"/>
      <c r="N19" s="30"/>
      <c r="O19" s="30"/>
      <c r="P19" s="61"/>
      <c r="Q19" s="30"/>
      <c r="R19" s="30"/>
      <c r="S19" s="30"/>
      <c r="T19" s="57"/>
      <c r="U19" s="3" t="s">
        <v>37</v>
      </c>
      <c r="V19" s="61">
        <f>V11-V17</f>
        <v>2811.0200267611108</v>
      </c>
      <c r="W19" s="61">
        <f>W11-W17</f>
        <v>2343.4000000000005</v>
      </c>
      <c r="X19" s="61">
        <f>X11-X17</f>
        <v>5256.7</v>
      </c>
      <c r="Y19" s="61">
        <f>Y11-Y17</f>
        <v>6494.2896697666874</v>
      </c>
      <c r="Z19" s="61">
        <f>Z11-Z17</f>
        <v>10700.14</v>
      </c>
      <c r="AA19" s="57">
        <f>+Z19-Y19</f>
        <v>4205.850330233312</v>
      </c>
      <c r="AB19" s="63">
        <f>IF(Y19=0,"",(Z19-Y19)/ABS(Y19)+1)</f>
        <v>1.6476228416193224</v>
      </c>
      <c r="AC19" s="61">
        <f>AC11-AC17</f>
        <v>32181.020000000004</v>
      </c>
      <c r="AD19" s="30">
        <f>IF(AC19=0,"",(Z19-AC19)/ABS(AC19))</f>
        <v>-0.66750152729776746</v>
      </c>
      <c r="AF19" s="62">
        <v>3683.2696430055803</v>
      </c>
      <c r="AG19" s="62">
        <v>22666.32</v>
      </c>
      <c r="AH19" s="62">
        <v>8356.7400000000052</v>
      </c>
      <c r="AI19" s="49"/>
    </row>
    <row r="20" spans="1:35" x14ac:dyDescent="0.2">
      <c r="B20" s="19" t="s">
        <v>38</v>
      </c>
      <c r="C20" s="65">
        <f>SUM(C10:C19)</f>
        <v>9903.8700000000008</v>
      </c>
      <c r="D20" s="38">
        <f>+C20/$C$20</f>
        <v>1</v>
      </c>
      <c r="E20" s="65">
        <f>SUM(E10:E19)</f>
        <v>7851.0099999999993</v>
      </c>
      <c r="F20" s="38">
        <f>+E20/$E$20</f>
        <v>1</v>
      </c>
      <c r="G20" s="38">
        <f>IF(C20=0,"",(E20-C20)/ABS(C20)+1)</f>
        <v>0.79272143111733073</v>
      </c>
      <c r="H20" s="65">
        <f>SUM(H10:H19)</f>
        <v>10997.03</v>
      </c>
      <c r="I20" s="38">
        <f>+H20/$H$20</f>
        <v>1</v>
      </c>
      <c r="J20" s="38">
        <f>IF(H20=0,"",(E20-H20)/ABS(H20))</f>
        <v>-0.28607905952789081</v>
      </c>
      <c r="K20" s="65">
        <f>SUM(K10:K19)</f>
        <v>102325.84</v>
      </c>
      <c r="L20" s="38">
        <f>+K20/$K$20</f>
        <v>1</v>
      </c>
      <c r="M20" s="65">
        <f>SUM(M10:M19)</f>
        <v>88596.84</v>
      </c>
      <c r="N20" s="38">
        <f>+M20/$M$20</f>
        <v>1</v>
      </c>
      <c r="O20" s="38">
        <f>IF(K20=0,"",(M20-K20)/ABS(K20)+1)</f>
        <v>0.86583056635547773</v>
      </c>
      <c r="P20" s="65">
        <f>SUM(P10:P19)</f>
        <v>100642.15</v>
      </c>
      <c r="Q20" s="38">
        <f>+P20/$P$20</f>
        <v>1</v>
      </c>
      <c r="R20" s="38">
        <f>IF(P20=0,"",(M20-P20)/ABS(P20))</f>
        <v>-0.1196845456898526</v>
      </c>
      <c r="S20" s="38"/>
      <c r="T20" s="57"/>
      <c r="U20" s="3"/>
      <c r="V20" s="61"/>
      <c r="W20" s="61"/>
      <c r="X20" s="61"/>
      <c r="Y20" s="61"/>
      <c r="Z20" s="61"/>
      <c r="AA20" s="57"/>
      <c r="AB20" s="63"/>
      <c r="AC20" s="61"/>
      <c r="AD20" s="30"/>
      <c r="AF20" s="62"/>
      <c r="AG20" s="62"/>
      <c r="AH20" s="62"/>
    </row>
    <row r="21" spans="1:35" x14ac:dyDescent="0.2">
      <c r="J21" s="30"/>
      <c r="R21" s="30"/>
      <c r="S21" s="30"/>
      <c r="U21" s="3" t="s">
        <v>39</v>
      </c>
      <c r="V21" s="61">
        <f>+V10+V19</f>
        <v>11606.094944838889</v>
      </c>
      <c r="W21" s="61">
        <f>+W10+W19</f>
        <v>14509.950000000004</v>
      </c>
      <c r="X21" s="61">
        <f>+X10+X19</f>
        <v>21242.7</v>
      </c>
      <c r="Y21" s="61">
        <f>+Y10+Y19</f>
        <v>30969.289669766687</v>
      </c>
      <c r="Z21" s="61">
        <f>+Z10+Z19</f>
        <v>35175.14</v>
      </c>
      <c r="AA21" s="57">
        <f>+Z21-Y21</f>
        <v>4205.850330233312</v>
      </c>
      <c r="AB21" s="63">
        <f>IF(Y21=0,"",(Z21-Y21)/ABS(Y21)+1)</f>
        <v>1.1358071294201886</v>
      </c>
      <c r="AC21" s="61">
        <f>+AC10+AC19</f>
        <v>47125.020000000004</v>
      </c>
      <c r="AD21" s="30">
        <f>IF(AC21=0,"",(Z21-AC21)/ABS(AC21))</f>
        <v>-0.25357824781825034</v>
      </c>
      <c r="AF21" s="62">
        <v>28158.26964300558</v>
      </c>
      <c r="AG21" s="62">
        <v>37610.32</v>
      </c>
      <c r="AH21" s="61">
        <v>32831.740000000005</v>
      </c>
    </row>
    <row r="22" spans="1:35" x14ac:dyDescent="0.2">
      <c r="A22" s="89"/>
      <c r="B22" s="3" t="s">
        <v>40</v>
      </c>
      <c r="C22" s="61">
        <v>85.94</v>
      </c>
      <c r="D22" s="30">
        <f>+C22/$C$20</f>
        <v>8.6774160000080772E-3</v>
      </c>
      <c r="E22" s="61">
        <v>0</v>
      </c>
      <c r="F22" s="30">
        <f>+E22/$E$20</f>
        <v>0</v>
      </c>
      <c r="G22" s="30">
        <f>IF(C22=0,"",(E22-C22)/ABS(C22)+1)</f>
        <v>0</v>
      </c>
      <c r="H22" s="61">
        <v>0</v>
      </c>
      <c r="I22" s="30">
        <f>+H22/$H$20</f>
        <v>0</v>
      </c>
      <c r="J22" s="30" t="str">
        <f>IF(H22=0,"",(E22-H22)/ABS(H22))</f>
        <v/>
      </c>
      <c r="K22" s="61">
        <v>923.39</v>
      </c>
      <c r="L22" s="30">
        <f>+K22/$K$20</f>
        <v>9.0240158302145376E-3</v>
      </c>
      <c r="M22" s="61">
        <v>47.7</v>
      </c>
      <c r="N22" s="30">
        <f>+M22/$M$20</f>
        <v>5.3839392014433027E-4</v>
      </c>
      <c r="O22" s="30">
        <f>IF(K22=0,"",(M22-K22)/ABS(K22)+1)</f>
        <v>5.1657479504867987E-2</v>
      </c>
      <c r="P22" s="61">
        <v>1066.5</v>
      </c>
      <c r="Q22" s="30">
        <f>+P22/$P$20</f>
        <v>1.0596951674820143E-2</v>
      </c>
      <c r="R22" s="30">
        <f>IF(P22=0,"",(M22-P22)/ABS(P22))</f>
        <v>-0.95527426160337547</v>
      </c>
      <c r="S22" s="30"/>
      <c r="T22" s="57"/>
      <c r="AD22" s="30"/>
      <c r="AF22" s="62"/>
      <c r="AG22" s="62"/>
      <c r="AH22" s="62"/>
    </row>
    <row r="23" spans="1:35" x14ac:dyDescent="0.2">
      <c r="J23" s="30"/>
      <c r="R23" s="30"/>
      <c r="S23" s="30"/>
      <c r="U23" s="3" t="s">
        <v>41</v>
      </c>
      <c r="V23" s="61"/>
      <c r="W23" s="61">
        <v>146.9</v>
      </c>
      <c r="X23" s="61"/>
      <c r="Y23" s="61">
        <f>+AF23+V23</f>
        <v>0</v>
      </c>
      <c r="Z23" s="61">
        <f>+W23+AH23</f>
        <v>1792.9</v>
      </c>
      <c r="AA23" s="57">
        <f>+Z23-Y23</f>
        <v>1792.9</v>
      </c>
      <c r="AB23" s="63" t="str">
        <f>IF(Y23=0,"",(Z23-Y23)/ABS(Y23)+1)</f>
        <v/>
      </c>
      <c r="AC23" s="61">
        <v>0</v>
      </c>
      <c r="AD23" s="30" t="str">
        <f>IF(AC23=0,"",(Z23-AC23)/ABS(AC23))</f>
        <v/>
      </c>
      <c r="AF23" s="62">
        <v>0</v>
      </c>
      <c r="AG23" s="62">
        <v>0</v>
      </c>
      <c r="AH23" s="62">
        <v>1646</v>
      </c>
    </row>
    <row r="24" spans="1:35" x14ac:dyDescent="0.2">
      <c r="B24" s="3" t="s">
        <v>42</v>
      </c>
      <c r="C24" s="61">
        <f>+C20-C22</f>
        <v>9817.93</v>
      </c>
      <c r="D24" s="30">
        <f>+C24/$C$20</f>
        <v>0.99132258399999185</v>
      </c>
      <c r="E24" s="61">
        <f>+E20-E22</f>
        <v>7851.0099999999993</v>
      </c>
      <c r="F24" s="30">
        <f>+E24/$E$20</f>
        <v>1</v>
      </c>
      <c r="G24" s="30">
        <f>IF(C24=0,"",(E24-C24)/ABS(C24)+1)</f>
        <v>0.79966041721625625</v>
      </c>
      <c r="H24" s="61">
        <f>+H20-H22</f>
        <v>10997.03</v>
      </c>
      <c r="I24" s="30">
        <f>+H24/$H$20</f>
        <v>1</v>
      </c>
      <c r="J24" s="30">
        <f>IF(H24=0,"",(E24-H24)/ABS(H24))</f>
        <v>-0.28607905952789081</v>
      </c>
      <c r="K24" s="61">
        <f>+K20-K22</f>
        <v>101402.45</v>
      </c>
      <c r="L24" s="30">
        <f>+K24/$K$20</f>
        <v>0.9909759841697855</v>
      </c>
      <c r="M24" s="61">
        <f>+M20-M22</f>
        <v>88549.14</v>
      </c>
      <c r="N24" s="30">
        <f>+M24/$M$20</f>
        <v>0.99946160607985568</v>
      </c>
      <c r="O24" s="30">
        <f>IF(K24=0,"",(M24-K24)/ABS(K24)+1)</f>
        <v>0.87324458136859617</v>
      </c>
      <c r="P24" s="61">
        <f>+P20-P22</f>
        <v>99575.65</v>
      </c>
      <c r="Q24" s="30">
        <f>+P24/$P$20</f>
        <v>0.98940304832517989</v>
      </c>
      <c r="R24" s="30">
        <f>IF(P24=0,"",(M24-P24)/ABS(P24))</f>
        <v>-0.11073500398942909</v>
      </c>
      <c r="S24" s="30"/>
      <c r="T24" s="57"/>
      <c r="AD24" s="30"/>
      <c r="AF24" s="62"/>
      <c r="AG24" s="62"/>
      <c r="AH24" s="62"/>
    </row>
    <row r="25" spans="1:35" x14ac:dyDescent="0.2">
      <c r="J25" s="30"/>
      <c r="R25" s="30"/>
      <c r="S25" s="30"/>
      <c r="U25" s="3" t="s">
        <v>43</v>
      </c>
      <c r="V25" s="61">
        <v>1448.3559375999998</v>
      </c>
      <c r="W25" s="61">
        <v>1318.6</v>
      </c>
      <c r="X25" s="61">
        <v>1340.4</v>
      </c>
      <c r="Y25" s="61">
        <f>+AF25+V25</f>
        <v>15811.402241999998</v>
      </c>
      <c r="Z25" s="61">
        <f t="shared" ref="Z25" si="3">+W25+AH25</f>
        <v>14884.000000000002</v>
      </c>
      <c r="AA25" s="57">
        <f>+Z25-Y25</f>
        <v>-927.40224199999648</v>
      </c>
      <c r="AB25" s="63">
        <f>IF(Y25=0,"",(Z25-Y25)/ABS(Y25)+1)</f>
        <v>0.94134598387886637</v>
      </c>
      <c r="AC25" s="61">
        <v>16937.100000000002</v>
      </c>
      <c r="AD25" s="30">
        <f>IF(AC25=0,"",(Z25-AC25)/ABS(AC25))</f>
        <v>-0.12121909890122867</v>
      </c>
      <c r="AF25" s="62">
        <v>14363.046304399999</v>
      </c>
      <c r="AG25" s="62">
        <v>14184.7</v>
      </c>
      <c r="AH25" s="62">
        <v>13565.400000000001</v>
      </c>
    </row>
    <row r="26" spans="1:35" x14ac:dyDescent="0.2">
      <c r="B26" s="3" t="s">
        <v>44</v>
      </c>
      <c r="C26" s="61">
        <v>837.87</v>
      </c>
      <c r="D26" s="30">
        <f>+C26/$C$20</f>
        <v>8.4600262321698483E-2</v>
      </c>
      <c r="E26" s="61">
        <v>599.9</v>
      </c>
      <c r="F26" s="30">
        <f>+E26/$E$20</f>
        <v>7.6410550999170809E-2</v>
      </c>
      <c r="G26" s="30">
        <f>IF(C26=0,"",(E26-C26)/ABS(C26)+1)</f>
        <v>0.71598219294162568</v>
      </c>
      <c r="H26" s="61">
        <v>1213.44</v>
      </c>
      <c r="I26" s="30">
        <f>+H26/$H$20</f>
        <v>0.1103425197530606</v>
      </c>
      <c r="J26" s="30">
        <f>IF(H26=0,"",(E26-H26)/ABS(H26))</f>
        <v>-0.50562038502109707</v>
      </c>
      <c r="K26" s="61">
        <v>10646.57</v>
      </c>
      <c r="L26" s="30">
        <f>+K26/$K$20</f>
        <v>0.10404576204798319</v>
      </c>
      <c r="M26" s="61">
        <v>7720.72</v>
      </c>
      <c r="N26" s="30">
        <f>+M26/$M$20</f>
        <v>8.714441734039273E-2</v>
      </c>
      <c r="O26" s="30">
        <f>IF(K26=0,"",(M26-K26)/ABS(K26)+1)</f>
        <v>0.72518379158733759</v>
      </c>
      <c r="P26" s="61">
        <v>10048.280000000001</v>
      </c>
      <c r="Q26" s="30">
        <f>+P26/$P$20</f>
        <v>9.9841666737048057E-2</v>
      </c>
      <c r="R26" s="30">
        <f>IF(P26=0,"",(M26-P26)/ABS(P26))</f>
        <v>-0.23163765340933973</v>
      </c>
      <c r="S26" s="30"/>
      <c r="T26" s="57"/>
      <c r="AD26" s="30"/>
      <c r="AF26" s="52"/>
      <c r="AG26" s="48"/>
      <c r="AH26" s="48"/>
    </row>
    <row r="27" spans="1:35" x14ac:dyDescent="0.2">
      <c r="B27" s="3" t="s">
        <v>45</v>
      </c>
      <c r="C27" s="61">
        <v>1175.8800000000001</v>
      </c>
      <c r="D27" s="30">
        <f>+C27/$C$20</f>
        <v>0.11872934519536303</v>
      </c>
      <c r="E27" s="61">
        <v>1061.4100000000001</v>
      </c>
      <c r="F27" s="30">
        <f>+E27/$E$20</f>
        <v>0.13519407057181179</v>
      </c>
      <c r="G27" s="30">
        <f>IF(C27=0,"",(E27-C27)/ABS(C27)+1)</f>
        <v>0.90265163111882163</v>
      </c>
      <c r="H27" s="61">
        <v>1185.01</v>
      </c>
      <c r="I27" s="30">
        <f>+H27/$H$20</f>
        <v>0.10775727628277816</v>
      </c>
      <c r="J27" s="30">
        <f>IF(H27=0,"",(E27-H27)/ABS(H27))</f>
        <v>-0.10430291727495963</v>
      </c>
      <c r="K27" s="61">
        <v>13289.84</v>
      </c>
      <c r="L27" s="30">
        <f>+K27/$K$20</f>
        <v>0.12987765358193004</v>
      </c>
      <c r="M27" s="61">
        <v>12943.34</v>
      </c>
      <c r="N27" s="30">
        <f>+M27/$M$20</f>
        <v>0.14609256944152862</v>
      </c>
      <c r="O27" s="30">
        <f>IF(K27=0,"",(M27-K27)/ABS(K27)+1)</f>
        <v>0.97392745134629155</v>
      </c>
      <c r="P27" s="61">
        <v>13983.28</v>
      </c>
      <c r="Q27" s="30">
        <f>+P27/$P$20</f>
        <v>0.13894059298216505</v>
      </c>
      <c r="R27" s="30">
        <f>IF(P27=0,"",(M27-P27)/ABS(P27))</f>
        <v>-7.4370247896058755E-2</v>
      </c>
      <c r="S27" s="30"/>
      <c r="T27" s="57"/>
      <c r="U27" s="3" t="s">
        <v>46</v>
      </c>
      <c r="V27" s="61"/>
      <c r="W27" s="61"/>
      <c r="X27" s="61"/>
      <c r="Y27" s="61">
        <f t="shared" ref="Y27:Y28" si="4">+AF27+V27</f>
        <v>0</v>
      </c>
      <c r="Z27" s="61">
        <f t="shared" ref="Z27:Z28" si="5">+W27+AH27</f>
        <v>0</v>
      </c>
      <c r="AA27" s="57">
        <f>+Z27-Y27</f>
        <v>0</v>
      </c>
      <c r="AB27" s="63" t="str">
        <f>IF(Y27=0,"",(Z27-Y27)/ABS(Y27)+1)</f>
        <v/>
      </c>
      <c r="AC27" s="61">
        <v>0</v>
      </c>
      <c r="AD27" s="30" t="str">
        <f>IF(AC27=0,"",(Z27-AC27)/ABS(AC27))</f>
        <v/>
      </c>
      <c r="AF27" s="62">
        <v>0</v>
      </c>
      <c r="AG27" s="2">
        <v>0</v>
      </c>
      <c r="AH27" s="2">
        <v>0</v>
      </c>
    </row>
    <row r="28" spans="1:35" x14ac:dyDescent="0.2">
      <c r="B28" s="3" t="s">
        <v>47</v>
      </c>
      <c r="C28" s="61">
        <f>SUM(C26:C27)</f>
        <v>2013.75</v>
      </c>
      <c r="D28" s="30">
        <f>+C28/$C$20</f>
        <v>0.2033296075170615</v>
      </c>
      <c r="E28" s="61">
        <f>SUM(E26:E27)</f>
        <v>1661.31</v>
      </c>
      <c r="F28" s="30">
        <f>+E28/$E$20</f>
        <v>0.21160462157098259</v>
      </c>
      <c r="G28" s="30">
        <f>IF(C28=0,"",(E28-C28)/ABS(C28)+1)</f>
        <v>0.8249832402234637</v>
      </c>
      <c r="H28" s="61">
        <f>SUM(H26:H27)</f>
        <v>2398.4499999999998</v>
      </c>
      <c r="I28" s="30">
        <f>+H28/$H$20</f>
        <v>0.21809979603583873</v>
      </c>
      <c r="J28" s="30">
        <f>IF(H28=0,"",(E28-H28)/ABS(H28))</f>
        <v>-0.30734015718484853</v>
      </c>
      <c r="K28" s="61">
        <f>SUM(K26:K27)</f>
        <v>23936.41</v>
      </c>
      <c r="L28" s="30">
        <f>+K28/$K$20</f>
        <v>0.23392341562991323</v>
      </c>
      <c r="M28" s="61">
        <f>SUM(M26:M27)</f>
        <v>20664.060000000001</v>
      </c>
      <c r="N28" s="30">
        <f>+M28/$M$20</f>
        <v>0.23323698678192137</v>
      </c>
      <c r="O28" s="30">
        <f>IF(K28=0,"",(M28-K28)/ABS(K28)+1)</f>
        <v>0.86328985842070727</v>
      </c>
      <c r="P28" s="61">
        <f>SUM(P26:P27)</f>
        <v>24031.56</v>
      </c>
      <c r="Q28" s="30">
        <f>+P28/$P$20</f>
        <v>0.2387822597192131</v>
      </c>
      <c r="R28" s="30">
        <f>IF(P28=0,"",(M28-P28)/ABS(P28))</f>
        <v>-0.1401282313757409</v>
      </c>
      <c r="S28" s="30"/>
      <c r="T28" s="57"/>
      <c r="U28" s="3" t="s">
        <v>48</v>
      </c>
      <c r="V28" s="61"/>
      <c r="W28" s="61"/>
      <c r="X28" s="61"/>
      <c r="Y28" s="61">
        <f t="shared" si="4"/>
        <v>5000</v>
      </c>
      <c r="Z28" s="61">
        <f t="shared" si="5"/>
        <v>5453.7</v>
      </c>
      <c r="AA28" s="57">
        <f>+Z28-Y28</f>
        <v>453.69999999999982</v>
      </c>
      <c r="AB28" s="63">
        <f>IF(Y28=0,"",(Z28-Y28)/ABS(Y28)+1)</f>
        <v>1.09074</v>
      </c>
      <c r="AC28" s="61">
        <v>10286</v>
      </c>
      <c r="AD28" s="30">
        <f>IF(AC28=0,"",(Z28-AC28)/ABS(AC28))</f>
        <v>-0.46979389461403853</v>
      </c>
      <c r="AF28" s="62">
        <v>5000</v>
      </c>
      <c r="AG28" s="2">
        <v>10286</v>
      </c>
      <c r="AH28" s="2">
        <v>5453.7</v>
      </c>
    </row>
    <row r="29" spans="1:35" x14ac:dyDescent="0.2">
      <c r="J29" s="30"/>
      <c r="R29" s="30"/>
      <c r="S29" s="30"/>
      <c r="AF29" s="62"/>
    </row>
    <row r="30" spans="1:35" x14ac:dyDescent="0.2">
      <c r="B30" s="3" t="s">
        <v>49</v>
      </c>
      <c r="C30" s="61">
        <v>6518.22</v>
      </c>
      <c r="D30" s="30">
        <f>+C30/$C$20</f>
        <v>0.6581487842631214</v>
      </c>
      <c r="E30" s="61">
        <v>5980.06</v>
      </c>
      <c r="F30" s="30">
        <f>+E30/$E$20</f>
        <v>0.76169308152709025</v>
      </c>
      <c r="G30" s="30">
        <f>IF(C30=0,"",(E30-C30)/ABS(C30)+1)</f>
        <v>0.91743758265293285</v>
      </c>
      <c r="H30" s="61">
        <v>4932.42</v>
      </c>
      <c r="I30" s="30">
        <f>+H30/$H$20</f>
        <v>0.44852291937004807</v>
      </c>
      <c r="J30" s="30">
        <f>IF(H30=0,"",(E30-H30)/ABS(H30))</f>
        <v>0.2123987819366559</v>
      </c>
      <c r="K30" s="61">
        <v>72134.42</v>
      </c>
      <c r="L30" s="30">
        <f>+K30/$K$20</f>
        <v>0.70494823203992263</v>
      </c>
      <c r="M30" s="61">
        <v>64262.35</v>
      </c>
      <c r="N30" s="30">
        <f>+M30/$M$20</f>
        <v>0.72533456046513622</v>
      </c>
      <c r="O30" s="30">
        <f>IF(K30=0,"",(M30-K30)/ABS(K30)+1)</f>
        <v>0.8908694351462173</v>
      </c>
      <c r="P30" s="61">
        <v>62903.7</v>
      </c>
      <c r="Q30" s="30">
        <f>+P30/$P$20</f>
        <v>0.62502341215882218</v>
      </c>
      <c r="R30" s="30">
        <f>IF(P30=0,"",(M30-P30)/ABS(P30))</f>
        <v>2.1598888459661379E-2</v>
      </c>
      <c r="S30" s="30"/>
      <c r="T30" s="57"/>
      <c r="U30" s="19" t="s">
        <v>50</v>
      </c>
      <c r="V30" s="65">
        <f>V21-V23-V25-V27-V28</f>
        <v>10157.73900723889</v>
      </c>
      <c r="W30" s="65">
        <f>W21-W23-W25-W27-W28</f>
        <v>13044.450000000004</v>
      </c>
      <c r="X30" s="65">
        <f>X21-X23-X25-X27-X28</f>
        <v>19902.3</v>
      </c>
      <c r="Y30" s="65">
        <f>Y21-Y23-Y25-Y27-Y28</f>
        <v>10157.887427766689</v>
      </c>
      <c r="Z30" s="65">
        <f>Z21-Z23-Z25-Z27-Z28</f>
        <v>13044.539999999997</v>
      </c>
      <c r="AA30" s="67">
        <f>+Z30-Y30</f>
        <v>2886.6525722333081</v>
      </c>
      <c r="AB30" s="68">
        <f>IF(V30=0,"",(W30-V30)/ABS(V30)+1)</f>
        <v>1.2841883406045289</v>
      </c>
      <c r="AC30" s="65">
        <f>AC21-AC23-AC25-AC27-AC28</f>
        <v>19901.920000000002</v>
      </c>
      <c r="AD30" s="30">
        <f>IF(AC30=0,"",(Z30-AC30)/ABS(AC30))</f>
        <v>-0.34455871594298459</v>
      </c>
      <c r="AF30" s="62">
        <v>8795.2233386055814</v>
      </c>
      <c r="AG30" s="2">
        <v>13139.619999999999</v>
      </c>
      <c r="AH30" s="2">
        <v>12166.640000000003</v>
      </c>
    </row>
    <row r="31" spans="1:35" x14ac:dyDescent="0.2">
      <c r="B31" s="3" t="s">
        <v>51</v>
      </c>
      <c r="C31" s="61">
        <v>0</v>
      </c>
      <c r="D31" s="30">
        <f>+C31/$C$20</f>
        <v>0</v>
      </c>
      <c r="E31" s="61">
        <v>0</v>
      </c>
      <c r="F31" s="30">
        <f>+E31/$E$20</f>
        <v>0</v>
      </c>
      <c r="G31" s="30" t="str">
        <f>IF(C31=0,"",(E31-C31)/ABS(C31)+1)</f>
        <v/>
      </c>
      <c r="H31" s="61">
        <v>0</v>
      </c>
      <c r="I31" s="30">
        <f>+H31/$H$20</f>
        <v>0</v>
      </c>
      <c r="J31" s="30" t="str">
        <f>IF(H31=0,"",(E31-H31)/ABS(H31))</f>
        <v/>
      </c>
      <c r="K31" s="61">
        <v>0</v>
      </c>
      <c r="L31" s="30">
        <f>+K31/$K$20</f>
        <v>0</v>
      </c>
      <c r="M31" s="61">
        <v>0</v>
      </c>
      <c r="N31" s="30">
        <f>+M31/$M$20</f>
        <v>0</v>
      </c>
      <c r="O31" s="30" t="str">
        <f>IF(K31=0,"",(M31-K31)/ABS(K31)+1)</f>
        <v/>
      </c>
      <c r="P31" s="61">
        <v>0</v>
      </c>
      <c r="Q31" s="30">
        <f>+P31/$P$20</f>
        <v>0</v>
      </c>
      <c r="R31" s="30" t="str">
        <f>IF(P31=0,"",(M31-P31)/ABS(P31))</f>
        <v/>
      </c>
      <c r="S31" s="30"/>
      <c r="T31" s="57"/>
      <c r="U31" s="49"/>
      <c r="V31" s="55" t="s">
        <v>61</v>
      </c>
      <c r="W31" s="57" t="s">
        <v>61</v>
      </c>
      <c r="X31" s="55"/>
      <c r="Y31" s="61" t="s">
        <v>61</v>
      </c>
      <c r="Z31" s="61" t="s">
        <v>61</v>
      </c>
      <c r="AA31" s="55"/>
      <c r="AB31" s="55"/>
      <c r="AC31" s="61"/>
      <c r="AD31" s="55"/>
      <c r="AE31" s="55"/>
      <c r="AF31" s="55" t="s">
        <v>61</v>
      </c>
      <c r="AG31" s="55"/>
      <c r="AH31" s="2" t="s">
        <v>61</v>
      </c>
    </row>
    <row r="32" spans="1:35" x14ac:dyDescent="0.2">
      <c r="B32" s="3" t="s">
        <v>52</v>
      </c>
      <c r="C32" s="61">
        <f>SUM(C30:C31)</f>
        <v>6518.22</v>
      </c>
      <c r="D32" s="30">
        <f>+C32/$C$20</f>
        <v>0.6581487842631214</v>
      </c>
      <c r="E32" s="61">
        <f>SUM(E30:E31)</f>
        <v>5980.06</v>
      </c>
      <c r="F32" s="30">
        <f>+E32/$E$20</f>
        <v>0.76169308152709025</v>
      </c>
      <c r="G32" s="30">
        <f>IF(C32=0,"",(E32-C32)/ABS(C32)+1)</f>
        <v>0.91743758265293285</v>
      </c>
      <c r="H32" s="61">
        <f>SUM(H30:H31)</f>
        <v>4932.42</v>
      </c>
      <c r="I32" s="30">
        <f>+H32/$H$20</f>
        <v>0.44852291937004807</v>
      </c>
      <c r="J32" s="30">
        <f>IF(H32=0,"",(E32-H32)/ABS(H32))</f>
        <v>0.2123987819366559</v>
      </c>
      <c r="K32" s="61">
        <f>SUM(K30:K31)</f>
        <v>72134.42</v>
      </c>
      <c r="L32" s="30">
        <f>+K32/$K$20</f>
        <v>0.70494823203992263</v>
      </c>
      <c r="M32" s="61">
        <f>SUM(M30:M31)</f>
        <v>64262.35</v>
      </c>
      <c r="N32" s="30">
        <f>+M32/$M$20</f>
        <v>0.72533456046513622</v>
      </c>
      <c r="O32" s="30">
        <f>IF(K32=0,"",(M32-K32)/ABS(K32)+1)</f>
        <v>0.8908694351462173</v>
      </c>
      <c r="P32" s="61">
        <f>SUM(P30:P31)</f>
        <v>62903.7</v>
      </c>
      <c r="Q32" s="30">
        <f>+P32/$P$20</f>
        <v>0.62502341215882218</v>
      </c>
      <c r="R32" s="30">
        <f>IF(P32=0,"",(M32-P32)/ABS(P32))</f>
        <v>2.1598888459661379E-2</v>
      </c>
      <c r="S32" s="30"/>
      <c r="T32" s="57"/>
      <c r="Y32" s="49"/>
      <c r="Z32" s="49"/>
      <c r="AA32" s="49"/>
    </row>
    <row r="33" spans="1:28" x14ac:dyDescent="0.2">
      <c r="J33" s="30"/>
      <c r="R33" s="30"/>
      <c r="S33" s="30"/>
      <c r="AA33" s="48"/>
      <c r="AB33" s="48"/>
    </row>
    <row r="34" spans="1:28" x14ac:dyDescent="0.2">
      <c r="B34" s="3" t="s">
        <v>53</v>
      </c>
      <c r="C34" s="61">
        <f>C28+C32</f>
        <v>8531.9700000000012</v>
      </c>
      <c r="D34" s="30">
        <f>+C34/$C$20</f>
        <v>0.86147839178018293</v>
      </c>
      <c r="E34" s="61">
        <f>E28+E32</f>
        <v>7641.3700000000008</v>
      </c>
      <c r="F34" s="30">
        <f>+E34/$E$20</f>
        <v>0.97329770309807295</v>
      </c>
      <c r="G34" s="30">
        <f>IF(C34=0,"",(E34-C34)/ABS(C34)+1)</f>
        <v>0.89561613554665565</v>
      </c>
      <c r="H34" s="61">
        <f>H28+H32</f>
        <v>7330.87</v>
      </c>
      <c r="I34" s="30">
        <f>+H34/$H$20</f>
        <v>0.6666227154058868</v>
      </c>
      <c r="J34" s="30">
        <f>IF(H34=0,"",(E34-H34)/ABS(H34))</f>
        <v>4.2355136566328541E-2</v>
      </c>
      <c r="K34" s="61">
        <f>K28+K32</f>
        <v>96070.83</v>
      </c>
      <c r="L34" s="30">
        <f>+K34/$K$20</f>
        <v>0.93887164766983588</v>
      </c>
      <c r="M34" s="61">
        <f>M28+M32</f>
        <v>84926.41</v>
      </c>
      <c r="N34" s="30">
        <f>+M34/$M$20</f>
        <v>0.95857154724705762</v>
      </c>
      <c r="O34" s="30">
        <f>IF(K34=0,"",(M34-K34)/ABS(K34)+1)</f>
        <v>0.883997879481212</v>
      </c>
      <c r="P34" s="61">
        <f>P28+P32</f>
        <v>86935.26</v>
      </c>
      <c r="Q34" s="30">
        <f>+P34/$P$20</f>
        <v>0.86380567187803514</v>
      </c>
      <c r="R34" s="30">
        <f>IF(P34=0,"",(M34-P34)/ABS(P34))</f>
        <v>-2.3107424996485791E-2</v>
      </c>
      <c r="S34" s="30"/>
      <c r="T34" s="57"/>
    </row>
    <row r="35" spans="1:28" x14ac:dyDescent="0.2">
      <c r="J35" s="30"/>
      <c r="R35" s="30"/>
      <c r="S35" s="30"/>
      <c r="T35" s="57"/>
    </row>
    <row r="36" spans="1:28" x14ac:dyDescent="0.2">
      <c r="B36" s="19" t="s">
        <v>54</v>
      </c>
      <c r="C36" s="65">
        <f>C24-C34</f>
        <v>1285.9599999999991</v>
      </c>
      <c r="D36" s="38">
        <f>+C36/$C$20</f>
        <v>0.12984419221980892</v>
      </c>
      <c r="E36" s="65">
        <f>E24-E34</f>
        <v>209.63999999999851</v>
      </c>
      <c r="F36" s="38">
        <f>+E36/$E$20</f>
        <v>2.6702296901927082E-2</v>
      </c>
      <c r="G36" s="38">
        <f>IF(C36=0,"",(E36-C36)/ABS(C36)+1)</f>
        <v>0.16302217798376206</v>
      </c>
      <c r="H36" s="65">
        <f>H24-H34</f>
        <v>3666.1600000000008</v>
      </c>
      <c r="I36" s="38">
        <f>+H36/$H$20</f>
        <v>0.3333772845941132</v>
      </c>
      <c r="J36" s="38">
        <f>IF(H36=0,"",(E36-H36)/ABS(H36))</f>
        <v>-0.94281755297095637</v>
      </c>
      <c r="K36" s="65">
        <f>K24-K34</f>
        <v>5331.6199999999953</v>
      </c>
      <c r="L36" s="38">
        <f>+K36/$K$20</f>
        <v>5.2104336499949527E-2</v>
      </c>
      <c r="M36" s="65">
        <f>M24-M34</f>
        <v>3622.7299999999959</v>
      </c>
      <c r="N36" s="38">
        <f>+M36/$M$20</f>
        <v>4.0890058832798053E-2</v>
      </c>
      <c r="O36" s="38">
        <f>IF(K36=0,"",(M36-K36)/ABS(K36)+1)</f>
        <v>0.67948015800075756</v>
      </c>
      <c r="P36" s="65">
        <f>P24-P34</f>
        <v>12640.39</v>
      </c>
      <c r="Q36" s="38">
        <f>+P36/$P$20</f>
        <v>0.12559737644714467</v>
      </c>
      <c r="R36" s="38">
        <f>IF(P36=0,"",(M36-P36)/ABS(P36))</f>
        <v>-0.71340045678970376</v>
      </c>
      <c r="S36" s="38"/>
      <c r="T36" s="57"/>
      <c r="V36" s="49"/>
      <c r="W36" s="49"/>
      <c r="Y36" s="49"/>
    </row>
    <row r="37" spans="1:28" x14ac:dyDescent="0.2">
      <c r="J37" s="30"/>
      <c r="R37" s="30"/>
      <c r="S37" s="30"/>
      <c r="U37" s="2" t="s">
        <v>108</v>
      </c>
      <c r="V37" s="48" t="s">
        <v>6</v>
      </c>
      <c r="W37" s="48" t="s">
        <v>109</v>
      </c>
      <c r="X37" s="48"/>
    </row>
    <row r="38" spans="1:28" x14ac:dyDescent="0.2">
      <c r="B38" s="3" t="s">
        <v>55</v>
      </c>
      <c r="C38" s="61">
        <v>0.76</v>
      </c>
      <c r="D38" s="30">
        <f>+C38/$C$20</f>
        <v>7.6737679311218734E-5</v>
      </c>
      <c r="E38" s="61">
        <v>21.41</v>
      </c>
      <c r="F38" s="30">
        <f>+E38/$E$20</f>
        <v>2.7270376677650393E-3</v>
      </c>
      <c r="G38" s="30">
        <f>IF(C38=0,"",(E38-C38)/ABS(C38)+1)</f>
        <v>28.171052631578945</v>
      </c>
      <c r="H38" s="61">
        <v>0</v>
      </c>
      <c r="I38" s="30">
        <f>+H38/$H$20</f>
        <v>0</v>
      </c>
      <c r="J38" s="30" t="str">
        <f>IF(H38=0,"",(E38-H38)/ABS(H38))</f>
        <v/>
      </c>
      <c r="K38" s="61">
        <v>8.36</v>
      </c>
      <c r="L38" s="30">
        <f>+K38/$K$20</f>
        <v>8.1699793522340005E-5</v>
      </c>
      <c r="M38" s="61">
        <v>171.41</v>
      </c>
      <c r="N38" s="30">
        <f>+M38/$M$20</f>
        <v>1.9347191163928646E-3</v>
      </c>
      <c r="O38" s="30">
        <f>IF(K38=0,"",(M38-K38)/ABS(K38)+1)</f>
        <v>20.503588516746415</v>
      </c>
      <c r="P38" s="61">
        <v>832.4</v>
      </c>
      <c r="Q38" s="30">
        <f>+P38/$P$20</f>
        <v>8.2708884895642629E-3</v>
      </c>
      <c r="R38" s="30">
        <f>IF(P38=0,"",(M38-P38)/ABS(P38))</f>
        <v>-0.79407736665064876</v>
      </c>
      <c r="S38" s="30"/>
      <c r="T38" s="57"/>
      <c r="U38" s="2" t="s">
        <v>110</v>
      </c>
      <c r="V38" s="49">
        <f>+V30</f>
        <v>10157.73900723889</v>
      </c>
      <c r="W38" s="49">
        <f>+W30</f>
        <v>13044.450000000004</v>
      </c>
      <c r="X38" s="90">
        <f>+W38/V38</f>
        <v>1.2841883406045289</v>
      </c>
    </row>
    <row r="39" spans="1:28" x14ac:dyDescent="0.2">
      <c r="B39" s="3" t="s">
        <v>56</v>
      </c>
      <c r="C39" s="61">
        <v>63.02</v>
      </c>
      <c r="D39" s="30">
        <f>+C39/$C$20</f>
        <v>6.3631691449907964E-3</v>
      </c>
      <c r="E39" s="61">
        <v>6.03</v>
      </c>
      <c r="F39" s="30">
        <f>+E39/$E$20</f>
        <v>7.6805404654942491E-4</v>
      </c>
      <c r="G39" s="30">
        <f>IF(C39=0,"",(E39-C39)/ABS(C39)+1)</f>
        <v>9.5683909869882622E-2</v>
      </c>
      <c r="H39" s="61">
        <v>-0.19</v>
      </c>
      <c r="I39" s="30">
        <f>+H39/$H$20</f>
        <v>-1.7277392168612797E-5</v>
      </c>
      <c r="J39" s="30">
        <f>IF(H39=0,"",(E39-H39)/ABS(H39))</f>
        <v>32.736842105263158</v>
      </c>
      <c r="K39" s="61">
        <v>693.22</v>
      </c>
      <c r="L39" s="30">
        <f>+K39/$K$20</f>
        <v>6.7746328786550888E-3</v>
      </c>
      <c r="M39" s="61">
        <v>121.17</v>
      </c>
      <c r="N39" s="30">
        <f>+M39/$M$20</f>
        <v>1.3676560021779558E-3</v>
      </c>
      <c r="O39" s="30">
        <f>IF(K39=0,"",(M39-K39)/ABS(K39)+1)</f>
        <v>0.17479299500879941</v>
      </c>
      <c r="P39" s="61">
        <v>202.43</v>
      </c>
      <c r="Q39" s="30">
        <f>+P39/$P$20</f>
        <v>2.0113838982970854E-3</v>
      </c>
      <c r="R39" s="30">
        <f>IF(P39=0,"",(M39-P39)/ABS(P39))</f>
        <v>-0.40142271402460111</v>
      </c>
      <c r="S39" s="30"/>
      <c r="T39" s="57"/>
      <c r="U39" s="2" t="s">
        <v>111</v>
      </c>
      <c r="V39" s="49">
        <f>+'VENEZUELA USD'!W24</f>
        <v>0</v>
      </c>
      <c r="W39" s="49">
        <f>+'VENEZUELA USD'!Y24</f>
        <v>0</v>
      </c>
    </row>
    <row r="40" spans="1:28" x14ac:dyDescent="0.2">
      <c r="J40" s="30"/>
      <c r="R40" s="30"/>
      <c r="S40" s="30"/>
      <c r="U40" s="2" t="s">
        <v>112</v>
      </c>
      <c r="V40" s="49">
        <f>+'PANAMA USD'!U30</f>
        <v>0</v>
      </c>
      <c r="W40" s="49">
        <f>+'PANAMA USD'!V30</f>
        <v>0</v>
      </c>
    </row>
    <row r="41" spans="1:28" x14ac:dyDescent="0.2">
      <c r="B41" s="3" t="s">
        <v>57</v>
      </c>
      <c r="C41" s="61">
        <f>C36+C38-C39</f>
        <v>1223.6999999999991</v>
      </c>
      <c r="D41" s="30">
        <f>+C41/$C$20</f>
        <v>0.12355776075412934</v>
      </c>
      <c r="E41" s="61">
        <f>E36+E38-E39</f>
        <v>225.0199999999985</v>
      </c>
      <c r="F41" s="30">
        <f>+E41/$E$20</f>
        <v>2.8661280523142693E-2</v>
      </c>
      <c r="G41" s="30">
        <f>IF(C41=0,"",(E41-C41)/ABS(C41)+1)</f>
        <v>0.18388493911906401</v>
      </c>
      <c r="H41" s="61">
        <f>H36+H38-H39</f>
        <v>3666.3500000000008</v>
      </c>
      <c r="I41" s="30">
        <f>+H41/$H$20</f>
        <v>0.33339456198628181</v>
      </c>
      <c r="J41" s="30">
        <f>IF(H41=0,"",(E41-H41)/ABS(H41))</f>
        <v>-0.93862560857528643</v>
      </c>
      <c r="K41" s="61">
        <f>K36+K38-K39</f>
        <v>4646.7599999999948</v>
      </c>
      <c r="L41" s="30">
        <f>+K41/$K$20</f>
        <v>4.5411403414816774E-2</v>
      </c>
      <c r="M41" s="61">
        <f>M36+M38-M39</f>
        <v>3672.9699999999957</v>
      </c>
      <c r="N41" s="30">
        <f>+M41/$M$20</f>
        <v>4.1457121947012961E-2</v>
      </c>
      <c r="O41" s="30">
        <f>IF(K41=0,"",(M41-K41)/ABS(K41)+1)</f>
        <v>0.79043677745353746</v>
      </c>
      <c r="P41" s="61">
        <f>P36+P38-P39</f>
        <v>13270.359999999999</v>
      </c>
      <c r="Q41" s="30">
        <f>+P41/$P$20</f>
        <v>0.13185688103841184</v>
      </c>
      <c r="R41" s="30">
        <f>IF(P41=0,"",(M41-P41)/ABS(P41))</f>
        <v>-0.72322001814570247</v>
      </c>
      <c r="S41" s="30"/>
      <c r="T41" s="57"/>
      <c r="U41" s="2" t="s">
        <v>113</v>
      </c>
      <c r="V41" s="49">
        <f>SUM(V38:V40)</f>
        <v>10157.73900723889</v>
      </c>
      <c r="W41" s="49">
        <f>SUM(W38:W40)</f>
        <v>13044.450000000004</v>
      </c>
      <c r="X41" s="2" t="s">
        <v>114</v>
      </c>
    </row>
    <row r="42" spans="1:28" x14ac:dyDescent="0.2">
      <c r="A42" s="89"/>
      <c r="B42" s="3" t="s">
        <v>43</v>
      </c>
      <c r="C42" s="61">
        <v>397.05</v>
      </c>
      <c r="D42" s="30">
        <f>+C42/$C$20</f>
        <v>4.0090388908578162E-2</v>
      </c>
      <c r="E42" s="61">
        <v>56.25</v>
      </c>
      <c r="F42" s="30">
        <f>+E42/$E$20</f>
        <v>7.1646832700506058E-3</v>
      </c>
      <c r="G42" s="30">
        <f>IF(C42=0,"",(E42-C42)/ABS(C42)+1)</f>
        <v>0.14166981488477526</v>
      </c>
      <c r="H42" s="61">
        <v>871.79</v>
      </c>
      <c r="I42" s="30">
        <f>+H42/$H$20</f>
        <v>7.9275040624604998E-2</v>
      </c>
      <c r="J42" s="30">
        <f>IF(H42=0,"",(E42-H42)/ABS(H42))</f>
        <v>-0.9354775806100093</v>
      </c>
      <c r="K42" s="61">
        <v>1363.93</v>
      </c>
      <c r="L42" s="30">
        <f>+K42/$K$20</f>
        <v>1.3329282222359476E-2</v>
      </c>
      <c r="M42" s="61">
        <v>896.03</v>
      </c>
      <c r="N42" s="30">
        <f>+M42/$M$20</f>
        <v>1.0113566127189187E-2</v>
      </c>
      <c r="O42" s="30">
        <f>IF(K42=0,"",(M42-K42)/ABS(K42)+1)</f>
        <v>0.65694720403539764</v>
      </c>
      <c r="P42" s="61">
        <v>3699.23</v>
      </c>
      <c r="Q42" s="30">
        <f>+P42/$P$20</f>
        <v>3.67562696146694E-2</v>
      </c>
      <c r="R42" s="30">
        <f>IF(P42=0,"",(M42-P42)/ABS(P42))</f>
        <v>-0.75777932164261208</v>
      </c>
      <c r="S42" s="30"/>
      <c r="T42" s="57"/>
      <c r="U42" s="2" t="s">
        <v>115</v>
      </c>
      <c r="V42" s="49">
        <f>+V41-V39</f>
        <v>10157.73900723889</v>
      </c>
      <c r="W42" s="49">
        <f>+W41-W39</f>
        <v>13044.450000000004</v>
      </c>
      <c r="X42" s="91">
        <f>+W42/V42</f>
        <v>1.2841883406045289</v>
      </c>
    </row>
    <row r="43" spans="1:28" x14ac:dyDescent="0.2">
      <c r="B43" s="19" t="s">
        <v>58</v>
      </c>
      <c r="C43" s="65">
        <f>C41-C42</f>
        <v>826.64999999999918</v>
      </c>
      <c r="D43" s="38">
        <f>+C43/$C$20</f>
        <v>8.3467371845551197E-2</v>
      </c>
      <c r="E43" s="65">
        <f>E41-E42</f>
        <v>168.7699999999985</v>
      </c>
      <c r="F43" s="38">
        <f>+E43/$E$20</f>
        <v>2.1496597253092088E-2</v>
      </c>
      <c r="G43" s="38">
        <f>IF(C43=0,"",(E43-C43)/ABS(C43)+1)</f>
        <v>0.2041613742212528</v>
      </c>
      <c r="H43" s="65">
        <f>H41-H42</f>
        <v>2794.5600000000009</v>
      </c>
      <c r="I43" s="38">
        <f>+H43/$H$20</f>
        <v>0.25411952136167681</v>
      </c>
      <c r="J43" s="38">
        <f>IF(H43=0,"",(E43-H43)/ABS(H43))</f>
        <v>-0.93960766632314263</v>
      </c>
      <c r="K43" s="65">
        <f>K41-K42</f>
        <v>3282.8299999999945</v>
      </c>
      <c r="L43" s="38">
        <f>+K43/$K$20</f>
        <v>3.2082121192457298E-2</v>
      </c>
      <c r="M43" s="65">
        <f>M41-M42</f>
        <v>2776.939999999996</v>
      </c>
      <c r="N43" s="38">
        <f>+M43/$M$20</f>
        <v>3.134355581982378E-2</v>
      </c>
      <c r="O43" s="38">
        <f>IF(K43=0,"",(M43-K43)/ABS(K43)+1)</f>
        <v>0.84589820368401669</v>
      </c>
      <c r="P43" s="65">
        <f>P41-P42</f>
        <v>9571.1299999999992</v>
      </c>
      <c r="Q43" s="38">
        <f>+P43/$P$20</f>
        <v>9.5100611423742432E-2</v>
      </c>
      <c r="R43" s="38">
        <f>IF(P43=0,"",(M43-P43)/ABS(P43))</f>
        <v>-0.70986288975282996</v>
      </c>
      <c r="S43" s="38"/>
      <c r="T43" s="57"/>
    </row>
    <row r="44" spans="1:28" x14ac:dyDescent="0.2">
      <c r="J44" s="30"/>
      <c r="R44" s="30"/>
      <c r="S44" s="30"/>
    </row>
    <row r="45" spans="1:28" x14ac:dyDescent="0.2">
      <c r="A45" s="89"/>
      <c r="B45" s="3" t="s">
        <v>59</v>
      </c>
      <c r="C45" s="61">
        <v>1744.7399999999991</v>
      </c>
      <c r="D45" s="30">
        <f>+C45/$C$20</f>
        <v>0.17616749815981014</v>
      </c>
      <c r="E45" s="61">
        <v>542.69999999999845</v>
      </c>
      <c r="F45" s="30">
        <f>+E45/$E$20</f>
        <v>6.9124864189448049E-2</v>
      </c>
      <c r="G45" s="30">
        <f>IF(C45=0,"",(E45-C45)/ABS(C45)+1)</f>
        <v>0.3110492107706585</v>
      </c>
      <c r="H45" s="61">
        <v>4029.3700000000008</v>
      </c>
      <c r="I45" s="30">
        <f>+H45/$H$20</f>
        <v>0.36640529306549136</v>
      </c>
      <c r="J45" s="30">
        <f>IF(H45=0,"",(E45-H45)/ABS(H45))</f>
        <v>-0.8653139324509791</v>
      </c>
      <c r="K45" s="61">
        <v>10378.199999999995</v>
      </c>
      <c r="L45" s="30">
        <f>+K45/$K$20</f>
        <v>0.10142306185807999</v>
      </c>
      <c r="M45" s="61">
        <v>7422.5699999999961</v>
      </c>
      <c r="N45" s="30">
        <f>+M45/$M$20</f>
        <v>8.3779173162383633E-2</v>
      </c>
      <c r="O45" s="30">
        <f>IF(K45=0,"",(M45-K45)/ABS(K45)+1)</f>
        <v>0.71520783950974154</v>
      </c>
      <c r="P45" s="61">
        <v>17129.89</v>
      </c>
      <c r="Q45" s="30">
        <f>+P45/$P$20</f>
        <v>0.17020592266759008</v>
      </c>
      <c r="R45" s="30">
        <f>IF(P45=0,"",(M45-P45)/ABS(P45))</f>
        <v>-0.56668898632740805</v>
      </c>
      <c r="S45" s="30"/>
      <c r="T45" s="57"/>
    </row>
    <row r="46" spans="1:28" x14ac:dyDescent="0.2">
      <c r="B46" s="3" t="s">
        <v>34</v>
      </c>
      <c r="C46" s="61">
        <v>6346.89</v>
      </c>
      <c r="D46" s="30">
        <f>+C46/$C$20</f>
        <v>0.64084948610997516</v>
      </c>
      <c r="E46" s="61">
        <v>5765.57</v>
      </c>
      <c r="F46" s="30">
        <f>+E46/$E$20</f>
        <v>0.73437302971210072</v>
      </c>
      <c r="G46" s="30">
        <f>IF(C46=0,"",(E46-C46)/ABS(C46)+1)</f>
        <v>0.90840868519857754</v>
      </c>
      <c r="H46" s="61">
        <v>4986.0200000000004</v>
      </c>
      <c r="I46" s="30">
        <f>+H46/$H$20</f>
        <v>0.45339696263445678</v>
      </c>
      <c r="J46" s="30">
        <f>IF(H46=0,"",(E46-H46)/ABS(H46))</f>
        <v>0.15634714662195481</v>
      </c>
      <c r="K46" s="61">
        <v>68615.789999999994</v>
      </c>
      <c r="L46" s="30">
        <f>+K46/$K$20</f>
        <v>0.67056170758041167</v>
      </c>
      <c r="M46" s="61">
        <v>60987.28</v>
      </c>
      <c r="N46" s="30">
        <f>+M46/$M$20</f>
        <v>0.68836856935303792</v>
      </c>
      <c r="O46" s="30">
        <f>IF(K46=0,"",(M46-K46)/ABS(K46)+1)</f>
        <v>0.88882282051988337</v>
      </c>
      <c r="P46" s="61">
        <v>59697.13</v>
      </c>
      <c r="Q46" s="30">
        <f>+P46/$P$20</f>
        <v>0.59316230823765193</v>
      </c>
      <c r="R46" s="30">
        <f>IF(P46=0,"",(M46-P46)/ABS(P46))</f>
        <v>2.1611591713035477E-2</v>
      </c>
      <c r="S46" s="30"/>
    </row>
    <row r="47" spans="1:28" x14ac:dyDescent="0.2">
      <c r="B47" s="3"/>
      <c r="C47" s="2" t="s">
        <v>61</v>
      </c>
      <c r="E47" s="2" t="s">
        <v>61</v>
      </c>
      <c r="K47" s="2" t="s">
        <v>61</v>
      </c>
      <c r="M47" s="2" t="s">
        <v>61</v>
      </c>
    </row>
    <row r="49" spans="2:19" x14ac:dyDescent="0.2">
      <c r="M49" s="49"/>
    </row>
    <row r="55" spans="2:19" x14ac:dyDescent="0.2">
      <c r="H55" s="49"/>
    </row>
    <row r="56" spans="2:19" x14ac:dyDescent="0.2">
      <c r="B56" s="2" t="s">
        <v>116</v>
      </c>
      <c r="C56" s="49" t="s">
        <v>117</v>
      </c>
      <c r="E56" s="49" t="s">
        <v>118</v>
      </c>
      <c r="N56" s="49" t="s">
        <v>119</v>
      </c>
      <c r="R56" s="49" t="s">
        <v>120</v>
      </c>
      <c r="S56" s="49"/>
    </row>
    <row r="57" spans="2:19" x14ac:dyDescent="0.2">
      <c r="B57" s="2" t="s">
        <v>110</v>
      </c>
      <c r="C57" s="49">
        <f>+C36</f>
        <v>1285.9599999999991</v>
      </c>
      <c r="E57" s="49">
        <f>+E36</f>
        <v>209.63999999999851</v>
      </c>
      <c r="N57" s="49">
        <f>+K36</f>
        <v>5331.6199999999953</v>
      </c>
      <c r="R57" s="49">
        <f>+M36</f>
        <v>3622.7299999999959</v>
      </c>
      <c r="S57" s="49"/>
    </row>
    <row r="58" spans="2:19" x14ac:dyDescent="0.2">
      <c r="B58" s="2" t="s">
        <v>121</v>
      </c>
      <c r="C58" s="49">
        <f>+'VENEZUELA USD'!C36</f>
        <v>0</v>
      </c>
      <c r="E58" s="49">
        <f>+'VENEZUELA USD'!E36</f>
        <v>1525.9766412213748</v>
      </c>
      <c r="N58" s="49">
        <f>+'VENEZUELA USD'!K36</f>
        <v>0</v>
      </c>
      <c r="R58" s="49" t="str">
        <f>+'VENEZUELA USD'!O36</f>
        <v/>
      </c>
      <c r="S58" s="49"/>
    </row>
    <row r="59" spans="2:19" x14ac:dyDescent="0.2">
      <c r="B59" s="2" t="s">
        <v>122</v>
      </c>
      <c r="C59" s="49">
        <f>+'PANAMA USD'!C36</f>
        <v>0</v>
      </c>
      <c r="E59" s="49">
        <f>+'PANAMA USD'!E36</f>
        <v>0</v>
      </c>
      <c r="N59" s="49">
        <f>+'PANAMA USD'!K36</f>
        <v>0</v>
      </c>
      <c r="R59" s="49">
        <f>+'PANAMA USD'!M36</f>
        <v>-4045</v>
      </c>
      <c r="S59" s="49"/>
    </row>
    <row r="60" spans="2:19" x14ac:dyDescent="0.2">
      <c r="B60" s="2" t="s">
        <v>123</v>
      </c>
      <c r="C60" s="49">
        <f>SUM(C57:C59)</f>
        <v>1285.9599999999991</v>
      </c>
      <c r="E60" s="49">
        <f>SUM(E57:E59)</f>
        <v>1735.6166412213734</v>
      </c>
      <c r="N60" s="49">
        <f>SUM(N57:N59)</f>
        <v>5331.6199999999953</v>
      </c>
      <c r="R60" s="49">
        <f>SUM(R57:R59)</f>
        <v>-422.27000000000407</v>
      </c>
      <c r="S60" s="49"/>
    </row>
    <row r="61" spans="2:19" x14ac:dyDescent="0.2">
      <c r="B61" s="2" t="s">
        <v>124</v>
      </c>
      <c r="C61" s="49">
        <f>+C60-C58</f>
        <v>1285.9599999999991</v>
      </c>
      <c r="E61" s="49">
        <f>+E60-E58</f>
        <v>209.63999999999851</v>
      </c>
    </row>
    <row r="62" spans="2:19" x14ac:dyDescent="0.2">
      <c r="B62" s="74" t="s">
        <v>125</v>
      </c>
    </row>
    <row r="63" spans="2:19" x14ac:dyDescent="0.2">
      <c r="B63" s="2" t="s">
        <v>110</v>
      </c>
      <c r="C63" s="49">
        <f>+C43</f>
        <v>826.64999999999918</v>
      </c>
      <c r="E63" s="49">
        <f>+E43</f>
        <v>168.7699999999985</v>
      </c>
      <c r="K63" s="2">
        <f>+E63/C63</f>
        <v>0.20416137422125286</v>
      </c>
    </row>
    <row r="64" spans="2:19" x14ac:dyDescent="0.2">
      <c r="B64" s="2" t="s">
        <v>126</v>
      </c>
      <c r="C64" s="49">
        <f>+'VENEZUELA USD'!C43</f>
        <v>0</v>
      </c>
      <c r="E64" s="49">
        <f>+'VENEZUELA USD'!E43</f>
        <v>-176.9752671755717</v>
      </c>
    </row>
    <row r="65" spans="2:6" x14ac:dyDescent="0.2">
      <c r="B65" s="2" t="s">
        <v>122</v>
      </c>
      <c r="C65" s="49">
        <f>+'PANAMA USD'!C43</f>
        <v>0</v>
      </c>
      <c r="E65" s="49">
        <f>+'PANAMA USD'!E43</f>
        <v>0</v>
      </c>
    </row>
    <row r="66" spans="2:6" x14ac:dyDescent="0.2">
      <c r="B66" s="2" t="s">
        <v>127</v>
      </c>
      <c r="C66" s="49">
        <f>SUM(C63:C65)</f>
        <v>826.64999999999918</v>
      </c>
      <c r="E66" s="49">
        <f>SUM(E63:E65)</f>
        <v>-8.2052671755731978</v>
      </c>
    </row>
    <row r="68" spans="2:6" x14ac:dyDescent="0.2">
      <c r="B68" s="74" t="s">
        <v>128</v>
      </c>
      <c r="C68" s="92">
        <f>+C63+C65</f>
        <v>826.64999999999918</v>
      </c>
      <c r="D68" s="74"/>
      <c r="E68" s="92">
        <f>+E63+E65</f>
        <v>168.7699999999985</v>
      </c>
      <c r="F68" s="90">
        <f>+E68/C68</f>
        <v>0.20416137422125286</v>
      </c>
    </row>
  </sheetData>
  <conditionalFormatting sqref="R10:S46">
    <cfRule type="cellIs" dxfId="60" priority="3" operator="lessThan">
      <formula>0</formula>
    </cfRule>
  </conditionalFormatting>
  <conditionalFormatting sqref="J10:J46">
    <cfRule type="cellIs" dxfId="59" priority="2" operator="lessThan">
      <formula>0</formula>
    </cfRule>
  </conditionalFormatting>
  <conditionalFormatting sqref="AD19:AD28 AD30 AD10:AD11 AD13:AD17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861E2-F27F-48BE-83AE-408DDEDEBC29}">
  <sheetPr>
    <tabColor theme="0" tint="-0.14999847407452621"/>
  </sheetPr>
  <dimension ref="A1:AH48"/>
  <sheetViews>
    <sheetView showGridLines="0" zoomScale="98" zoomScaleNormal="98" workbookViewId="0">
      <selection activeCell="O6" sqref="O6"/>
    </sheetView>
  </sheetViews>
  <sheetFormatPr baseColWidth="10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9.5703125" style="2" bestFit="1" customWidth="1"/>
    <col min="12" max="12" width="8.4257812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6.42578125" style="2" bestFit="1" customWidth="1"/>
    <col min="19" max="19" width="14.140625" style="57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48" customFormat="1" ht="19.5" customHeight="1" x14ac:dyDescent="0.2">
      <c r="B1" s="43"/>
      <c r="S1" s="57"/>
    </row>
    <row r="2" spans="1:34" ht="13.5" customHeight="1" x14ac:dyDescent="0.2">
      <c r="A2" s="48"/>
      <c r="X2" s="48"/>
      <c r="Y2" s="48"/>
    </row>
    <row r="3" spans="1:34" ht="25.5" customHeight="1" x14ac:dyDescent="0.25">
      <c r="B3" s="15" t="s">
        <v>129</v>
      </c>
      <c r="T3" s="17" t="s">
        <v>129</v>
      </c>
    </row>
    <row r="4" spans="1:34" x14ac:dyDescent="0.2">
      <c r="B4" s="3" t="s">
        <v>105</v>
      </c>
      <c r="C4" s="86"/>
      <c r="S4" s="93"/>
      <c r="T4" s="3" t="s">
        <v>20</v>
      </c>
    </row>
    <row r="5" spans="1:34" ht="15.75" customHeight="1" thickBot="1" x14ac:dyDescent="0.25">
      <c r="B5" s="3" t="s">
        <v>130</v>
      </c>
      <c r="T5" s="3" t="s">
        <v>130</v>
      </c>
      <c r="X5" s="20" t="s">
        <v>22</v>
      </c>
      <c r="Y5" s="20"/>
      <c r="Z5" s="20"/>
      <c r="AA5" s="20"/>
      <c r="AB5" s="20"/>
      <c r="AC5" s="20"/>
      <c r="AD5" s="2" t="s">
        <v>106</v>
      </c>
    </row>
    <row r="6" spans="1:34" ht="13.5" thickBot="1" x14ac:dyDescent="0.25">
      <c r="B6" s="74" t="str">
        <f>+'COL. CONS.$'!B6</f>
        <v>NOVIEMBRE De 2022</v>
      </c>
      <c r="K6" s="94" t="s">
        <v>22</v>
      </c>
      <c r="L6" s="94"/>
      <c r="M6" s="94"/>
      <c r="N6" s="94"/>
      <c r="O6" s="94"/>
      <c r="P6" s="94"/>
      <c r="Q6" s="94"/>
      <c r="R6" s="94"/>
      <c r="T6" s="19" t="str">
        <f>+B6</f>
        <v>NOVIEMBRE De 2022</v>
      </c>
      <c r="Z6" s="2" t="s">
        <v>25</v>
      </c>
      <c r="AA6" s="2" t="s">
        <v>23</v>
      </c>
      <c r="AC6" s="2" t="s">
        <v>24</v>
      </c>
      <c r="AD6" s="2" t="s">
        <v>63</v>
      </c>
      <c r="AE6" s="2" t="s">
        <v>131</v>
      </c>
      <c r="AF6" s="2" t="s">
        <v>107</v>
      </c>
    </row>
    <row r="7" spans="1:34" x14ac:dyDescent="0.2">
      <c r="C7" s="55" t="str">
        <f>+'COL. CONS.$'!C7:C7</f>
        <v>Ppto 2022</v>
      </c>
      <c r="D7" s="55"/>
      <c r="E7" s="55" t="s">
        <v>64</v>
      </c>
      <c r="F7" s="55"/>
      <c r="G7" s="55" t="s">
        <v>23</v>
      </c>
      <c r="H7" s="55" t="s">
        <v>65</v>
      </c>
      <c r="I7" s="55"/>
      <c r="J7" s="55" t="s">
        <v>24</v>
      </c>
      <c r="K7" s="55" t="str">
        <f>+C7</f>
        <v>Ppto 2022</v>
      </c>
      <c r="L7" s="55"/>
      <c r="M7" s="55" t="str">
        <f>+E7</f>
        <v>Real 2022</v>
      </c>
      <c r="N7" s="55"/>
      <c r="O7" s="55" t="s">
        <v>23</v>
      </c>
      <c r="P7" s="55" t="str">
        <f>+H7</f>
        <v>Real 2021</v>
      </c>
      <c r="Q7" s="55"/>
      <c r="R7" s="55" t="s">
        <v>24</v>
      </c>
      <c r="U7" s="48" t="str">
        <f>+C7</f>
        <v>Ppto 2022</v>
      </c>
      <c r="V7" s="48" t="str">
        <f>+M7</f>
        <v>Real 2022</v>
      </c>
      <c r="W7" s="48" t="str">
        <f>+H7</f>
        <v>Real 2021</v>
      </c>
      <c r="X7" s="48" t="str">
        <f>+U7</f>
        <v>Ppto 2022</v>
      </c>
      <c r="Y7" s="48" t="str">
        <f>+V7</f>
        <v>Real 2022</v>
      </c>
      <c r="Z7" s="48" t="s">
        <v>25</v>
      </c>
      <c r="AA7" s="48" t="s">
        <v>23</v>
      </c>
      <c r="AB7" s="48" t="str">
        <f>+W7</f>
        <v>Real 2021</v>
      </c>
      <c r="AC7" s="48" t="s">
        <v>24</v>
      </c>
      <c r="AD7" s="62"/>
      <c r="AE7" s="62"/>
      <c r="AG7" s="62"/>
    </row>
    <row r="8" spans="1:34" ht="13.5" thickBot="1" x14ac:dyDescent="0.25">
      <c r="B8" s="26"/>
      <c r="C8" s="27" t="s">
        <v>27</v>
      </c>
      <c r="D8" s="27" t="s">
        <v>28</v>
      </c>
      <c r="E8" s="27" t="s">
        <v>27</v>
      </c>
      <c r="F8" s="27" t="s">
        <v>28</v>
      </c>
      <c r="G8" s="27" t="s">
        <v>29</v>
      </c>
      <c r="H8" s="27" t="s">
        <v>27</v>
      </c>
      <c r="I8" s="27" t="s">
        <v>28</v>
      </c>
      <c r="J8" s="27" t="s">
        <v>29</v>
      </c>
      <c r="K8" s="27" t="s">
        <v>27</v>
      </c>
      <c r="L8" s="27" t="s">
        <v>28</v>
      </c>
      <c r="M8" s="27" t="s">
        <v>27</v>
      </c>
      <c r="N8" s="27" t="s">
        <v>28</v>
      </c>
      <c r="O8" s="27" t="s">
        <v>29</v>
      </c>
      <c r="P8" s="27" t="s">
        <v>27</v>
      </c>
      <c r="Q8" s="27" t="s">
        <v>28</v>
      </c>
      <c r="R8" s="27" t="s">
        <v>29</v>
      </c>
      <c r="T8" s="26"/>
      <c r="U8" s="27"/>
      <c r="V8" s="27"/>
      <c r="W8" s="27"/>
      <c r="X8" s="26"/>
      <c r="Y8" s="26"/>
      <c r="Z8" s="27"/>
      <c r="AA8" s="27" t="s">
        <v>29</v>
      </c>
      <c r="AB8" s="26"/>
      <c r="AC8" s="27" t="s">
        <v>29</v>
      </c>
      <c r="AD8" s="62"/>
      <c r="AE8" s="62"/>
      <c r="AG8" s="62"/>
      <c r="AH8" s="62"/>
    </row>
    <row r="9" spans="1:34" x14ac:dyDescent="0.2">
      <c r="AD9" s="62"/>
      <c r="AE9" s="62"/>
      <c r="AG9" s="62"/>
      <c r="AH9" s="62"/>
    </row>
    <row r="10" spans="1:34" x14ac:dyDescent="0.2">
      <c r="B10" s="3" t="str">
        <f>+'COLOMB$ '!B10</f>
        <v>Musical Experience  (Ambiental)</v>
      </c>
      <c r="C10" s="61"/>
      <c r="D10" s="63" t="str">
        <f t="shared" ref="D10:D20" si="0">IF($C$20=0," ",C10/$C$20)</f>
        <v xml:space="preserve"> </v>
      </c>
      <c r="E10" s="61">
        <v>26628</v>
      </c>
      <c r="F10" s="63">
        <f t="shared" ref="F10:F15" si="1">+E10/$E$20</f>
        <v>0.57890983720606648</v>
      </c>
      <c r="G10" s="63" t="str">
        <f t="shared" ref="G10:G15" si="2">IF(C10=0,"",(E10-C10)/ABS(C10)+1)</f>
        <v/>
      </c>
      <c r="H10" s="61">
        <v>6642</v>
      </c>
      <c r="I10" s="63">
        <f t="shared" ref="I10:I15" si="3">+H10/$H$20</f>
        <v>0.57496636940160906</v>
      </c>
      <c r="J10" s="63">
        <f t="shared" ref="J10:J15" si="4">IF(H10=0,"",(E10-H10)/ABS(H10))</f>
        <v>3.00903342366757</v>
      </c>
      <c r="K10" s="61"/>
      <c r="L10" s="63" t="str">
        <f t="shared" ref="L10:L20" si="5">IF($K$20=0," ",K10/$K$20)</f>
        <v xml:space="preserve"> </v>
      </c>
      <c r="M10" s="61">
        <v>147756</v>
      </c>
      <c r="N10" s="63">
        <f t="shared" ref="N10:N15" si="6">+M10/$M$20</f>
        <v>0.44302819769715057</v>
      </c>
      <c r="O10" s="63" t="str">
        <f>IF(K10=0,"",(M10-K10)/ABS(K10)+1)</f>
        <v/>
      </c>
      <c r="P10" s="61">
        <v>33095</v>
      </c>
      <c r="Q10" s="63">
        <f t="shared" ref="Q10:Q15" si="7">+P10/$P$20</f>
        <v>0.53416594617822555</v>
      </c>
      <c r="R10" s="63">
        <f t="shared" ref="R10:R15" si="8">IF(P10=0,"",(M10-P10)/ABS(P10))</f>
        <v>3.4646019036108173</v>
      </c>
      <c r="T10" s="3" t="s">
        <v>30</v>
      </c>
      <c r="U10" s="61">
        <v>236652</v>
      </c>
      <c r="V10" s="61">
        <v>58133</v>
      </c>
      <c r="W10" s="61">
        <v>1710</v>
      </c>
      <c r="X10" s="61">
        <v>236652</v>
      </c>
      <c r="Y10" s="61">
        <v>14767</v>
      </c>
      <c r="Z10" s="57">
        <f>+Y10-X10</f>
        <v>-221885</v>
      </c>
      <c r="AA10" s="63">
        <f>IF(X10=0,"",(Y10-X10)/ABS(X10)+1)</f>
        <v>6.2399641667934325E-2</v>
      </c>
      <c r="AB10" s="61">
        <v>459</v>
      </c>
      <c r="AC10" s="63">
        <f>IF(W10=0,"",(Y10-AB10)/ABS(AB10))</f>
        <v>31.17211328976035</v>
      </c>
      <c r="AD10" s="62"/>
      <c r="AE10" s="62"/>
      <c r="AF10" s="62">
        <v>14767</v>
      </c>
      <c r="AG10" s="62"/>
      <c r="AH10" s="62"/>
    </row>
    <row r="11" spans="1:34" ht="13.5" customHeight="1" x14ac:dyDescent="0.2">
      <c r="B11" s="3" t="str">
        <f>+'COLOMB$ '!B11</f>
        <v>Instalaciones</v>
      </c>
      <c r="C11" s="61"/>
      <c r="D11" s="63" t="str">
        <f t="shared" si="0"/>
        <v xml:space="preserve"> </v>
      </c>
      <c r="E11" s="61">
        <v>4848</v>
      </c>
      <c r="F11" s="63">
        <f t="shared" si="1"/>
        <v>0.10539863642688187</v>
      </c>
      <c r="G11" s="63" t="str">
        <f t="shared" si="2"/>
        <v/>
      </c>
      <c r="H11" s="61">
        <v>1223.8499999999999</v>
      </c>
      <c r="I11" s="63">
        <f t="shared" si="3"/>
        <v>0.10594287732492609</v>
      </c>
      <c r="J11" s="63">
        <f t="shared" si="4"/>
        <v>2.9612697634514036</v>
      </c>
      <c r="K11" s="61"/>
      <c r="L11" s="63" t="str">
        <f t="shared" si="5"/>
        <v xml:space="preserve"> </v>
      </c>
      <c r="M11" s="61">
        <v>32459.800000000003</v>
      </c>
      <c r="N11" s="63">
        <f t="shared" si="6"/>
        <v>9.7326718993543199E-2</v>
      </c>
      <c r="O11" s="63" t="str">
        <f>IF(K11=0,"",(M11-K11)/ABS(K11)+1)</f>
        <v/>
      </c>
      <c r="P11" s="61">
        <v>10010.431574100001</v>
      </c>
      <c r="Q11" s="63">
        <f t="shared" si="7"/>
        <v>0.16157219076692886</v>
      </c>
      <c r="R11" s="63">
        <f t="shared" si="8"/>
        <v>2.2425974604315035</v>
      </c>
      <c r="T11" s="3" t="s">
        <v>31</v>
      </c>
      <c r="U11" s="61"/>
      <c r="V11" s="61">
        <v>35458.54</v>
      </c>
      <c r="W11" s="61">
        <v>12040</v>
      </c>
      <c r="X11" s="61">
        <f>+AD8+U11</f>
        <v>0</v>
      </c>
      <c r="Y11" s="61">
        <f>+V11+AF11</f>
        <v>319802.87</v>
      </c>
      <c r="Z11" s="57">
        <f>+Y11-X11</f>
        <v>319802.87</v>
      </c>
      <c r="AA11" s="63" t="str">
        <f>IF(X11=0,"",(Y11-X11)/ABS(X11)+1)</f>
        <v/>
      </c>
      <c r="AB11" s="61">
        <v>53323</v>
      </c>
      <c r="AC11" s="63">
        <f>IF(AB11=0,"",(Y11-AB11)/ABS(AB11))</f>
        <v>4.9974658215029164</v>
      </c>
      <c r="AD11" s="62"/>
      <c r="AE11" s="62"/>
      <c r="AF11" s="62">
        <v>284344.33</v>
      </c>
      <c r="AG11" s="62"/>
      <c r="AH11" s="62"/>
    </row>
    <row r="12" spans="1:34" x14ac:dyDescent="0.2">
      <c r="B12" s="3" t="str">
        <f>+'COLOMB$ '!B12</f>
        <v>Voice Experience (Publihold)</v>
      </c>
      <c r="C12" s="61"/>
      <c r="D12" s="63" t="str">
        <f t="shared" si="0"/>
        <v xml:space="preserve"> </v>
      </c>
      <c r="E12" s="61">
        <v>7485.6</v>
      </c>
      <c r="F12" s="63">
        <f t="shared" si="1"/>
        <v>0.16274175594823986</v>
      </c>
      <c r="G12" s="63" t="str">
        <f t="shared" si="2"/>
        <v/>
      </c>
      <c r="H12" s="61">
        <v>1655.28</v>
      </c>
      <c r="I12" s="63">
        <f t="shared" si="3"/>
        <v>0.14328972176198365</v>
      </c>
      <c r="J12" s="63">
        <f t="shared" si="4"/>
        <v>3.5222560533565321</v>
      </c>
      <c r="K12" s="61"/>
      <c r="L12" s="63" t="str">
        <f t="shared" si="5"/>
        <v xml:space="preserve"> </v>
      </c>
      <c r="M12" s="61">
        <v>45289.649999999994</v>
      </c>
      <c r="N12" s="63">
        <f t="shared" si="6"/>
        <v>0.13579544664064236</v>
      </c>
      <c r="O12" s="63" t="str">
        <f>IF(K12=0,"",(M12-K12)/ABS(K12)+1)</f>
        <v/>
      </c>
      <c r="P12" s="61">
        <v>8103.9290509399989</v>
      </c>
      <c r="Q12" s="63">
        <f t="shared" si="7"/>
        <v>0.13080051153517369</v>
      </c>
      <c r="R12" s="63">
        <f t="shared" si="8"/>
        <v>4.5886039617716925</v>
      </c>
      <c r="AF12" s="62"/>
      <c r="AG12" s="62"/>
      <c r="AH12" s="62"/>
    </row>
    <row r="13" spans="1:34" x14ac:dyDescent="0.2">
      <c r="B13" s="3" t="str">
        <f>+'COLOMB$ '!B13</f>
        <v>Service &amp; Equipment Experience</v>
      </c>
      <c r="C13" s="61"/>
      <c r="D13" s="63" t="str">
        <f t="shared" si="0"/>
        <v xml:space="preserve"> </v>
      </c>
      <c r="E13" s="61">
        <v>98.4</v>
      </c>
      <c r="F13" s="63">
        <f t="shared" si="1"/>
        <v>2.1392792542089885E-3</v>
      </c>
      <c r="G13" s="63" t="str">
        <f t="shared" si="2"/>
        <v/>
      </c>
      <c r="H13" s="61">
        <v>0</v>
      </c>
      <c r="I13" s="63">
        <f t="shared" si="3"/>
        <v>0</v>
      </c>
      <c r="J13" s="63" t="str">
        <f t="shared" si="4"/>
        <v/>
      </c>
      <c r="K13" s="61"/>
      <c r="L13" s="63" t="str">
        <f t="shared" si="5"/>
        <v xml:space="preserve"> </v>
      </c>
      <c r="M13" s="61">
        <v>65017.07</v>
      </c>
      <c r="N13" s="63">
        <f t="shared" si="6"/>
        <v>0.1949456897970267</v>
      </c>
      <c r="O13" s="63" t="str">
        <f>IF(K13=0,"",(M13-K13)/ABS(K13)+1)</f>
        <v/>
      </c>
      <c r="P13" s="61">
        <v>928.56211400000007</v>
      </c>
      <c r="Q13" s="63">
        <f t="shared" si="7"/>
        <v>1.4987347339781337E-2</v>
      </c>
      <c r="R13" s="63">
        <f t="shared" si="8"/>
        <v>69.019085443755245</v>
      </c>
      <c r="T13" s="3" t="s">
        <v>32</v>
      </c>
      <c r="U13" s="61"/>
      <c r="V13" s="61"/>
      <c r="W13" s="61"/>
      <c r="X13" s="61">
        <f>+AD9+U13</f>
        <v>0</v>
      </c>
      <c r="Y13" s="61">
        <f>+V13+AF12</f>
        <v>0</v>
      </c>
      <c r="Z13" s="57">
        <f>+X13-Y13</f>
        <v>0</v>
      </c>
      <c r="AA13" s="63" t="str">
        <f>IF(X13=0,"",(Y13-X13)/ABS(X13)+1)</f>
        <v/>
      </c>
      <c r="AB13" s="61">
        <v>0</v>
      </c>
      <c r="AC13" s="63" t="str">
        <f>IF(AB13=0,"",(Y13-AB13)/ABS(AB13))</f>
        <v/>
      </c>
      <c r="AD13" s="62"/>
      <c r="AE13" s="62"/>
      <c r="AF13" s="2">
        <v>0</v>
      </c>
      <c r="AG13" s="62"/>
      <c r="AH13" s="62"/>
    </row>
    <row r="14" spans="1:34" x14ac:dyDescent="0.2">
      <c r="B14" s="3" t="str">
        <f>+'COLOMB$ '!B14</f>
        <v>POP Satelital</v>
      </c>
      <c r="C14" s="61"/>
      <c r="D14" s="63" t="str">
        <f t="shared" si="0"/>
        <v xml:space="preserve"> </v>
      </c>
      <c r="E14" s="61"/>
      <c r="F14" s="63">
        <f t="shared" si="1"/>
        <v>0</v>
      </c>
      <c r="G14" s="63" t="str">
        <f t="shared" si="2"/>
        <v/>
      </c>
      <c r="H14" s="61"/>
      <c r="I14" s="63">
        <f t="shared" si="3"/>
        <v>0</v>
      </c>
      <c r="J14" s="63" t="str">
        <f t="shared" si="4"/>
        <v/>
      </c>
      <c r="K14" s="61"/>
      <c r="L14" s="63" t="str">
        <f t="shared" si="5"/>
        <v xml:space="preserve"> </v>
      </c>
      <c r="M14" s="61"/>
      <c r="N14" s="63">
        <f t="shared" si="6"/>
        <v>0</v>
      </c>
      <c r="O14" s="63" t="str">
        <f>IF(K14=0,"",(M14-K14)/ABS(K14)+1)</f>
        <v/>
      </c>
      <c r="P14" s="61"/>
      <c r="Q14" s="63">
        <f t="shared" si="7"/>
        <v>0</v>
      </c>
      <c r="R14" s="63" t="str">
        <f t="shared" si="8"/>
        <v/>
      </c>
      <c r="T14" s="3" t="s">
        <v>33</v>
      </c>
      <c r="U14" s="61"/>
      <c r="V14" s="61">
        <v>0</v>
      </c>
      <c r="W14" s="61">
        <v>0</v>
      </c>
      <c r="X14" s="61">
        <f>+AD10+U14</f>
        <v>0</v>
      </c>
      <c r="Y14" s="61">
        <f>+V14+AF14</f>
        <v>0</v>
      </c>
      <c r="Z14" s="57">
        <f>+X14-Y14</f>
        <v>0</v>
      </c>
      <c r="AA14" s="63" t="str">
        <f>IF(X14=0,"",(Y14-X14)/ABS(X14)+1)</f>
        <v/>
      </c>
      <c r="AB14" s="61">
        <v>0</v>
      </c>
      <c r="AC14" s="63" t="str">
        <f>IF(AB14=0,"",(Y14-AB14)/ABS(AB14))</f>
        <v/>
      </c>
      <c r="AD14" s="62"/>
      <c r="AE14" s="62"/>
      <c r="AF14" s="62">
        <v>0</v>
      </c>
      <c r="AG14" s="62"/>
      <c r="AH14" s="62"/>
    </row>
    <row r="15" spans="1:34" x14ac:dyDescent="0.2">
      <c r="B15" s="3" t="str">
        <f>+'COLOMB$ '!B15</f>
        <v>Voice Experience (Audicóm)</v>
      </c>
      <c r="C15" s="61"/>
      <c r="D15" s="63" t="str">
        <f t="shared" si="0"/>
        <v xml:space="preserve"> </v>
      </c>
      <c r="E15" s="61">
        <v>6936.8</v>
      </c>
      <c r="F15" s="63">
        <f t="shared" si="1"/>
        <v>0.15081049116460274</v>
      </c>
      <c r="G15" s="63" t="str">
        <f t="shared" si="2"/>
        <v/>
      </c>
      <c r="H15" s="61">
        <v>2030.85</v>
      </c>
      <c r="I15" s="63">
        <f t="shared" si="3"/>
        <v>0.17580103151148113</v>
      </c>
      <c r="J15" s="63">
        <f t="shared" si="4"/>
        <v>2.415712632641505</v>
      </c>
      <c r="K15" s="61"/>
      <c r="L15" s="63" t="str">
        <f t="shared" si="5"/>
        <v xml:space="preserve"> </v>
      </c>
      <c r="M15" s="61">
        <v>42991.24</v>
      </c>
      <c r="N15" s="63">
        <f t="shared" si="6"/>
        <v>0.12890394687163734</v>
      </c>
      <c r="O15" s="63"/>
      <c r="P15" s="61">
        <v>9818.4790809999995</v>
      </c>
      <c r="Q15" s="63">
        <f t="shared" si="7"/>
        <v>0.15847400417989058</v>
      </c>
      <c r="R15" s="63">
        <f t="shared" si="8"/>
        <v>3.3786048374023117</v>
      </c>
      <c r="T15" s="3" t="s">
        <v>34</v>
      </c>
      <c r="U15" s="61"/>
      <c r="V15" s="61">
        <v>9360.69</v>
      </c>
      <c r="W15" s="61">
        <v>2429</v>
      </c>
      <c r="X15" s="61">
        <f>+AD11+U15</f>
        <v>0</v>
      </c>
      <c r="Y15" s="61">
        <f>+V15+AF15</f>
        <v>69106.91</v>
      </c>
      <c r="Z15" s="57">
        <f>+X15-Y15</f>
        <v>-69106.91</v>
      </c>
      <c r="AA15" s="63" t="str">
        <f>IF(X15=0,"",(Y15-X15)/ABS(X15)+1)</f>
        <v/>
      </c>
      <c r="AB15" s="61">
        <v>10228</v>
      </c>
      <c r="AC15" s="63">
        <f>IF(AB15=0,"",(Y15-AB15)/ABS(AB15))</f>
        <v>5.756639616738366</v>
      </c>
      <c r="AD15" s="62"/>
      <c r="AE15" s="62"/>
      <c r="AF15" s="62">
        <v>59746.22</v>
      </c>
      <c r="AG15" s="62"/>
      <c r="AH15" s="62"/>
    </row>
    <row r="16" spans="1:34" x14ac:dyDescent="0.2">
      <c r="B16" s="3" t="str">
        <f>+'COLOMB$ '!B16</f>
        <v>Fact. Servicio Satelital</v>
      </c>
      <c r="C16" s="61"/>
      <c r="D16" s="63" t="str">
        <f t="shared" si="0"/>
        <v xml:space="preserve"> </v>
      </c>
      <c r="E16" s="61"/>
      <c r="F16" s="63"/>
      <c r="G16" s="63"/>
      <c r="H16" s="61"/>
      <c r="I16" s="63"/>
      <c r="J16" s="63"/>
      <c r="K16" s="61"/>
      <c r="L16" s="63" t="str">
        <f t="shared" si="5"/>
        <v xml:space="preserve"> </v>
      </c>
      <c r="M16" s="61"/>
      <c r="N16" s="63"/>
      <c r="O16" s="63"/>
      <c r="P16" s="61"/>
      <c r="Q16" s="63"/>
      <c r="R16" s="63"/>
      <c r="T16" s="3" t="s">
        <v>35</v>
      </c>
      <c r="U16" s="61"/>
      <c r="V16" s="61">
        <v>11807.53</v>
      </c>
      <c r="W16" s="61">
        <v>6649</v>
      </c>
      <c r="X16" s="61">
        <f>+AD13+U16</f>
        <v>0</v>
      </c>
      <c r="Y16" s="61">
        <f>+V16+AF16</f>
        <v>159777</v>
      </c>
      <c r="Z16" s="57">
        <f>+X16-Y16</f>
        <v>-159777</v>
      </c>
      <c r="AA16" s="63" t="str">
        <f>IF(X16=0,"",(Y16-X16)/ABS(X16)+1)</f>
        <v/>
      </c>
      <c r="AB16" s="61">
        <v>33978</v>
      </c>
      <c r="AC16" s="63">
        <f>IF(AB16=0,"",(Y16-AB16)/ABS(AB16))</f>
        <v>3.7023662369768675</v>
      </c>
      <c r="AD16" s="62"/>
      <c r="AE16" s="62"/>
      <c r="AF16" s="62">
        <v>147969.47</v>
      </c>
      <c r="AG16" s="62"/>
      <c r="AH16" s="62"/>
    </row>
    <row r="17" spans="2:34" x14ac:dyDescent="0.2">
      <c r="B17" s="3" t="str">
        <f>+'COLOMB$ '!B17</f>
        <v>Visual Experience</v>
      </c>
      <c r="C17" s="61"/>
      <c r="D17" s="63" t="str">
        <f t="shared" si="0"/>
        <v xml:space="preserve"> </v>
      </c>
      <c r="E17" s="61"/>
      <c r="F17" s="63"/>
      <c r="G17" s="63"/>
      <c r="H17" s="61"/>
      <c r="I17" s="63"/>
      <c r="J17" s="63"/>
      <c r="K17" s="61"/>
      <c r="L17" s="63" t="str">
        <f t="shared" si="5"/>
        <v xml:space="preserve"> </v>
      </c>
      <c r="M17" s="61"/>
      <c r="N17" s="63"/>
      <c r="O17" s="63"/>
      <c r="P17" s="61"/>
      <c r="Q17" s="63"/>
      <c r="R17" s="63"/>
      <c r="T17" s="3" t="s">
        <v>36</v>
      </c>
      <c r="U17" s="61">
        <f t="shared" ref="U17:Y17" si="9">U13+U14+U15+U16</f>
        <v>0</v>
      </c>
      <c r="V17" s="61">
        <f>V13+V14+V15+V16</f>
        <v>21168.22</v>
      </c>
      <c r="W17" s="61">
        <f>W13+W14+W15+W16</f>
        <v>9078</v>
      </c>
      <c r="X17" s="61">
        <f>X13+X14+X15+X16</f>
        <v>0</v>
      </c>
      <c r="Y17" s="61">
        <f t="shared" si="9"/>
        <v>228883.91</v>
      </c>
      <c r="Z17" s="57">
        <f>+Y17-X17</f>
        <v>228883.91</v>
      </c>
      <c r="AA17" s="63" t="str">
        <f>IF(X17=0,"",(Y17-X17)/ABS(X17)+1)</f>
        <v/>
      </c>
      <c r="AB17" s="61">
        <f>AB13+AB14+AB15+AB16</f>
        <v>44206</v>
      </c>
      <c r="AC17" s="63">
        <f>IF(AB17=0,"",(Y17-AB17)/ABS(AB17))</f>
        <v>4.1776661539157578</v>
      </c>
      <c r="AD17" s="62"/>
      <c r="AE17" s="62"/>
      <c r="AF17" s="62">
        <v>207715.69</v>
      </c>
      <c r="AG17" s="62"/>
      <c r="AH17" s="62"/>
    </row>
    <row r="18" spans="2:34" x14ac:dyDescent="0.2">
      <c r="B18" s="3" t="s">
        <v>132</v>
      </c>
      <c r="C18" s="61"/>
      <c r="D18" s="63" t="str">
        <f t="shared" si="0"/>
        <v xml:space="preserve"> </v>
      </c>
      <c r="E18" s="61"/>
      <c r="F18" s="63"/>
      <c r="G18" s="63"/>
      <c r="H18" s="61"/>
      <c r="I18" s="63"/>
      <c r="J18" s="63"/>
      <c r="K18" s="61"/>
      <c r="L18" s="63" t="str">
        <f t="shared" si="5"/>
        <v xml:space="preserve"> </v>
      </c>
      <c r="M18" s="61"/>
      <c r="N18" s="63"/>
      <c r="O18" s="63"/>
      <c r="P18" s="61"/>
      <c r="Q18" s="63"/>
      <c r="R18" s="63"/>
      <c r="AF18" s="62"/>
      <c r="AG18" s="62"/>
      <c r="AH18" s="62"/>
    </row>
    <row r="19" spans="2:34" x14ac:dyDescent="0.2">
      <c r="B19" s="3" t="str">
        <f>+'COLOMB$ '!B19</f>
        <v>Locutor virtual</v>
      </c>
      <c r="C19" s="61"/>
      <c r="D19" s="63" t="str">
        <f t="shared" si="0"/>
        <v xml:space="preserve"> </v>
      </c>
      <c r="E19" s="61"/>
      <c r="F19" s="63"/>
      <c r="G19" s="63"/>
      <c r="H19" s="61"/>
      <c r="I19" s="63"/>
      <c r="J19" s="63"/>
      <c r="K19" s="61"/>
      <c r="L19" s="63" t="str">
        <f t="shared" si="5"/>
        <v xml:space="preserve"> </v>
      </c>
      <c r="M19" s="61"/>
      <c r="N19" s="63"/>
      <c r="O19" s="63"/>
      <c r="P19" s="61"/>
      <c r="Q19" s="63"/>
      <c r="R19" s="63"/>
      <c r="T19" s="3" t="s">
        <v>37</v>
      </c>
      <c r="U19" s="61">
        <f>+U11-U17</f>
        <v>0</v>
      </c>
      <c r="V19" s="61">
        <f>+V11-V17</f>
        <v>14290.32</v>
      </c>
      <c r="W19" s="61">
        <f>+W11-W17</f>
        <v>2962</v>
      </c>
      <c r="X19" s="61">
        <f>X11-X17</f>
        <v>0</v>
      </c>
      <c r="Y19" s="61">
        <f>Y11-Y17</f>
        <v>90918.959999999992</v>
      </c>
      <c r="Z19" s="57">
        <f>+Y19-X19</f>
        <v>90918.959999999992</v>
      </c>
      <c r="AA19" s="63" t="str">
        <f>IF(X19=0,"",(Y19-X19)/ABS(X19)+1)</f>
        <v/>
      </c>
      <c r="AB19" s="61">
        <f>+AB11-AB17</f>
        <v>9117</v>
      </c>
      <c r="AC19" s="63">
        <f>IF(AB19=0,"",(Y19-AB19)/ABS(AB19))</f>
        <v>8.9724646265218819</v>
      </c>
      <c r="AD19" s="62"/>
      <c r="AE19" s="62"/>
      <c r="AF19" s="62">
        <v>76628.640000000014</v>
      </c>
      <c r="AG19" s="62"/>
      <c r="AH19" s="62"/>
    </row>
    <row r="20" spans="2:34" x14ac:dyDescent="0.2">
      <c r="B20" s="3" t="s">
        <v>38</v>
      </c>
      <c r="C20" s="61">
        <f>SUM(C10:C16)</f>
        <v>0</v>
      </c>
      <c r="D20" s="63" t="str">
        <f t="shared" si="0"/>
        <v xml:space="preserve"> </v>
      </c>
      <c r="E20" s="61">
        <f>SUM(E10:E16)</f>
        <v>45996.800000000003</v>
      </c>
      <c r="F20" s="63">
        <f>+E20/$E$20</f>
        <v>1</v>
      </c>
      <c r="G20" s="63" t="str">
        <f>IF(C20=0,"",(E20-C20)/ABS(C20)+1)</f>
        <v/>
      </c>
      <c r="H20" s="61">
        <f>SUM(H10:H16)</f>
        <v>11551.980000000001</v>
      </c>
      <c r="I20" s="63">
        <f>+H20/$H$20</f>
        <v>1</v>
      </c>
      <c r="J20" s="63">
        <f>IF(H20=0,"",(E20-H20)/ABS(H20))</f>
        <v>2.9817243450906248</v>
      </c>
      <c r="K20" s="61">
        <f>SUM(K10:K16)</f>
        <v>0</v>
      </c>
      <c r="L20" s="63" t="str">
        <f t="shared" si="5"/>
        <v xml:space="preserve"> </v>
      </c>
      <c r="M20" s="61">
        <f>SUM(M10:M19)</f>
        <v>333513.75999999995</v>
      </c>
      <c r="N20" s="63">
        <f>+M20/$M$20</f>
        <v>1</v>
      </c>
      <c r="O20" s="63" t="str">
        <f>IF(K20=0,"",(M20-K20)/ABS(K20)+1)</f>
        <v/>
      </c>
      <c r="P20" s="61">
        <f>SUM(P10:P16)</f>
        <v>61956.401820040002</v>
      </c>
      <c r="Q20" s="63">
        <f>+P20/$P$20</f>
        <v>1</v>
      </c>
      <c r="R20" s="63">
        <f>IF(P20=0,"",(M20-P20)/ABS(P20))</f>
        <v>4.3830395278397818</v>
      </c>
      <c r="T20" s="3"/>
      <c r="U20" s="61"/>
      <c r="V20" s="61"/>
      <c r="W20" s="61"/>
      <c r="X20" s="61"/>
      <c r="Y20" s="61"/>
      <c r="Z20" s="57"/>
      <c r="AA20" s="63"/>
      <c r="AB20" s="61"/>
      <c r="AC20" s="63" t="str">
        <f>IF(AB20=0,"",(Y20-AB20)/ABS(AB20))</f>
        <v/>
      </c>
      <c r="AD20" s="62"/>
      <c r="AE20" s="62"/>
      <c r="AF20" s="62"/>
      <c r="AG20" s="62"/>
      <c r="AH20" s="62"/>
    </row>
    <row r="21" spans="2:34" x14ac:dyDescent="0.2">
      <c r="T21" s="3" t="s">
        <v>39</v>
      </c>
      <c r="U21" s="61">
        <f>+U10+U19</f>
        <v>236652</v>
      </c>
      <c r="V21" s="61">
        <f>+V10+V19</f>
        <v>72423.320000000007</v>
      </c>
      <c r="W21" s="61">
        <f>+W10+W19</f>
        <v>4672</v>
      </c>
      <c r="X21" s="61">
        <f>+X10+X19</f>
        <v>236652</v>
      </c>
      <c r="Y21" s="61">
        <f>+Y10+Y19</f>
        <v>105685.95999999999</v>
      </c>
      <c r="Z21" s="57">
        <f>+Y21-X21</f>
        <v>-130966.04000000001</v>
      </c>
      <c r="AA21" s="63">
        <f>IF(X21=0,"",(Y21-X21)/ABS(X21)+1)</f>
        <v>0.44658807024660685</v>
      </c>
      <c r="AB21" s="61">
        <f>+AB10+AB19</f>
        <v>9576</v>
      </c>
      <c r="AC21" s="63">
        <f>IF(AB21=0,"",(Y21-AB21)/ABS(AB21))</f>
        <v>10.036545530492898</v>
      </c>
      <c r="AD21" s="62"/>
      <c r="AE21" s="62"/>
      <c r="AF21" s="2">
        <v>91395.640000000014</v>
      </c>
      <c r="AG21" s="62"/>
      <c r="AH21" s="62"/>
    </row>
    <row r="22" spans="2:34" x14ac:dyDescent="0.2">
      <c r="B22" s="3" t="s">
        <v>40</v>
      </c>
      <c r="C22" s="61"/>
      <c r="D22" s="63" t="str">
        <f>IF($C$20=0," ",C22/$C$20)</f>
        <v xml:space="preserve"> </v>
      </c>
      <c r="E22" s="61">
        <v>0</v>
      </c>
      <c r="F22" s="63">
        <f>+E22/$E$20</f>
        <v>0</v>
      </c>
      <c r="G22" s="63" t="str">
        <f>IF(C22=0,"",(E22-C22)/ABS(C22)+1)</f>
        <v/>
      </c>
      <c r="H22" s="61"/>
      <c r="I22" s="63">
        <f>+H22/$H$20</f>
        <v>0</v>
      </c>
      <c r="J22" s="63" t="str">
        <f>IF(H22=0,"",(E22-H22)/ABS(H22))</f>
        <v/>
      </c>
      <c r="K22" s="61">
        <f>+S18+C22</f>
        <v>0</v>
      </c>
      <c r="L22" s="63" t="str">
        <f>IF($K$20=0," ",K22/$K$20)</f>
        <v xml:space="preserve"> </v>
      </c>
      <c r="M22" s="61">
        <v>54617.06</v>
      </c>
      <c r="N22" s="63">
        <f>+M22/$M$20</f>
        <v>0.16376253861309953</v>
      </c>
      <c r="O22" s="63" t="str">
        <f>IF(K22=0,"",(M22-K22)/ABS(K22)+1)</f>
        <v/>
      </c>
      <c r="P22" s="61"/>
      <c r="Q22" s="63">
        <f>+P22/$P$20</f>
        <v>0</v>
      </c>
      <c r="R22" s="63" t="str">
        <f>IF(P22=0,"",(M22-P22)/ABS(P22))</f>
        <v/>
      </c>
      <c r="AF22" s="62"/>
      <c r="AG22" s="62"/>
      <c r="AH22" s="62"/>
    </row>
    <row r="23" spans="2:34" x14ac:dyDescent="0.2">
      <c r="T23" s="3" t="s">
        <v>41</v>
      </c>
      <c r="U23" s="61"/>
      <c r="V23" s="61"/>
      <c r="W23" s="61"/>
      <c r="X23" s="61"/>
      <c r="Y23" s="61"/>
      <c r="Z23" s="57">
        <f>+Y23-X23</f>
        <v>0</v>
      </c>
      <c r="AA23" s="63" t="str">
        <f>IF(X23=0,"",(Y23-X23)/ABS(X23)+1)</f>
        <v/>
      </c>
      <c r="AB23" s="61">
        <v>0</v>
      </c>
      <c r="AC23" s="63" t="str">
        <f>IF(AB23=0,"",(Y23-AB23)/ABS(AB23))</f>
        <v/>
      </c>
      <c r="AD23" s="62"/>
      <c r="AE23" s="62"/>
      <c r="AG23" s="49"/>
    </row>
    <row r="24" spans="2:34" x14ac:dyDescent="0.2">
      <c r="B24" s="3" t="s">
        <v>42</v>
      </c>
      <c r="C24" s="61">
        <f>+C20-C22</f>
        <v>0</v>
      </c>
      <c r="D24" s="63" t="str">
        <f>IF($C$20=0," ",C24/$C$20)</f>
        <v xml:space="preserve"> </v>
      </c>
      <c r="E24" s="61">
        <f>+E20-E22</f>
        <v>45996.800000000003</v>
      </c>
      <c r="F24" s="63">
        <f>+E24/$E$20</f>
        <v>1</v>
      </c>
      <c r="G24" s="63" t="str">
        <f>IF(C24=0,"",(E24-C24)/ABS(C24)+1)</f>
        <v/>
      </c>
      <c r="H24" s="61">
        <f>+H20-H22</f>
        <v>11551.980000000001</v>
      </c>
      <c r="I24" s="63">
        <f>+H24/$H$20</f>
        <v>1</v>
      </c>
      <c r="J24" s="63">
        <f>IF(H24=0,"",(E24-H24)/ABS(H24))</f>
        <v>2.9817243450906248</v>
      </c>
      <c r="K24" s="61">
        <f>+K20-K22</f>
        <v>0</v>
      </c>
      <c r="L24" s="63" t="str">
        <f>IF($K$20=0," ",K24/$K$20)</f>
        <v xml:space="preserve"> </v>
      </c>
      <c r="M24" s="61">
        <f>+M20-M22</f>
        <v>278896.69999999995</v>
      </c>
      <c r="N24" s="63">
        <f>+M24/$M$20</f>
        <v>0.83623746138690047</v>
      </c>
      <c r="O24" s="63" t="str">
        <f>IF(K24=0,"",(M24-K24)/ABS(K24)+1)</f>
        <v/>
      </c>
      <c r="P24" s="61">
        <f>+P20-P22</f>
        <v>61956.401820040002</v>
      </c>
      <c r="Q24" s="63">
        <f>+P24/$P$20</f>
        <v>1</v>
      </c>
      <c r="R24" s="63">
        <f>IF(P24=0,"",(M24-P24)/ABS(P24))</f>
        <v>3.5014993093060784</v>
      </c>
    </row>
    <row r="25" spans="2:34" x14ac:dyDescent="0.2">
      <c r="T25" s="3" t="s">
        <v>43</v>
      </c>
      <c r="U25" s="61"/>
      <c r="V25" s="61">
        <v>3579.25</v>
      </c>
      <c r="W25" s="61">
        <v>628</v>
      </c>
      <c r="X25" s="61">
        <f>+AD22+U25</f>
        <v>0</v>
      </c>
      <c r="Y25" s="61">
        <f>+V25+AF25</f>
        <v>36842.07</v>
      </c>
      <c r="Z25" s="57">
        <f>+Y25-X25</f>
        <v>36842.07</v>
      </c>
      <c r="AA25" s="63" t="str">
        <f>IF(X25=0,"",(Y25-X25)/ABS(X25)+1)</f>
        <v/>
      </c>
      <c r="AB25" s="61">
        <v>5532</v>
      </c>
      <c r="AC25" s="63">
        <f>IF(AB25=0,"",(Y25-AB25)/ABS(AB25))</f>
        <v>5.6598101952277657</v>
      </c>
      <c r="AD25" s="62"/>
      <c r="AE25" s="62"/>
      <c r="AF25" s="62">
        <v>33262.82</v>
      </c>
    </row>
    <row r="26" spans="2:34" x14ac:dyDescent="0.2">
      <c r="B26" s="3" t="s">
        <v>44</v>
      </c>
      <c r="C26" s="61"/>
      <c r="D26" s="63" t="str">
        <f>IF($C$20=0," ",C26/$C$20)</f>
        <v xml:space="preserve"> </v>
      </c>
      <c r="E26" s="61">
        <v>958.86</v>
      </c>
      <c r="F26" s="63">
        <f>+E26/$E$20</f>
        <v>2.084623278141088E-2</v>
      </c>
      <c r="G26" s="63" t="str">
        <f>IF(C26=0,"",(E26-C26)/ABS(C26)+1)</f>
        <v/>
      </c>
      <c r="H26" s="61">
        <v>190.22</v>
      </c>
      <c r="I26" s="63">
        <f>+H26/$H$20</f>
        <v>1.6466441250763936E-2</v>
      </c>
      <c r="J26" s="63">
        <f>IF(H26=0,"",(E26-H26)/ABS(H26))</f>
        <v>4.0407948690989377</v>
      </c>
      <c r="K26" s="61"/>
      <c r="L26" s="63" t="str">
        <f>IF($K$20=0," ",K26/$K$20)</f>
        <v xml:space="preserve"> </v>
      </c>
      <c r="M26" s="61">
        <v>5859.95</v>
      </c>
      <c r="N26" s="63">
        <f>+M26/$M$20</f>
        <v>1.7570339526621032E-2</v>
      </c>
      <c r="O26" s="63" t="str">
        <f>IF(K26=0,"",(M26-K26)/ABS(K26)+1)</f>
        <v/>
      </c>
      <c r="P26" s="61">
        <v>913.10672944000021</v>
      </c>
      <c r="Q26" s="63">
        <f>+P26/$P$20</f>
        <v>1.4737891527210233E-2</v>
      </c>
      <c r="R26" s="63">
        <f>IF(P26=0,"",(M26-P26)/ABS(P26))</f>
        <v>5.4175958965868674</v>
      </c>
      <c r="AF26" s="62"/>
    </row>
    <row r="27" spans="2:34" x14ac:dyDescent="0.2">
      <c r="B27" s="3" t="s">
        <v>45</v>
      </c>
      <c r="C27" s="61"/>
      <c r="D27" s="63" t="str">
        <f>IF($C$20=0," ",C27/$C$20)</f>
        <v xml:space="preserve"> </v>
      </c>
      <c r="E27" s="61">
        <v>3401.97</v>
      </c>
      <c r="F27" s="63">
        <f>+E27/$E$20</f>
        <v>7.3961014679282025E-2</v>
      </c>
      <c r="G27" s="63" t="str">
        <f>IF(C27=0,"",(E27-C27)/ABS(C27)+1)</f>
        <v/>
      </c>
      <c r="H27" s="61">
        <v>2630.7899999999995</v>
      </c>
      <c r="I27" s="63">
        <f>+H27/$H$20</f>
        <v>0.22773498569076464</v>
      </c>
      <c r="J27" s="63">
        <f>IF(H27=0,"",(E27-H27)/ABS(H27))</f>
        <v>0.29313628225742094</v>
      </c>
      <c r="K27" s="61"/>
      <c r="L27" s="63" t="str">
        <f>IF($K$20=0," ",K27/$K$20)</f>
        <v xml:space="preserve"> </v>
      </c>
      <c r="M27" s="61">
        <v>27766.62</v>
      </c>
      <c r="N27" s="63">
        <f>+M27/$M$20</f>
        <v>8.3254795844105514E-2</v>
      </c>
      <c r="O27" s="63" t="str">
        <f>IF(K27=0,"",(M27-K27)/ABS(K27)+1)</f>
        <v/>
      </c>
      <c r="P27" s="61">
        <v>13394.845822359999</v>
      </c>
      <c r="Q27" s="63">
        <f>+P27/$P$20</f>
        <v>0.21619792997771203</v>
      </c>
      <c r="R27" s="63">
        <f>IF(P27=0,"",(M27-P27)/ABS(P27))</f>
        <v>1.0729331541576399</v>
      </c>
      <c r="T27" s="3" t="s">
        <v>46</v>
      </c>
      <c r="U27" s="61"/>
      <c r="V27" s="61"/>
      <c r="W27" s="61"/>
      <c r="X27" s="61">
        <f>+AD21+U27</f>
        <v>0</v>
      </c>
      <c r="Y27" s="61">
        <f>+V27+AF26</f>
        <v>0</v>
      </c>
      <c r="Z27" s="57">
        <f>+Y27-X27</f>
        <v>0</v>
      </c>
      <c r="AA27" s="63" t="str">
        <f>IF(X27=0,"",(Y27-X27)/ABS(X27)+1)</f>
        <v/>
      </c>
      <c r="AB27" s="61">
        <v>0</v>
      </c>
      <c r="AC27" s="63" t="str">
        <f>IF(AB27=0,"",(Y27-AB27)/ABS(AB27))</f>
        <v/>
      </c>
      <c r="AD27" s="49"/>
      <c r="AE27" s="49"/>
      <c r="AF27" s="2">
        <v>0</v>
      </c>
    </row>
    <row r="28" spans="2:34" x14ac:dyDescent="0.2">
      <c r="B28" s="3" t="s">
        <v>47</v>
      </c>
      <c r="C28" s="61">
        <f>SUM(C26:C27)</f>
        <v>0</v>
      </c>
      <c r="D28" s="63" t="str">
        <f>IF($C$20=0," ",C28/$C$20)</f>
        <v xml:space="preserve"> </v>
      </c>
      <c r="E28" s="61">
        <f>SUM(E26:E27)</f>
        <v>4360.83</v>
      </c>
      <c r="F28" s="63">
        <f>+E28/$E$20</f>
        <v>9.4807247460692912E-2</v>
      </c>
      <c r="G28" s="63" t="str">
        <f>IF(C28=0,"",(E28-C28)/ABS(C28)+1)</f>
        <v/>
      </c>
      <c r="H28" s="61">
        <f>+H27+H26</f>
        <v>2821.0099999999993</v>
      </c>
      <c r="I28" s="63">
        <f>+H28/$H$20</f>
        <v>0.24420142694152855</v>
      </c>
      <c r="J28" s="63">
        <f>IF(H28=0,"",(E28-H28)/ABS(H28))</f>
        <v>0.54583996511887622</v>
      </c>
      <c r="K28" s="61">
        <f>+K26+K27</f>
        <v>0</v>
      </c>
      <c r="L28" s="63" t="str">
        <f>IF($K$20=0," ",K28/$K$20)</f>
        <v xml:space="preserve"> </v>
      </c>
      <c r="M28" s="61">
        <f>SUM(M26:M27)</f>
        <v>33626.57</v>
      </c>
      <c r="N28" s="63">
        <f>+M28/$M$20</f>
        <v>0.10082513537072654</v>
      </c>
      <c r="O28" s="63" t="str">
        <f>IF(K28=0,"",(M28-K28)/ABS(K28)+1)</f>
        <v/>
      </c>
      <c r="P28" s="61">
        <f>+P27+P26</f>
        <v>14307.952551799999</v>
      </c>
      <c r="Q28" s="63">
        <f>+P28/$P$20</f>
        <v>0.23093582150492226</v>
      </c>
      <c r="R28" s="63">
        <f>IF(P28=0,"",(M28-P28)/ABS(P28))</f>
        <v>1.3502013917267035</v>
      </c>
      <c r="T28" s="3" t="s">
        <v>48</v>
      </c>
      <c r="U28" s="61"/>
      <c r="V28" s="61"/>
      <c r="W28" s="61"/>
      <c r="X28" s="61"/>
      <c r="Y28" s="61">
        <f>+X28</f>
        <v>0</v>
      </c>
      <c r="Z28" s="57">
        <f>+Y28-X28</f>
        <v>0</v>
      </c>
      <c r="AA28" s="63" t="str">
        <f>IF(X28=0,"",(Y28-X28)/ABS(X28)+1)</f>
        <v/>
      </c>
      <c r="AB28" s="61">
        <v>0</v>
      </c>
      <c r="AC28" s="63" t="str">
        <f>IF(AB28=0,"",(Y28-AB28)/ABS(AB28))</f>
        <v/>
      </c>
      <c r="AD28" s="49"/>
      <c r="AF28" s="62">
        <v>0</v>
      </c>
    </row>
    <row r="29" spans="2:34" x14ac:dyDescent="0.2">
      <c r="AD29" s="49"/>
    </row>
    <row r="30" spans="2:34" x14ac:dyDescent="0.2">
      <c r="B30" s="3" t="s">
        <v>49</v>
      </c>
      <c r="C30" s="61"/>
      <c r="D30" s="63" t="str">
        <f>IF($C$20=0," ",C30/$C$20)</f>
        <v xml:space="preserve"> </v>
      </c>
      <c r="E30" s="61">
        <v>16001.475999999997</v>
      </c>
      <c r="F30" s="63">
        <f>+E30/$E$20</f>
        <v>0.34788237442604691</v>
      </c>
      <c r="G30" s="63" t="str">
        <f>IF(C30=0,"",(E30-C30)/ABS(C30)+1)</f>
        <v/>
      </c>
      <c r="H30" s="61">
        <v>4576</v>
      </c>
      <c r="I30" s="63">
        <f>+H30/$H$20</f>
        <v>0.39612256946428226</v>
      </c>
      <c r="J30" s="63">
        <f>IF(H30=0,"",(E30-H30)/ABS(H30))</f>
        <v>2.4968260489510481</v>
      </c>
      <c r="K30" s="61"/>
      <c r="L30" s="63" t="str">
        <f>IF($K$20=0," ",K30/$K$20)</f>
        <v xml:space="preserve"> </v>
      </c>
      <c r="M30" s="61">
        <v>122382.26599999999</v>
      </c>
      <c r="N30" s="63">
        <f>+M30/$M$20</f>
        <v>0.36694817629113713</v>
      </c>
      <c r="O30" s="63" t="str">
        <f>IF(K30=0,"",(M30-K30)/ABS(K30)+1)</f>
        <v/>
      </c>
      <c r="P30" s="61">
        <v>22379.444704720001</v>
      </c>
      <c r="Q30" s="63">
        <f>+P30/$P$20</f>
        <v>0.36121278911134724</v>
      </c>
      <c r="R30" s="63">
        <f>IF(P30=0,"",(M30-P30)/ABS(P30))</f>
        <v>4.4685121822610991</v>
      </c>
      <c r="T30" s="3" t="s">
        <v>50</v>
      </c>
      <c r="U30" s="61">
        <f>+U21-U25-U23+U27</f>
        <v>236652</v>
      </c>
      <c r="V30" s="61">
        <f>+V21-V25-V23+V27</f>
        <v>68844.070000000007</v>
      </c>
      <c r="W30" s="61">
        <f>+W21-W25-W23+W27</f>
        <v>4044</v>
      </c>
      <c r="X30" s="61">
        <f>+X21-X25-X23-X27</f>
        <v>236652</v>
      </c>
      <c r="Y30" s="61">
        <f>+Y21-Y25-Y23+Y27</f>
        <v>68843.889999999985</v>
      </c>
      <c r="Z30" s="57">
        <f>+Y30-X30</f>
        <v>-167808.11000000002</v>
      </c>
      <c r="AA30" s="63">
        <f>IF(U30=0,"",(V30-U30)/ABS(U30)+1)</f>
        <v>0.29090846474992815</v>
      </c>
      <c r="AB30" s="61">
        <f>+AB21-AB25-AB23+AB27</f>
        <v>4044</v>
      </c>
      <c r="AC30" s="63">
        <f>IF(AB30=0,"",(Y30-AB30)/ABS(AB30))</f>
        <v>16.023711671612261</v>
      </c>
      <c r="AD30" s="49"/>
      <c r="AF30" s="62">
        <v>58132.820000000014</v>
      </c>
    </row>
    <row r="31" spans="2:34" x14ac:dyDescent="0.2">
      <c r="B31" s="3" t="s">
        <v>51</v>
      </c>
      <c r="C31" s="61"/>
      <c r="D31" s="63" t="str">
        <f>IF($C$20=0," ",C31/$C$20)</f>
        <v xml:space="preserve"> </v>
      </c>
      <c r="E31" s="61">
        <v>5644.2</v>
      </c>
      <c r="F31" s="63">
        <f>+E31/$E$20</f>
        <v>0.12270853624599971</v>
      </c>
      <c r="G31" s="63" t="str">
        <f>IF(C31=0,"",(E31-C31)/ABS(C31)+1)</f>
        <v/>
      </c>
      <c r="H31" s="61">
        <v>1530</v>
      </c>
      <c r="I31" s="63">
        <f>+H31/$H$20</f>
        <v>0.13244482763993704</v>
      </c>
      <c r="J31" s="63">
        <f>IF(H31=0,"",(E31-H31)/ABS(H31))</f>
        <v>2.6890196078431372</v>
      </c>
      <c r="K31" s="61"/>
      <c r="L31" s="63" t="str">
        <f>IF($K$20=0," ",K31/$K$20)</f>
        <v xml:space="preserve"> </v>
      </c>
      <c r="M31" s="61">
        <v>27613.679999999997</v>
      </c>
      <c r="N31" s="63">
        <f>+M31/$M$20</f>
        <v>8.2796224059840898E-2</v>
      </c>
      <c r="O31" s="63" t="str">
        <f>IF(K31=0,"",(M31-K31)/ABS(K31)+1)</f>
        <v/>
      </c>
      <c r="P31" s="61">
        <v>10788.31654059</v>
      </c>
      <c r="Q31" s="63">
        <f>+P31/$P$20</f>
        <v>0.17412755136952585</v>
      </c>
      <c r="R31" s="63">
        <f>IF(P31=0,"",(M31-P31)/ABS(P31))</f>
        <v>1.5595911925745032</v>
      </c>
      <c r="T31" s="55"/>
      <c r="U31" s="55"/>
      <c r="V31" s="55" t="s">
        <v>61</v>
      </c>
      <c r="W31" s="55" t="s">
        <v>61</v>
      </c>
      <c r="X31" s="61"/>
      <c r="Y31" s="61" t="s">
        <v>61</v>
      </c>
      <c r="Z31" s="55"/>
      <c r="AA31" s="55"/>
      <c r="AB31" s="61" t="s">
        <v>61</v>
      </c>
      <c r="AC31" s="55"/>
      <c r="AD31" s="49"/>
    </row>
    <row r="32" spans="2:34" x14ac:dyDescent="0.2">
      <c r="B32" s="3" t="s">
        <v>52</v>
      </c>
      <c r="C32" s="61">
        <f>SUM(C30:C31)</f>
        <v>0</v>
      </c>
      <c r="D32" s="63" t="str">
        <f>IF($C$20=0," ",C32/$C$20)</f>
        <v xml:space="preserve"> </v>
      </c>
      <c r="E32" s="61">
        <f>SUM(E30:E31)</f>
        <v>21645.675999999996</v>
      </c>
      <c r="F32" s="63">
        <f>+E32/$E$20</f>
        <v>0.47059091067204661</v>
      </c>
      <c r="G32" s="63" t="str">
        <f>IF(C32=0,"",(E32-C32)/ABS(C32)+1)</f>
        <v/>
      </c>
      <c r="H32" s="61">
        <f>+H31+H30</f>
        <v>6106</v>
      </c>
      <c r="I32" s="63">
        <f>+H32/$H$20</f>
        <v>0.52856739710421929</v>
      </c>
      <c r="J32" s="63">
        <f>IF(H32=0,"",(E32-H32)/ABS(H32))</f>
        <v>2.5449846053062553</v>
      </c>
      <c r="K32" s="61">
        <f>+K30+K31</f>
        <v>0</v>
      </c>
      <c r="L32" s="63" t="str">
        <f>IF($K$20=0," ",K32/$K$20)</f>
        <v xml:space="preserve"> </v>
      </c>
      <c r="M32" s="61">
        <f>+M30+M31</f>
        <v>149995.946</v>
      </c>
      <c r="N32" s="63">
        <f>+M32/$M$20</f>
        <v>0.44974440035097807</v>
      </c>
      <c r="O32" s="63" t="str">
        <f>IF(K32=0,"",(M32-K32)/ABS(K32)+1)</f>
        <v/>
      </c>
      <c r="P32" s="61">
        <f>+P31+P30</f>
        <v>33167.761245310001</v>
      </c>
      <c r="Q32" s="63">
        <f>+P32/$P$20</f>
        <v>0.53534034048087309</v>
      </c>
      <c r="R32" s="63">
        <f>IF(P32=0,"",(M32-P32)/ABS(P32))</f>
        <v>3.522341586175334</v>
      </c>
      <c r="AD32" s="49"/>
    </row>
    <row r="33" spans="2:30" x14ac:dyDescent="0.2">
      <c r="Y33" s="49"/>
      <c r="AD33" s="49"/>
    </row>
    <row r="34" spans="2:30" x14ac:dyDescent="0.2">
      <c r="B34" s="3" t="s">
        <v>53</v>
      </c>
      <c r="C34" s="61">
        <f>C28+C32</f>
        <v>0</v>
      </c>
      <c r="D34" s="63" t="str">
        <f>IF($C$20=0," ",C34/$C$20)</f>
        <v xml:space="preserve"> </v>
      </c>
      <c r="E34" s="61">
        <f>E28+E32</f>
        <v>26006.505999999994</v>
      </c>
      <c r="F34" s="63">
        <f>+E34/$E$20</f>
        <v>0.56539815813273953</v>
      </c>
      <c r="G34" s="63" t="str">
        <f>IF(C34=0,"",(E34-C34)/ABS(C34)+1)</f>
        <v/>
      </c>
      <c r="H34" s="61">
        <f>H28+H32</f>
        <v>8927.0099999999984</v>
      </c>
      <c r="I34" s="63">
        <f>+H34/$H$20</f>
        <v>0.77276882404574776</v>
      </c>
      <c r="J34" s="63">
        <f>IF(H34=0,"",(E34-H34)/ABS(H34))</f>
        <v>1.9132381390857631</v>
      </c>
      <c r="K34" s="61">
        <f>K28+K32</f>
        <v>0</v>
      </c>
      <c r="L34" s="63" t="str">
        <f>IF($K$20=0," ",K34/$K$20)</f>
        <v xml:space="preserve"> </v>
      </c>
      <c r="M34" s="61">
        <f>M28+M32</f>
        <v>183622.516</v>
      </c>
      <c r="N34" s="63">
        <f>+M34/$M$20</f>
        <v>0.55056953572170464</v>
      </c>
      <c r="O34" s="63" t="str">
        <f>IF(K34=0,"",(M34-K34)/ABS(K34)+1)</f>
        <v/>
      </c>
      <c r="P34" s="61">
        <f>P28+P32</f>
        <v>47475.713797110002</v>
      </c>
      <c r="Q34" s="63">
        <f>+P34/$P$20</f>
        <v>0.7662761619857954</v>
      </c>
      <c r="R34" s="63">
        <f>IF(P34=0,"",(M34-P34)/ABS(P34))</f>
        <v>2.8677146969231599</v>
      </c>
      <c r="AD34" s="49"/>
    </row>
    <row r="35" spans="2:30" x14ac:dyDescent="0.2">
      <c r="T35" s="57"/>
      <c r="AD35" s="49"/>
    </row>
    <row r="36" spans="2:30" x14ac:dyDescent="0.2">
      <c r="B36" s="3" t="s">
        <v>54</v>
      </c>
      <c r="C36" s="61">
        <f>C24-C34</f>
        <v>0</v>
      </c>
      <c r="D36" s="63" t="str">
        <f>IF($C$20=0," ",C36/$C$20)</f>
        <v xml:space="preserve"> </v>
      </c>
      <c r="E36" s="61">
        <f>E24-E34</f>
        <v>19990.294000000009</v>
      </c>
      <c r="F36" s="63">
        <f>+E36/$E$20</f>
        <v>0.43460184186726047</v>
      </c>
      <c r="G36" s="63" t="str">
        <f>IF(C36=0,"",(E36-C36)/ABS(C36)+1)</f>
        <v/>
      </c>
      <c r="H36" s="61">
        <f>H24-H34</f>
        <v>2624.970000000003</v>
      </c>
      <c r="I36" s="63">
        <f>+H36/$H$20</f>
        <v>0.22723117595425224</v>
      </c>
      <c r="J36" s="63">
        <f>IF(H36=0,"",(E36-H36)/ABS(H36))</f>
        <v>6.6154371288052767</v>
      </c>
      <c r="K36" s="61">
        <f>K24-K34</f>
        <v>0</v>
      </c>
      <c r="L36" s="63" t="str">
        <f>IF($K$20=0," ",K36/$K$20)</f>
        <v xml:space="preserve"> </v>
      </c>
      <c r="M36" s="61">
        <f>M24-M34</f>
        <v>95274.18399999995</v>
      </c>
      <c r="N36" s="63">
        <f>+M36/$M$20</f>
        <v>0.28566792566519583</v>
      </c>
      <c r="O36" s="63" t="str">
        <f>IF(K36=0,"",(M36-K36)/ABS(K36)+1)</f>
        <v/>
      </c>
      <c r="P36" s="61">
        <f>P24-P34</f>
        <v>14480.68802293</v>
      </c>
      <c r="Q36" s="63">
        <f>+P36/$P$20</f>
        <v>0.2337238380142046</v>
      </c>
      <c r="R36" s="63">
        <f>IF(P36=0,"",(M36-P36)/ABS(P36))</f>
        <v>5.579396217164156</v>
      </c>
      <c r="AD36" s="49"/>
    </row>
    <row r="37" spans="2:30" x14ac:dyDescent="0.2">
      <c r="AD37" s="49"/>
    </row>
    <row r="38" spans="2:30" x14ac:dyDescent="0.2">
      <c r="B38" s="3" t="s">
        <v>55</v>
      </c>
      <c r="C38" s="61"/>
      <c r="D38" s="63" t="str">
        <f>IF($C$20=0," ",C38/$C$20)</f>
        <v xml:space="preserve"> </v>
      </c>
      <c r="E38" s="61">
        <v>15068.96</v>
      </c>
      <c r="F38" s="63">
        <f>+E38/$E$20</f>
        <v>0.32760887713927922</v>
      </c>
      <c r="G38" s="63" t="str">
        <f>IF(C38=0,"",(E38-C38)/ABS(C38)+1)</f>
        <v/>
      </c>
      <c r="H38" s="61"/>
      <c r="I38" s="63">
        <f>+H38/$H$20</f>
        <v>0</v>
      </c>
      <c r="J38" s="63" t="str">
        <f>IF(H38=0,"",(E38-H38)/ABS(H38))</f>
        <v/>
      </c>
      <c r="K38" s="61">
        <f>+S28+C38</f>
        <v>0</v>
      </c>
      <c r="L38" s="63" t="str">
        <f>IF($K$20=0," ",K38/$K$20)</f>
        <v xml:space="preserve"> </v>
      </c>
      <c r="M38" s="61">
        <v>15069</v>
      </c>
      <c r="N38" s="63">
        <f>+M38/$M$20</f>
        <v>4.5182543592804096E-2</v>
      </c>
      <c r="O38" s="63" t="str">
        <f>IF(K38=0,"",(M38-K38)/ABS(K38)+1)</f>
        <v/>
      </c>
      <c r="P38" s="61"/>
      <c r="Q38" s="63">
        <f>+P38/$P$20</f>
        <v>0</v>
      </c>
      <c r="R38" s="63" t="str">
        <f>IF(P38=0,"",(M38-P38)/ABS(P38))</f>
        <v/>
      </c>
      <c r="AD38" s="49"/>
    </row>
    <row r="39" spans="2:30" x14ac:dyDescent="0.2">
      <c r="B39" s="3" t="s">
        <v>56</v>
      </c>
      <c r="C39" s="61"/>
      <c r="D39" s="63" t="str">
        <f>IF($C$20=0," ",C39/$C$20)</f>
        <v xml:space="preserve"> </v>
      </c>
      <c r="E39" s="61">
        <v>1368.63</v>
      </c>
      <c r="F39" s="63">
        <f>+E39/$E$20</f>
        <v>2.9754895992764714E-2</v>
      </c>
      <c r="G39" s="63" t="str">
        <f>IF(C39=0,"",(E39-C39)/ABS(C39)+1)</f>
        <v/>
      </c>
      <c r="H39" s="61">
        <v>163</v>
      </c>
      <c r="I39" s="63">
        <f>+H39/$H$20</f>
        <v>1.4110135232228586E-2</v>
      </c>
      <c r="J39" s="63">
        <f>IF(H39=0,"",(E39-H39)/ABS(H39))</f>
        <v>7.3965030674846632</v>
      </c>
      <c r="K39" s="61"/>
      <c r="L39" s="63" t="str">
        <f>IF($K$20=0," ",K39/$K$20)</f>
        <v xml:space="preserve"> </v>
      </c>
      <c r="M39" s="61">
        <f>5102-667</f>
        <v>4435</v>
      </c>
      <c r="N39" s="63">
        <f>+M39/$M$20</f>
        <v>1.3297802165643783E-2</v>
      </c>
      <c r="O39" s="63" t="str">
        <f>IF(K39=0,"",(M39-K39)/ABS(K39)+1)</f>
        <v/>
      </c>
      <c r="P39" s="61">
        <v>845.88050255999997</v>
      </c>
      <c r="Q39" s="63">
        <f>+P39/$P$20</f>
        <v>1.3652834537050167E-2</v>
      </c>
      <c r="R39" s="63">
        <f>IF(P39=0,"",(M39-P39)/ABS(P39))</f>
        <v>4.2430573663511257</v>
      </c>
    </row>
    <row r="41" spans="2:30" x14ac:dyDescent="0.2">
      <c r="B41" s="3" t="s">
        <v>57</v>
      </c>
      <c r="C41" s="61">
        <f>C36+C38-C39</f>
        <v>0</v>
      </c>
      <c r="D41" s="63" t="str">
        <f>IF($C$20=0," ",C41/$C$20)</f>
        <v xml:space="preserve"> </v>
      </c>
      <c r="E41" s="61">
        <f>E36+E38-E39</f>
        <v>33690.624000000011</v>
      </c>
      <c r="F41" s="63">
        <f>+E41/$E$20</f>
        <v>0.7324558230137751</v>
      </c>
      <c r="G41" s="63" t="str">
        <f>IF(C41=0,"",(E41-C41)/ABS(C41)+1)</f>
        <v/>
      </c>
      <c r="H41" s="61">
        <f>H36+H38-H39</f>
        <v>2461.970000000003</v>
      </c>
      <c r="I41" s="63">
        <f>+H41/$H$20</f>
        <v>0.21312104072202365</v>
      </c>
      <c r="J41" s="63">
        <f>IF(H41=0,"",(E41-H41)/ABS(H41))</f>
        <v>12.684416950653327</v>
      </c>
      <c r="K41" s="61">
        <f>K36+K38-K39</f>
        <v>0</v>
      </c>
      <c r="L41" s="63" t="str">
        <f>IF($K$20=0," ",K41/$K$20)</f>
        <v xml:space="preserve"> </v>
      </c>
      <c r="M41" s="61">
        <f>M36+M38-M39</f>
        <v>105908.18399999995</v>
      </c>
      <c r="N41" s="63">
        <f>+M41/$M$20</f>
        <v>0.31755266709235613</v>
      </c>
      <c r="O41" s="63" t="str">
        <f>IF(K41=0,"",(M41-K41)/ABS(K41)+1)</f>
        <v/>
      </c>
      <c r="P41" s="61">
        <f>P36+P38-P39</f>
        <v>13634.807520370001</v>
      </c>
      <c r="Q41" s="63">
        <f>+P41/$P$20</f>
        <v>0.22007100347715444</v>
      </c>
      <c r="R41" s="63">
        <f>IF(P41=0,"",(M41-P41)/ABS(P41))</f>
        <v>6.7674865480701687</v>
      </c>
    </row>
    <row r="42" spans="2:30" x14ac:dyDescent="0.2">
      <c r="B42" s="3" t="s">
        <v>43</v>
      </c>
      <c r="C42" s="61"/>
      <c r="D42" s="63" t="str">
        <f>IF($C$20=0," ",C42/$C$20)</f>
        <v xml:space="preserve"> </v>
      </c>
      <c r="E42" s="61">
        <v>36009</v>
      </c>
      <c r="F42" s="63">
        <f>+E42/$E$20</f>
        <v>0.7828588075692221</v>
      </c>
      <c r="G42" s="63" t="str">
        <f>IF(C42=0,"",(E42-C42)/ABS(C42)+1)</f>
        <v/>
      </c>
      <c r="H42" s="61"/>
      <c r="I42" s="63">
        <f>+H42/$H$20</f>
        <v>0</v>
      </c>
      <c r="J42" s="63" t="str">
        <f>IF(H42=0,"",(E42-H42)/ABS(H42))</f>
        <v/>
      </c>
      <c r="K42" s="61">
        <f>+S31+C42</f>
        <v>0</v>
      </c>
      <c r="L42" s="63" t="str">
        <f>IF($K$20=0," ",K42/$K$20)</f>
        <v xml:space="preserve"> </v>
      </c>
      <c r="M42" s="61">
        <v>36009</v>
      </c>
      <c r="N42" s="63">
        <f>+M42/$M$20</f>
        <v>0.10796855877850439</v>
      </c>
      <c r="O42" s="63" t="str">
        <f>IF(K42=0,"",(M42-K42)/ABS(K42)+1)</f>
        <v/>
      </c>
      <c r="P42" s="61">
        <v>19.797676790000001</v>
      </c>
      <c r="Q42" s="63">
        <f>+P42/$P$20</f>
        <v>3.1954206842909938E-4</v>
      </c>
      <c r="R42" s="63">
        <f>IF(P42=0,"",(M42-P42)/ABS(P42))</f>
        <v>1817.8497762620559</v>
      </c>
    </row>
    <row r="43" spans="2:30" x14ac:dyDescent="0.2">
      <c r="B43" s="19" t="s">
        <v>58</v>
      </c>
      <c r="C43" s="65">
        <f>C41-C42</f>
        <v>0</v>
      </c>
      <c r="D43" s="68" t="str">
        <f>IF($C$20=0," ",C43/$C$20)</f>
        <v xml:space="preserve"> </v>
      </c>
      <c r="E43" s="65">
        <f>+E41-E42</f>
        <v>-2318.3759999999893</v>
      </c>
      <c r="F43" s="68">
        <f>+E43/$E$20</f>
        <v>-5.0402984555447103E-2</v>
      </c>
      <c r="G43" s="68" t="str">
        <f>IF(C43=0,"",(E43-C43)/ABS(C43)+1)</f>
        <v/>
      </c>
      <c r="H43" s="65">
        <f>+H41-H42</f>
        <v>2461.970000000003</v>
      </c>
      <c r="I43" s="68">
        <f>+H43/$H$20</f>
        <v>0.21312104072202365</v>
      </c>
      <c r="J43" s="68">
        <f>IF(H43=0,"",(E43-H43)/ABS(H43))</f>
        <v>-1.9416751625730559</v>
      </c>
      <c r="K43" s="65">
        <f>+K41-K42</f>
        <v>0</v>
      </c>
      <c r="L43" s="68" t="str">
        <f>IF($K$20=0," ",K43/$K$20)</f>
        <v xml:space="preserve"> </v>
      </c>
      <c r="M43" s="65">
        <f>+M41-M42</f>
        <v>69899.18399999995</v>
      </c>
      <c r="N43" s="68">
        <f>+M43/$M$20</f>
        <v>0.20958410831385177</v>
      </c>
      <c r="O43" s="68" t="str">
        <f>IF(K43=0,"",(M43-K43)/ABS(K43)+1)</f>
        <v/>
      </c>
      <c r="P43" s="65">
        <f>+P41-P42</f>
        <v>13615.009843580001</v>
      </c>
      <c r="Q43" s="68">
        <f>+P43/$P$20</f>
        <v>0.21975146140872534</v>
      </c>
      <c r="R43" s="68">
        <f>IF(P43=0,"",(M43-P43)/ABS(P43))</f>
        <v>4.1339796888182265</v>
      </c>
    </row>
    <row r="45" spans="2:30" x14ac:dyDescent="0.2">
      <c r="B45" s="3" t="s">
        <v>59</v>
      </c>
      <c r="C45" s="61">
        <f>+C43</f>
        <v>0</v>
      </c>
      <c r="D45" s="63" t="str">
        <f>IF($C$20=0," ",C45/$C$20)</f>
        <v xml:space="preserve"> </v>
      </c>
      <c r="E45" s="61">
        <f>+E43</f>
        <v>-2318.3759999999893</v>
      </c>
      <c r="F45" s="63">
        <f>+E45/$E$20</f>
        <v>-5.0402984555447103E-2</v>
      </c>
      <c r="G45" s="63" t="str">
        <f>IF(C45=0,"",(E45-C45)/ABS(C45)+1)</f>
        <v/>
      </c>
      <c r="H45" s="61">
        <v>2462</v>
      </c>
      <c r="I45" s="63">
        <f>+H45/$H$20</f>
        <v>0.2131236376794281</v>
      </c>
      <c r="J45" s="63">
        <f>IF(H45=0,"",(E45-H45)/ABS(H45))</f>
        <v>-1.9416636880584848</v>
      </c>
      <c r="K45" s="61">
        <f>+K43</f>
        <v>0</v>
      </c>
      <c r="L45" s="63" t="str">
        <f>IF($K$20=0," ",K45/$K$20)</f>
        <v xml:space="preserve"> </v>
      </c>
      <c r="M45" s="61">
        <f>+M43</f>
        <v>69899.18399999995</v>
      </c>
      <c r="N45" s="63">
        <f>+M45/$M$20</f>
        <v>0.20958410831385177</v>
      </c>
      <c r="O45" s="63" t="str">
        <f>IF(K45=0,"",(M45-K45)/ABS(K45)+1)</f>
        <v/>
      </c>
      <c r="P45" s="61">
        <v>13615</v>
      </c>
      <c r="Q45" s="63">
        <f>+P45/$P$20</f>
        <v>0.21975130252958272</v>
      </c>
      <c r="R45" s="63">
        <f>IF(P45=0,"",(M45-P45)/ABS(P45))</f>
        <v>4.1339834006610321</v>
      </c>
    </row>
    <row r="46" spans="2:30" x14ac:dyDescent="0.2">
      <c r="B46" s="3" t="s">
        <v>34</v>
      </c>
      <c r="C46" s="61"/>
      <c r="D46" s="63"/>
      <c r="E46" s="61">
        <v>8769.57</v>
      </c>
      <c r="F46" s="63">
        <f>+E46/$E$20</f>
        <v>0.19065608911924306</v>
      </c>
      <c r="G46" s="63"/>
      <c r="H46" s="61">
        <v>2718</v>
      </c>
      <c r="I46" s="63">
        <f>+H46/$H$20</f>
        <v>0.23528434086624109</v>
      </c>
      <c r="J46" s="63"/>
      <c r="K46" s="61"/>
      <c r="L46" s="63"/>
      <c r="M46" s="61">
        <v>77631.48</v>
      </c>
      <c r="N46" s="63">
        <f>+M46/$M$20</f>
        <v>0.23276844709495648</v>
      </c>
      <c r="O46" s="63" t="str">
        <f>IF(K46=0,"",(M46-K46)/ABS(K46)+1)</f>
        <v/>
      </c>
      <c r="P46" s="61">
        <v>14680</v>
      </c>
      <c r="Q46" s="63"/>
      <c r="R46" s="63">
        <f>IF(P46=0,"",(M46-P46)/ABS(P46))</f>
        <v>4.2882479564032696</v>
      </c>
    </row>
    <row r="47" spans="2:30" x14ac:dyDescent="0.2">
      <c r="B47" s="55"/>
      <c r="C47" s="61"/>
      <c r="D47" s="55"/>
      <c r="E47" s="55" t="s">
        <v>61</v>
      </c>
      <c r="F47" s="55"/>
      <c r="G47" s="55"/>
      <c r="H47" s="55" t="s">
        <v>61</v>
      </c>
      <c r="I47" s="55"/>
      <c r="J47" s="55"/>
      <c r="K47" s="55"/>
      <c r="L47" s="55"/>
      <c r="M47" s="61"/>
      <c r="N47" s="55"/>
      <c r="O47" s="55"/>
      <c r="P47" s="61" t="s">
        <v>61</v>
      </c>
      <c r="Q47" s="55"/>
      <c r="R47" s="55"/>
    </row>
    <row r="48" spans="2:30" x14ac:dyDescent="0.2">
      <c r="H48" s="62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19CB4-1187-449C-9C7C-02B26C048E20}">
  <sheetPr>
    <tabColor theme="2" tint="-0.249977111117893"/>
  </sheetPr>
  <dimension ref="A1:AY47"/>
  <sheetViews>
    <sheetView showGridLines="0" topLeftCell="A5" zoomScaleNormal="100" workbookViewId="0">
      <selection activeCell="H22" sqref="H22"/>
    </sheetView>
  </sheetViews>
  <sheetFormatPr baseColWidth="10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2" width="17.42578125" style="2" bestFit="1" customWidth="1"/>
    <col min="33" max="33" width="11.42578125" style="2"/>
    <col min="34" max="34" width="12.85546875" style="2" bestFit="1" customWidth="1"/>
    <col min="35" max="35" width="18.85546875" style="2" customWidth="1"/>
    <col min="36" max="16384" width="11.42578125" style="2"/>
  </cols>
  <sheetData>
    <row r="1" spans="1:35" s="44" customFormat="1" ht="18.75" customHeight="1" x14ac:dyDescent="0.2">
      <c r="B1" s="43"/>
    </row>
    <row r="2" spans="1:35" ht="18.75" customHeight="1" x14ac:dyDescent="0.2">
      <c r="A2" s="44"/>
      <c r="Y2" s="48"/>
      <c r="Z2" s="48"/>
      <c r="AA2" s="48"/>
      <c r="AB2" s="48"/>
    </row>
    <row r="3" spans="1:35" ht="18" x14ac:dyDescent="0.25">
      <c r="B3" s="15" t="s">
        <v>129</v>
      </c>
      <c r="S3" s="48"/>
      <c r="T3" s="17" t="s">
        <v>129</v>
      </c>
      <c r="AF3" s="2" t="str">
        <f>+B6</f>
        <v>NOVIEMBRE De 2022</v>
      </c>
      <c r="AG3" s="2" t="s">
        <v>133</v>
      </c>
      <c r="AH3" s="95">
        <f>_xlfn.XLOOKUP(Paramet!B8,'VENEZUELA USD'!AT35:AT46,'VENEZUELA USD'!AU35:AU46,0,0)</f>
        <v>13.1</v>
      </c>
      <c r="AI3" s="2" t="s">
        <v>134</v>
      </c>
    </row>
    <row r="4" spans="1:35" x14ac:dyDescent="0.2">
      <c r="B4" s="2" t="s">
        <v>89</v>
      </c>
      <c r="S4" s="48"/>
      <c r="T4" s="3" t="s">
        <v>20</v>
      </c>
      <c r="AG4" s="2" t="s">
        <v>135</v>
      </c>
      <c r="AH4" s="95">
        <f>+AM44</f>
        <v>4.5599999999999996</v>
      </c>
    </row>
    <row r="5" spans="1:35" ht="13.5" thickBot="1" x14ac:dyDescent="0.25">
      <c r="B5" s="3" t="s">
        <v>136</v>
      </c>
      <c r="S5" s="48"/>
      <c r="T5" s="3" t="s">
        <v>137</v>
      </c>
      <c r="X5" s="20" t="s">
        <v>22</v>
      </c>
      <c r="Y5" s="20"/>
      <c r="Z5" s="20"/>
      <c r="AA5" s="20"/>
      <c r="AB5" s="20"/>
      <c r="AC5" s="20"/>
    </row>
    <row r="6" spans="1:35" ht="13.5" thickBot="1" x14ac:dyDescent="0.25">
      <c r="B6" s="19" t="str">
        <f>+'VZLA BFS'!B6</f>
        <v>NOVIEMBRE De 2022</v>
      </c>
      <c r="C6" s="86"/>
      <c r="K6" s="94" t="s">
        <v>22</v>
      </c>
      <c r="L6" s="94"/>
      <c r="M6" s="94"/>
      <c r="N6" s="94"/>
      <c r="O6" s="94"/>
      <c r="P6" s="94"/>
      <c r="Q6" s="94"/>
      <c r="R6" s="94"/>
      <c r="T6" s="19" t="str">
        <f>+B6</f>
        <v>NOVIEMBRE De 2022</v>
      </c>
      <c r="Z6" s="2" t="s">
        <v>25</v>
      </c>
      <c r="AA6" s="2" t="s">
        <v>23</v>
      </c>
      <c r="AC6" s="2" t="s">
        <v>24</v>
      </c>
    </row>
    <row r="7" spans="1:35" ht="15.75" customHeight="1" x14ac:dyDescent="0.2">
      <c r="C7" s="2" t="str">
        <f>+'VZLA BFS'!C7</f>
        <v>Ppto 2022</v>
      </c>
      <c r="E7" s="2" t="str">
        <f>+'VZLA BFS'!E7</f>
        <v>Real 2022</v>
      </c>
      <c r="G7" s="2" t="str">
        <f>+'VZLA BFS'!G7</f>
        <v>Cump</v>
      </c>
      <c r="H7" s="2" t="str">
        <f>+'VZLA BFS'!H7</f>
        <v>Real 2021</v>
      </c>
      <c r="J7" s="44" t="s">
        <v>24</v>
      </c>
      <c r="K7" s="2" t="str">
        <f>+C7</f>
        <v>Ppto 2022</v>
      </c>
      <c r="M7" s="2" t="str">
        <f>+E7</f>
        <v>Real 2022</v>
      </c>
      <c r="O7" s="2" t="str">
        <f>+G7</f>
        <v>Cump</v>
      </c>
      <c r="P7" s="2" t="str">
        <f>+H7</f>
        <v>Real 2021</v>
      </c>
      <c r="Q7" s="44"/>
      <c r="R7" s="44" t="s">
        <v>24</v>
      </c>
      <c r="S7" s="44"/>
      <c r="U7" s="48" t="str">
        <f>+C7</f>
        <v>Ppto 2022</v>
      </c>
      <c r="V7" s="48" t="str">
        <f>+M7</f>
        <v>Real 2022</v>
      </c>
      <c r="W7" s="48" t="str">
        <f>+H7</f>
        <v>Real 2021</v>
      </c>
      <c r="X7" s="48" t="str">
        <f>+U7</f>
        <v>Ppto 2022</v>
      </c>
      <c r="Y7" s="48" t="str">
        <f>+V7</f>
        <v>Real 2022</v>
      </c>
      <c r="Z7" s="48" t="s">
        <v>25</v>
      </c>
      <c r="AA7" s="48" t="s">
        <v>23</v>
      </c>
      <c r="AB7" s="48" t="str">
        <f>+W7</f>
        <v>Real 2021</v>
      </c>
      <c r="AC7" s="48" t="s">
        <v>24</v>
      </c>
      <c r="AD7" s="48"/>
      <c r="AE7" s="48"/>
      <c r="AH7" s="2">
        <v>2819322440</v>
      </c>
      <c r="AI7" s="96">
        <f>1/AH4</f>
        <v>0.2192982456140351</v>
      </c>
    </row>
    <row r="8" spans="1:35" ht="13.5" thickBot="1" x14ac:dyDescent="0.25">
      <c r="B8" s="26"/>
      <c r="C8" s="27" t="s">
        <v>27</v>
      </c>
      <c r="D8" s="27" t="s">
        <v>28</v>
      </c>
      <c r="E8" s="27" t="s">
        <v>27</v>
      </c>
      <c r="F8" s="27" t="s">
        <v>28</v>
      </c>
      <c r="G8" s="27" t="s">
        <v>29</v>
      </c>
      <c r="H8" s="27" t="s">
        <v>27</v>
      </c>
      <c r="I8" s="27" t="s">
        <v>28</v>
      </c>
      <c r="J8" s="27" t="s">
        <v>29</v>
      </c>
      <c r="K8" s="27" t="s">
        <v>27</v>
      </c>
      <c r="L8" s="27" t="s">
        <v>28</v>
      </c>
      <c r="M8" s="27" t="s">
        <v>27</v>
      </c>
      <c r="N8" s="27" t="s">
        <v>28</v>
      </c>
      <c r="O8" s="27" t="s">
        <v>29</v>
      </c>
      <c r="P8" s="27" t="s">
        <v>27</v>
      </c>
      <c r="Q8" s="27" t="s">
        <v>28</v>
      </c>
      <c r="R8" s="27" t="s">
        <v>29</v>
      </c>
      <c r="S8" s="48"/>
      <c r="T8" s="26"/>
      <c r="U8" s="27"/>
      <c r="V8" s="27"/>
      <c r="W8" s="27"/>
      <c r="X8" s="26"/>
      <c r="Y8" s="26"/>
      <c r="Z8" s="27"/>
      <c r="AA8" s="27" t="s">
        <v>29</v>
      </c>
      <c r="AB8" s="26"/>
      <c r="AC8" s="27" t="s">
        <v>29</v>
      </c>
      <c r="AD8" s="48"/>
      <c r="AE8" s="48"/>
      <c r="AI8" s="97">
        <f>+AI7*AH7</f>
        <v>618272464.9122808</v>
      </c>
    </row>
    <row r="9" spans="1:35" x14ac:dyDescent="0.2">
      <c r="S9" s="63"/>
      <c r="AD9" s="63"/>
      <c r="AE9" s="63"/>
      <c r="AH9" s="2">
        <f>+AH7/AH4</f>
        <v>618272464.9122808</v>
      </c>
    </row>
    <row r="10" spans="1:35" x14ac:dyDescent="0.2">
      <c r="B10" s="3" t="s">
        <v>68</v>
      </c>
      <c r="C10" s="61">
        <f>'VZLA BFS'!C10/'VENEZUELA USD'!$AH$3</f>
        <v>0</v>
      </c>
      <c r="D10" s="30" t="str">
        <f t="shared" ref="D10:D20" si="0">IF(DD19&lt;=0," ",C10/$C$20)</f>
        <v xml:space="preserve"> </v>
      </c>
      <c r="E10" s="61">
        <f>'VZLA BFS'!E10/'VENEZUELA USD'!$AH$3</f>
        <v>2032.6717557251909</v>
      </c>
      <c r="F10" s="30">
        <f t="shared" ref="F10:F20" si="1">+E10/$E$20</f>
        <v>0.57890983720606648</v>
      </c>
      <c r="G10" s="30" t="str">
        <f>IF(C10=0,"",(E10-C10)/ABS(C10)+1)</f>
        <v/>
      </c>
      <c r="H10" s="57">
        <f>+'VZLA BFS'!H10/'VENEZUELA USD'!$AH$4</f>
        <v>1456.5789473684213</v>
      </c>
      <c r="I10" s="30">
        <f t="shared" ref="I10:I20" si="2">IF($H$20&lt;=0," ",H10/$H$20)</f>
        <v>0.57496636940160906</v>
      </c>
      <c r="J10" s="30">
        <f>IF(E10=0,"",(E10-H10)/ABS(H10))</f>
        <v>0.3955108711392456</v>
      </c>
      <c r="K10" s="61">
        <f>'VZLA BFS'!K10/'VENEZUELA USD'!$AH$3</f>
        <v>0</v>
      </c>
      <c r="L10" s="30" t="str">
        <f t="shared" ref="L10:L22" si="3">IF($K$20&lt;=0," ",K10/$K$20)</f>
        <v xml:space="preserve"> </v>
      </c>
      <c r="M10" s="61">
        <f>'VZLA BFS'!M10/'VENEZUELA USD'!$AH$3</f>
        <v>11279.08396946565</v>
      </c>
      <c r="N10" s="30">
        <f t="shared" ref="N10:N15" si="4">+M10/$M$20</f>
        <v>0.44302819769715057</v>
      </c>
      <c r="O10" s="30" t="str">
        <f>IF(K10=0,"",(M10-K10)/ABS(K10)+1)</f>
        <v/>
      </c>
      <c r="P10" s="57">
        <f>+'VZLA BFS'!P10/'VENEZUELA USD'!$AH$4</f>
        <v>7257.6754385964914</v>
      </c>
      <c r="Q10" s="30">
        <f t="shared" ref="Q10:Q22" si="5">IF($P$20&lt;=0," ",P10/$P$20)</f>
        <v>0.53416594617822544</v>
      </c>
      <c r="R10" s="30">
        <f>IF(M10=0,"",(M10-P10)/ABS(P10))</f>
        <v>0.55409043362330745</v>
      </c>
      <c r="S10" s="63"/>
      <c r="T10" s="3" t="s">
        <v>30</v>
      </c>
      <c r="U10" s="61">
        <f>+'VZLA BFS'!U10/'VENEZUELA USD'!$AH$3</f>
        <v>18065.038167938932</v>
      </c>
      <c r="V10" s="61">
        <f>+'VZLA BFS'!V10/'VENEZUELA USD'!$AH$3</f>
        <v>4437.6335877862593</v>
      </c>
      <c r="W10" s="61">
        <f>+'VZLA BFS'!W10/'VENEZUELA USD'!$AH$3</f>
        <v>130.53435114503816</v>
      </c>
      <c r="X10" s="61">
        <f>+'VZLA BFS'!X10/'VENEZUELA USD'!$AH$3</f>
        <v>18065.038167938932</v>
      </c>
      <c r="Y10" s="61">
        <f>+'VZLA BFS'!Y10/'VENEZUELA USD'!$AH$3</f>
        <v>1127.2519083969466</v>
      </c>
      <c r="Z10" s="57">
        <f>+Y10-X10</f>
        <v>-16937.786259541987</v>
      </c>
      <c r="AA10" s="63">
        <f>IF(X10=0,"",(Y10-X10)/ABS(X10)+1)</f>
        <v>6.2399641667934325E-2</v>
      </c>
      <c r="AB10" s="61">
        <f>+'VZLA BFS'!AB10/'VENEZUELA USD'!$AH$3</f>
        <v>35.038167938931302</v>
      </c>
      <c r="AC10" s="63">
        <f>IF(W10=0,"",(Y10-AB10)/ABS(AB10))</f>
        <v>31.172113289760347</v>
      </c>
      <c r="AD10" s="63"/>
      <c r="AE10" s="63"/>
    </row>
    <row r="11" spans="1:35" x14ac:dyDescent="0.2">
      <c r="B11" s="3" t="s">
        <v>70</v>
      </c>
      <c r="C11" s="61">
        <f>'VZLA BFS'!C11/'VENEZUELA USD'!$AH$3</f>
        <v>0</v>
      </c>
      <c r="D11" s="30" t="str">
        <f t="shared" si="0"/>
        <v xml:space="preserve"> </v>
      </c>
      <c r="E11" s="61">
        <f>'VZLA BFS'!E11/'VENEZUELA USD'!$AH$3</f>
        <v>370.07633587786262</v>
      </c>
      <c r="F11" s="30">
        <f t="shared" si="1"/>
        <v>0.10539863642688187</v>
      </c>
      <c r="G11" s="30" t="str">
        <f t="shared" ref="G11:G22" si="6">IF(C11=0,"",(E11-C11)/ABS(C11)+1)</f>
        <v/>
      </c>
      <c r="H11" s="57">
        <f>+'VZLA BFS'!H11/'VENEZUELA USD'!$AH$4</f>
        <v>268.38815789473682</v>
      </c>
      <c r="I11" s="30">
        <f t="shared" si="2"/>
        <v>0.10594287732492608</v>
      </c>
      <c r="J11" s="30">
        <f t="shared" ref="J11:J20" si="7">IF(E11=0,"",(E11-H11)/ABS(H11))</f>
        <v>0.37888474208690093</v>
      </c>
      <c r="K11" s="61">
        <f>'VZLA BFS'!K11/'VENEZUELA USD'!$AH$3</f>
        <v>0</v>
      </c>
      <c r="L11" s="30" t="str">
        <f t="shared" si="3"/>
        <v xml:space="preserve"> </v>
      </c>
      <c r="M11" s="61">
        <f>'VZLA BFS'!M11/'VENEZUELA USD'!$AH$3</f>
        <v>2477.8473282442751</v>
      </c>
      <c r="N11" s="30">
        <f t="shared" si="4"/>
        <v>9.7326718993543199E-2</v>
      </c>
      <c r="O11" s="30" t="str">
        <f t="shared" ref="O11:O22" si="8">IF(K11=0,"",(M11-K11)/ABS(K11)+1)</f>
        <v/>
      </c>
      <c r="P11" s="57">
        <f>+'VZLA BFS'!P11/'VENEZUELA USD'!$AH$4</f>
        <v>2195.2700820394739</v>
      </c>
      <c r="Q11" s="30">
        <f t="shared" si="5"/>
        <v>0.16157219076692883</v>
      </c>
      <c r="R11" s="30">
        <f t="shared" ref="R11:R22" si="9">IF(M11=0,"",(M11-P11)/ABS(P11))</f>
        <v>0.12872094805859979</v>
      </c>
      <c r="S11" s="63"/>
      <c r="T11" s="3" t="s">
        <v>31</v>
      </c>
      <c r="U11" s="61">
        <f>+'VZLA BFS'!U11/'VENEZUELA USD'!$AH$3</f>
        <v>0</v>
      </c>
      <c r="V11" s="61">
        <f>+'VZLA BFS'!V11/'VENEZUELA USD'!$AH$3</f>
        <v>2706.7587786259542</v>
      </c>
      <c r="W11" s="61">
        <f>+'VZLA BFS'!W11/'VENEZUELA USD'!$AH$3</f>
        <v>919.08396946564892</v>
      </c>
      <c r="X11" s="61">
        <f>+'VZLA BFS'!X11/'VENEZUELA USD'!$AH$3</f>
        <v>0</v>
      </c>
      <c r="Y11" s="61">
        <f>+'VZLA BFS'!Y11/'VENEZUELA USD'!$AH$3</f>
        <v>24412.43282442748</v>
      </c>
      <c r="Z11" s="57">
        <f>+Y11-X11</f>
        <v>24412.43282442748</v>
      </c>
      <c r="AA11" s="63" t="str">
        <f>IF(X11=0,"",(Y11-X11)/ABS(X11)+1)</f>
        <v/>
      </c>
      <c r="AB11" s="61">
        <f>+'VZLA BFS'!AB11/'VENEZUELA USD'!$AH$3</f>
        <v>4070.4580152671756</v>
      </c>
      <c r="AC11" s="63">
        <f>IF(AB11=0,"",(Y11-AB11)/ABS(AB11))</f>
        <v>4.9974658215029155</v>
      </c>
      <c r="AD11" s="63"/>
      <c r="AE11" s="63"/>
    </row>
    <row r="12" spans="1:35" x14ac:dyDescent="0.2">
      <c r="B12" s="3" t="s">
        <v>72</v>
      </c>
      <c r="C12" s="61">
        <f>'VZLA BFS'!C12/'VENEZUELA USD'!$AH$3</f>
        <v>0</v>
      </c>
      <c r="D12" s="30" t="str">
        <f t="shared" si="0"/>
        <v xml:space="preserve"> </v>
      </c>
      <c r="E12" s="61">
        <f>'VZLA BFS'!E12/'VENEZUELA USD'!$AH$3</f>
        <v>571.41984732824437</v>
      </c>
      <c r="F12" s="30">
        <f t="shared" si="1"/>
        <v>0.16274175594823989</v>
      </c>
      <c r="G12" s="30" t="str">
        <f t="shared" si="6"/>
        <v/>
      </c>
      <c r="H12" s="57">
        <f>+'VZLA BFS'!H12/'VENEZUELA USD'!$AH$4</f>
        <v>363</v>
      </c>
      <c r="I12" s="30">
        <f t="shared" si="2"/>
        <v>0.14328972176198362</v>
      </c>
      <c r="J12" s="30">
        <f t="shared" si="7"/>
        <v>0.57415935903097626</v>
      </c>
      <c r="K12" s="61">
        <f>'VZLA BFS'!K12/'VENEZUELA USD'!$AH$3</f>
        <v>0</v>
      </c>
      <c r="L12" s="30" t="str">
        <f t="shared" si="3"/>
        <v xml:space="preserve"> </v>
      </c>
      <c r="M12" s="61">
        <f>'VZLA BFS'!M12/'VENEZUELA USD'!$AH$3</f>
        <v>3457.2251908396943</v>
      </c>
      <c r="N12" s="30">
        <f t="shared" si="4"/>
        <v>0.13579544664064236</v>
      </c>
      <c r="O12" s="30" t="str">
        <f t="shared" si="8"/>
        <v/>
      </c>
      <c r="P12" s="57">
        <f>+'VZLA BFS'!P12/'VENEZUELA USD'!$AH$4</f>
        <v>1777.1774234517543</v>
      </c>
      <c r="Q12" s="30">
        <f t="shared" si="5"/>
        <v>0.13080051153517369</v>
      </c>
      <c r="R12" s="30">
        <f t="shared" si="9"/>
        <v>0.94534611188388695</v>
      </c>
      <c r="S12" s="63"/>
      <c r="U12" s="61">
        <f>+'VZLA BFS'!U12/'VENEZUELA USD'!$AH$3</f>
        <v>0</v>
      </c>
      <c r="AD12" s="63"/>
      <c r="AE12" s="63"/>
    </row>
    <row r="13" spans="1:35" x14ac:dyDescent="0.2">
      <c r="B13" s="3" t="s">
        <v>74</v>
      </c>
      <c r="C13" s="61">
        <f>'VZLA BFS'!C13/'VENEZUELA USD'!$AH$3</f>
        <v>0</v>
      </c>
      <c r="D13" s="30" t="str">
        <f t="shared" si="0"/>
        <v xml:space="preserve"> </v>
      </c>
      <c r="E13" s="61">
        <f>'VZLA BFS'!E13/'VENEZUELA USD'!$AH$3</f>
        <v>7.5114503816793903</v>
      </c>
      <c r="F13" s="30">
        <f t="shared" si="1"/>
        <v>2.1392792542089885E-3</v>
      </c>
      <c r="G13" s="30" t="str">
        <f t="shared" si="6"/>
        <v/>
      </c>
      <c r="H13" s="57">
        <f>+'VZLA BFS'!H13/'VENEZUELA USD'!$AH$4</f>
        <v>0</v>
      </c>
      <c r="I13" s="30">
        <f t="shared" si="2"/>
        <v>0</v>
      </c>
      <c r="J13" s="30" t="e">
        <f t="shared" si="7"/>
        <v>#DIV/0!</v>
      </c>
      <c r="K13" s="61">
        <f>'VZLA BFS'!K13/'VENEZUELA USD'!$AH$3</f>
        <v>0</v>
      </c>
      <c r="L13" s="30" t="str">
        <f t="shared" si="3"/>
        <v xml:space="preserve"> </v>
      </c>
      <c r="M13" s="61">
        <f>'VZLA BFS'!M13/'VENEZUELA USD'!$AH$3</f>
        <v>4963.135114503817</v>
      </c>
      <c r="N13" s="30">
        <f t="shared" si="4"/>
        <v>0.1949456897970267</v>
      </c>
      <c r="O13" s="30" t="str">
        <f t="shared" si="8"/>
        <v/>
      </c>
      <c r="P13" s="57">
        <f>+'VZLA BFS'!P13/'VENEZUELA USD'!$AH$4</f>
        <v>203.63204254385968</v>
      </c>
      <c r="Q13" s="30">
        <f t="shared" si="5"/>
        <v>1.4987347339781337E-2</v>
      </c>
      <c r="R13" s="30">
        <f t="shared" si="9"/>
        <v>23.373055696452205</v>
      </c>
      <c r="S13" s="63"/>
      <c r="T13" s="3" t="s">
        <v>32</v>
      </c>
      <c r="U13" s="61">
        <f>+'VZLA BFS'!U13/'VENEZUELA USD'!$AH$3</f>
        <v>0</v>
      </c>
      <c r="V13" s="61">
        <f>+'VZLA BFS'!V13/'VENEZUELA USD'!$AH$3</f>
        <v>0</v>
      </c>
      <c r="W13" s="61">
        <f>+'VZLA BFS'!W13/'VENEZUELA USD'!$AH$3</f>
        <v>0</v>
      </c>
      <c r="X13" s="61">
        <f>+'VZLA BFS'!X13/'VENEZUELA USD'!$AH$3</f>
        <v>0</v>
      </c>
      <c r="Y13" s="61">
        <f>+'VZLA BFS'!Y13/'VENEZUELA USD'!$AH$3</f>
        <v>0</v>
      </c>
      <c r="Z13" s="57">
        <f>+X13-Y13</f>
        <v>0</v>
      </c>
      <c r="AA13" s="63" t="str">
        <f>IF(X13=0,"",(Y13-X13)/ABS(X13)+1)</f>
        <v/>
      </c>
      <c r="AB13" s="61">
        <f>+'VZLA BFS'!AB13/'VENEZUELA USD'!$AH$3</f>
        <v>0</v>
      </c>
      <c r="AC13" s="63" t="str">
        <f>IF(AB13=0,"",(Y13-AB13)/ABS(AB13))</f>
        <v/>
      </c>
      <c r="AD13" s="63"/>
      <c r="AE13" s="63"/>
    </row>
    <row r="14" spans="1:35" x14ac:dyDescent="0.2">
      <c r="B14" s="3" t="s">
        <v>75</v>
      </c>
      <c r="C14" s="61">
        <f>'VZLA BFS'!C14/'VENEZUELA USD'!$AH$3</f>
        <v>0</v>
      </c>
      <c r="D14" s="30" t="str">
        <f t="shared" si="0"/>
        <v xml:space="preserve"> </v>
      </c>
      <c r="E14" s="61">
        <f>'VZLA BFS'!E14/'VENEZUELA USD'!$AH$3</f>
        <v>0</v>
      </c>
      <c r="F14" s="30">
        <f t="shared" si="1"/>
        <v>0</v>
      </c>
      <c r="G14" s="30" t="str">
        <f t="shared" si="6"/>
        <v/>
      </c>
      <c r="H14" s="57">
        <f>+'VZLA BFS'!H14/'VENEZUELA USD'!$AH$4</f>
        <v>0</v>
      </c>
      <c r="I14" s="30">
        <f t="shared" si="2"/>
        <v>0</v>
      </c>
      <c r="J14" s="30" t="str">
        <f t="shared" si="7"/>
        <v/>
      </c>
      <c r="K14" s="61">
        <f>'VZLA BFS'!K14/'VENEZUELA USD'!$AH$3</f>
        <v>0</v>
      </c>
      <c r="L14" s="30" t="str">
        <f t="shared" si="3"/>
        <v xml:space="preserve"> </v>
      </c>
      <c r="M14" s="61">
        <f>'VZLA BFS'!M14/'VENEZUELA USD'!$AH$3</f>
        <v>0</v>
      </c>
      <c r="N14" s="30">
        <f t="shared" si="4"/>
        <v>0</v>
      </c>
      <c r="O14" s="30" t="str">
        <f t="shared" si="8"/>
        <v/>
      </c>
      <c r="P14" s="57">
        <f>+'VZLA BFS'!P14/'VENEZUELA USD'!$AH$4</f>
        <v>0</v>
      </c>
      <c r="Q14" s="30">
        <f t="shared" si="5"/>
        <v>0</v>
      </c>
      <c r="R14" s="30" t="str">
        <f t="shared" si="9"/>
        <v/>
      </c>
      <c r="S14" s="63"/>
      <c r="T14" s="3" t="s">
        <v>33</v>
      </c>
      <c r="U14" s="61">
        <f>+'VZLA BFS'!U14/'VENEZUELA USD'!$AH$3</f>
        <v>0</v>
      </c>
      <c r="V14" s="61">
        <f>+'VZLA BFS'!V14/'VENEZUELA USD'!$AH$3</f>
        <v>0</v>
      </c>
      <c r="W14" s="61">
        <f>+'VZLA BFS'!W14/'VENEZUELA USD'!$AH$3</f>
        <v>0</v>
      </c>
      <c r="X14" s="61">
        <f>+'VZLA BFS'!X14/'VENEZUELA USD'!$AH$3</f>
        <v>0</v>
      </c>
      <c r="Y14" s="61">
        <f>+'VZLA BFS'!Y14/'VENEZUELA USD'!$AH$3</f>
        <v>0</v>
      </c>
      <c r="Z14" s="57">
        <f>+X14-Y14</f>
        <v>0</v>
      </c>
      <c r="AA14" s="63" t="str">
        <f>IF(X14=0,"",(Y14-X14)/ABS(X14)+1)</f>
        <v/>
      </c>
      <c r="AB14" s="61">
        <f>+'VZLA BFS'!AB14/'VENEZUELA USD'!$AH$3</f>
        <v>0</v>
      </c>
      <c r="AC14" s="63" t="str">
        <f>IF(AB14=0,"",(Y14-AB14)/ABS(AB14))</f>
        <v/>
      </c>
      <c r="AD14" s="63"/>
      <c r="AE14" s="63"/>
    </row>
    <row r="15" spans="1:35" x14ac:dyDescent="0.2">
      <c r="B15" s="3" t="s">
        <v>77</v>
      </c>
      <c r="C15" s="61">
        <f>'VZLA BFS'!C15/'VENEZUELA USD'!$AH$3</f>
        <v>0</v>
      </c>
      <c r="D15" s="30" t="str">
        <f t="shared" si="0"/>
        <v xml:space="preserve"> </v>
      </c>
      <c r="E15" s="61">
        <f>'VZLA BFS'!E15/'VENEZUELA USD'!$AH$3</f>
        <v>529.52671755725191</v>
      </c>
      <c r="F15" s="30">
        <f t="shared" si="1"/>
        <v>0.15081049116460274</v>
      </c>
      <c r="G15" s="30" t="str">
        <f t="shared" si="6"/>
        <v/>
      </c>
      <c r="H15" s="57">
        <f>+'VZLA BFS'!H15/'VENEZUELA USD'!$AH$4</f>
        <v>445.36184210526318</v>
      </c>
      <c r="I15" s="30">
        <f t="shared" si="2"/>
        <v>0.1758010315114811</v>
      </c>
      <c r="J15" s="30">
        <f t="shared" si="7"/>
        <v>0.18898088586605047</v>
      </c>
      <c r="K15" s="61">
        <f>'VZLA BFS'!K15/'VENEZUELA USD'!$AH$3</f>
        <v>0</v>
      </c>
      <c r="L15" s="30" t="str">
        <f t="shared" si="3"/>
        <v xml:space="preserve"> </v>
      </c>
      <c r="M15" s="61">
        <f>'VZLA BFS'!M15/'VENEZUELA USD'!$AH$3</f>
        <v>3281.7740458015264</v>
      </c>
      <c r="N15" s="30">
        <f t="shared" si="4"/>
        <v>0.12890394687163734</v>
      </c>
      <c r="O15" s="30" t="str">
        <f t="shared" si="8"/>
        <v/>
      </c>
      <c r="P15" s="57">
        <f>+'VZLA BFS'!P15/'VENEZUELA USD'!$AH$4</f>
        <v>2153.1752370614035</v>
      </c>
      <c r="Q15" s="30">
        <f t="shared" si="5"/>
        <v>0.15847400417989058</v>
      </c>
      <c r="R15" s="30">
        <f t="shared" si="9"/>
        <v>0.52415557698889603</v>
      </c>
      <c r="S15" s="63"/>
      <c r="T15" s="3" t="s">
        <v>34</v>
      </c>
      <c r="U15" s="61">
        <f>+'VZLA BFS'!U15/'VENEZUELA USD'!$AH$3</f>
        <v>0</v>
      </c>
      <c r="V15" s="61">
        <f>+'VZLA BFS'!V15/'VENEZUELA USD'!$AH$3</f>
        <v>714.55648854961839</v>
      </c>
      <c r="W15" s="61">
        <f>+'VZLA BFS'!W15/'VENEZUELA USD'!$AH$3</f>
        <v>185.41984732824429</v>
      </c>
      <c r="X15" s="61">
        <f>+'VZLA BFS'!X15/'VENEZUELA USD'!$AH$3</f>
        <v>0</v>
      </c>
      <c r="Y15" s="61">
        <f>+'VZLA BFS'!Y15/'VENEZUELA USD'!$AH$3</f>
        <v>5275.3366412213745</v>
      </c>
      <c r="Z15" s="57">
        <f>+X15-Y15</f>
        <v>-5275.3366412213745</v>
      </c>
      <c r="AA15" s="63" t="str">
        <f>IF(X15=0,"",(Y15-X15)/ABS(X15)+1)</f>
        <v/>
      </c>
      <c r="AB15" s="61">
        <f>+'VZLA BFS'!AB15/'VENEZUELA USD'!$AH$3</f>
        <v>780.76335877862596</v>
      </c>
      <c r="AC15" s="63">
        <f>IF(AB15=0,"",(Y15-AB15)/ABS(AB15))</f>
        <v>5.756639616738366</v>
      </c>
      <c r="AD15" s="63"/>
      <c r="AE15" s="63"/>
      <c r="AG15" s="49"/>
    </row>
    <row r="16" spans="1:35" x14ac:dyDescent="0.2">
      <c r="B16" s="3" t="s">
        <v>78</v>
      </c>
      <c r="C16" s="61">
        <f>'VZLA BFS'!C16/'VENEZUELA USD'!$AH$3</f>
        <v>0</v>
      </c>
      <c r="D16" s="30" t="str">
        <f t="shared" si="0"/>
        <v xml:space="preserve"> </v>
      </c>
      <c r="E16" s="61">
        <f>'VZLA BFS'!E16/'VENEZUELA USD'!$AH$3</f>
        <v>0</v>
      </c>
      <c r="F16" s="30">
        <f t="shared" si="1"/>
        <v>0</v>
      </c>
      <c r="G16" s="30" t="str">
        <f t="shared" si="6"/>
        <v/>
      </c>
      <c r="H16" s="57">
        <f>+'VZLA BFS'!H16/'VENEZUELA USD'!$AH$4</f>
        <v>0</v>
      </c>
      <c r="I16" s="30">
        <f t="shared" si="2"/>
        <v>0</v>
      </c>
      <c r="J16" s="30" t="str">
        <f t="shared" si="7"/>
        <v/>
      </c>
      <c r="K16" s="61">
        <f>'VZLA BFS'!K16/'VENEZUELA USD'!$AH$3</f>
        <v>0</v>
      </c>
      <c r="L16" s="30" t="str">
        <f t="shared" si="3"/>
        <v xml:space="preserve"> </v>
      </c>
      <c r="M16" s="61">
        <f>'VZLA BFS'!M16/'VENEZUELA USD'!$AH$3</f>
        <v>0</v>
      </c>
      <c r="N16" s="30"/>
      <c r="O16" s="30" t="str">
        <f t="shared" si="8"/>
        <v/>
      </c>
      <c r="P16" s="57">
        <f>+'VZLA BFS'!P16/'VENEZUELA USD'!$AH$4</f>
        <v>0</v>
      </c>
      <c r="Q16" s="30">
        <f t="shared" si="5"/>
        <v>0</v>
      </c>
      <c r="R16" s="30" t="str">
        <f t="shared" si="9"/>
        <v/>
      </c>
      <c r="S16" s="63"/>
      <c r="T16" s="3" t="s">
        <v>35</v>
      </c>
      <c r="U16" s="61">
        <f>+'VZLA BFS'!U16/'VENEZUELA USD'!$AH$3</f>
        <v>0</v>
      </c>
      <c r="V16" s="61">
        <f>+'VZLA BFS'!V16/'VENEZUELA USD'!$AH$3</f>
        <v>901.33816793893141</v>
      </c>
      <c r="W16" s="61">
        <f>+'VZLA BFS'!W16/'VENEZUELA USD'!$AH$3</f>
        <v>507.55725190839695</v>
      </c>
      <c r="X16" s="61">
        <f>+'VZLA BFS'!X16/'VENEZUELA USD'!$AH$3</f>
        <v>0</v>
      </c>
      <c r="Y16" s="61">
        <f>+'VZLA BFS'!Y16/'VENEZUELA USD'!$AH$3</f>
        <v>12196.717557251908</v>
      </c>
      <c r="Z16" s="57">
        <f>+X16-Y16</f>
        <v>-12196.717557251908</v>
      </c>
      <c r="AA16" s="63" t="str">
        <f>IF(X16=0,"",(Y16-X16)/ABS(X16)+1)</f>
        <v/>
      </c>
      <c r="AB16" s="61">
        <f>+'VZLA BFS'!AB16/'VENEZUELA USD'!$AH$3</f>
        <v>2593.7404580152674</v>
      </c>
      <c r="AC16" s="63">
        <f>IF(AB16=0,"",(Y16-AB16)/ABS(AB16))</f>
        <v>3.7023662369768671</v>
      </c>
      <c r="AD16" s="63"/>
      <c r="AE16" s="63"/>
    </row>
    <row r="17" spans="2:33" x14ac:dyDescent="0.2">
      <c r="B17" s="3" t="s">
        <v>79</v>
      </c>
      <c r="C17" s="61">
        <f>'VZLA BFS'!C17/'VENEZUELA USD'!$AH$3</f>
        <v>0</v>
      </c>
      <c r="D17" s="30" t="str">
        <f t="shared" si="0"/>
        <v xml:space="preserve"> </v>
      </c>
      <c r="E17" s="61">
        <f>'VZLA BFS'!E17/'VENEZUELA USD'!$AH$3</f>
        <v>0</v>
      </c>
      <c r="F17" s="30">
        <f t="shared" si="1"/>
        <v>0</v>
      </c>
      <c r="G17" s="30" t="str">
        <f t="shared" si="6"/>
        <v/>
      </c>
      <c r="H17" s="57">
        <f>+'VZLA BFS'!H17/'VENEZUELA USD'!$AH$4</f>
        <v>0</v>
      </c>
      <c r="I17" s="30">
        <f t="shared" si="2"/>
        <v>0</v>
      </c>
      <c r="J17" s="30" t="str">
        <f t="shared" si="7"/>
        <v/>
      </c>
      <c r="K17" s="61">
        <f>'VZLA BFS'!K17/'VENEZUELA USD'!$AH$3</f>
        <v>0</v>
      </c>
      <c r="L17" s="30" t="str">
        <f t="shared" si="3"/>
        <v xml:space="preserve"> </v>
      </c>
      <c r="M17" s="61">
        <f>'VZLA BFS'!M17/'VENEZUELA USD'!$AH$3</f>
        <v>0</v>
      </c>
      <c r="N17" s="30"/>
      <c r="O17" s="30" t="str">
        <f t="shared" si="8"/>
        <v/>
      </c>
      <c r="P17" s="57">
        <f>+'VZLA BFS'!P17/'VENEZUELA USD'!$AH$4</f>
        <v>0</v>
      </c>
      <c r="Q17" s="30">
        <f t="shared" si="5"/>
        <v>0</v>
      </c>
      <c r="R17" s="30" t="str">
        <f t="shared" si="9"/>
        <v/>
      </c>
      <c r="S17" s="63"/>
      <c r="T17" s="3" t="s">
        <v>36</v>
      </c>
      <c r="U17" s="61">
        <f>+'VZLA BFS'!U17/'VENEZUELA USD'!$AH$3</f>
        <v>0</v>
      </c>
      <c r="V17" s="61">
        <f>+'VZLA BFS'!V17/'VENEZUELA USD'!$AH$3</f>
        <v>1615.8946564885498</v>
      </c>
      <c r="W17" s="61">
        <f>+'VZLA BFS'!W17/'VENEZUELA USD'!$AH$3</f>
        <v>692.97709923664127</v>
      </c>
      <c r="X17" s="61">
        <f>+'VZLA BFS'!X17/'VENEZUELA USD'!$AH$3</f>
        <v>0</v>
      </c>
      <c r="Y17" s="61">
        <f>+'VZLA BFS'!Y17/'VENEZUELA USD'!$AH$3</f>
        <v>17472.054198473284</v>
      </c>
      <c r="Z17" s="57">
        <f>+Y17-X17</f>
        <v>17472.054198473284</v>
      </c>
      <c r="AA17" s="63" t="str">
        <f>IF(X17=0,"",(Y17-X17)/ABS(X17)+1)</f>
        <v/>
      </c>
      <c r="AB17" s="61">
        <f>+'VZLA BFS'!AB17/'VENEZUELA USD'!$AH$3</f>
        <v>3374.5038167938933</v>
      </c>
      <c r="AC17" s="63">
        <f>IF(AB17=0,"",(Y17-AB17)/ABS(AB17))</f>
        <v>4.1776661539157587</v>
      </c>
      <c r="AD17" s="63"/>
      <c r="AE17" s="63"/>
    </row>
    <row r="18" spans="2:33" x14ac:dyDescent="0.2">
      <c r="B18" s="3" t="s">
        <v>132</v>
      </c>
      <c r="C18" s="61">
        <f>'VZLA BFS'!C18/'VENEZUELA USD'!$AH$3</f>
        <v>0</v>
      </c>
      <c r="D18" s="30" t="str">
        <f t="shared" si="0"/>
        <v xml:space="preserve"> </v>
      </c>
      <c r="E18" s="61">
        <f>'VZLA BFS'!E18/'VENEZUELA USD'!$AH$3</f>
        <v>0</v>
      </c>
      <c r="F18" s="30">
        <f t="shared" si="1"/>
        <v>0</v>
      </c>
      <c r="G18" s="30" t="str">
        <f t="shared" si="6"/>
        <v/>
      </c>
      <c r="H18" s="57">
        <f>+'VZLA BFS'!H18/'VENEZUELA USD'!$AH$4</f>
        <v>0</v>
      </c>
      <c r="I18" s="30">
        <f t="shared" si="2"/>
        <v>0</v>
      </c>
      <c r="J18" s="30" t="str">
        <f t="shared" si="7"/>
        <v/>
      </c>
      <c r="K18" s="61">
        <f>'VZLA BFS'!K18/'VENEZUELA USD'!$AH$3</f>
        <v>0</v>
      </c>
      <c r="L18" s="30" t="str">
        <f t="shared" si="3"/>
        <v xml:space="preserve"> </v>
      </c>
      <c r="M18" s="61">
        <f>'VZLA BFS'!M18/'VENEZUELA USD'!$AH$3</f>
        <v>0</v>
      </c>
      <c r="N18" s="30"/>
      <c r="O18" s="30" t="str">
        <f t="shared" si="8"/>
        <v/>
      </c>
      <c r="P18" s="57">
        <f>+'VZLA BFS'!P18/'VENEZUELA USD'!$AH$4</f>
        <v>0</v>
      </c>
      <c r="Q18" s="30">
        <f t="shared" si="5"/>
        <v>0</v>
      </c>
      <c r="R18" s="30" t="str">
        <f t="shared" si="9"/>
        <v/>
      </c>
      <c r="S18" s="63"/>
      <c r="U18" s="61">
        <f>+'VZLA BFS'!U18/'VENEZUELA USD'!$AH$3</f>
        <v>0</v>
      </c>
      <c r="AD18" s="63"/>
      <c r="AE18" s="63"/>
    </row>
    <row r="19" spans="2:33" x14ac:dyDescent="0.2">
      <c r="B19" s="3" t="s">
        <v>83</v>
      </c>
      <c r="C19" s="61">
        <f>'VZLA BFS'!C19/'VENEZUELA USD'!$AH$3</f>
        <v>0</v>
      </c>
      <c r="D19" s="30" t="str">
        <f t="shared" si="0"/>
        <v xml:space="preserve"> </v>
      </c>
      <c r="E19" s="61">
        <f>'VZLA BFS'!E19/'VENEZUELA USD'!$AH$3</f>
        <v>0</v>
      </c>
      <c r="F19" s="30">
        <f t="shared" si="1"/>
        <v>0</v>
      </c>
      <c r="G19" s="30" t="str">
        <f t="shared" si="6"/>
        <v/>
      </c>
      <c r="H19" s="57">
        <f>+'VZLA BFS'!H19/'VENEZUELA USD'!$AH$4</f>
        <v>0</v>
      </c>
      <c r="I19" s="30">
        <f t="shared" si="2"/>
        <v>0</v>
      </c>
      <c r="J19" s="30" t="str">
        <f t="shared" si="7"/>
        <v/>
      </c>
      <c r="K19" s="61">
        <f>'VZLA BFS'!K19/'VENEZUELA USD'!$AH$3</f>
        <v>0</v>
      </c>
      <c r="L19" s="30" t="str">
        <f t="shared" si="3"/>
        <v xml:space="preserve"> </v>
      </c>
      <c r="M19" s="61">
        <f>'VZLA BFS'!M19/'VENEZUELA USD'!$AH$3</f>
        <v>0</v>
      </c>
      <c r="N19" s="30"/>
      <c r="O19" s="30" t="str">
        <f t="shared" si="8"/>
        <v/>
      </c>
      <c r="P19" s="57">
        <f>+'VZLA BFS'!P19/'VENEZUELA USD'!$AH$4</f>
        <v>0</v>
      </c>
      <c r="Q19" s="30">
        <f t="shared" si="5"/>
        <v>0</v>
      </c>
      <c r="R19" s="30" t="str">
        <f t="shared" si="9"/>
        <v/>
      </c>
      <c r="S19" s="63"/>
      <c r="T19" s="3" t="s">
        <v>37</v>
      </c>
      <c r="U19" s="61">
        <f>+'VZLA BFS'!U19/'VENEZUELA USD'!$AH$3</f>
        <v>0</v>
      </c>
      <c r="V19" s="61">
        <f>+V11-V17</f>
        <v>1090.8641221374044</v>
      </c>
      <c r="W19" s="61">
        <f>+'VZLA BFS'!W19/'VENEZUELA USD'!$AH$3</f>
        <v>226.10687022900763</v>
      </c>
      <c r="X19" s="61">
        <f>+'VZLA BFS'!X19/'VENEZUELA USD'!$AH$3</f>
        <v>0</v>
      </c>
      <c r="Y19" s="61">
        <f>Y11-Y17</f>
        <v>6940.3786259541957</v>
      </c>
      <c r="Z19" s="57">
        <f>+Y19-X19</f>
        <v>6940.3786259541957</v>
      </c>
      <c r="AA19" s="63" t="str">
        <f>IF(X19=0,"",(Y19-X19)/ABS(X19)+1)</f>
        <v/>
      </c>
      <c r="AB19" s="61">
        <f>+'VZLA BFS'!AB19/'VENEZUELA USD'!$AH$3</f>
        <v>695.95419847328242</v>
      </c>
      <c r="AC19" s="63">
        <f>IF(AB19=0,"",(Y19-AB19)/ABS(AB19))</f>
        <v>8.9724646265218784</v>
      </c>
      <c r="AD19" s="63"/>
      <c r="AE19" s="63"/>
      <c r="AG19" s="49"/>
    </row>
    <row r="20" spans="2:33" x14ac:dyDescent="0.2">
      <c r="B20" s="3" t="s">
        <v>38</v>
      </c>
      <c r="C20" s="61">
        <f>'VZLA BFS'!C20/'VENEZUELA USD'!$AH$3</f>
        <v>0</v>
      </c>
      <c r="D20" s="30" t="str">
        <f t="shared" si="0"/>
        <v xml:space="preserve"> </v>
      </c>
      <c r="E20" s="61">
        <f>'VZLA BFS'!E20/'VENEZUELA USD'!$AH$3</f>
        <v>3511.2061068702292</v>
      </c>
      <c r="F20" s="30">
        <f t="shared" si="1"/>
        <v>1</v>
      </c>
      <c r="G20" s="30" t="str">
        <f t="shared" si="6"/>
        <v/>
      </c>
      <c r="H20" s="57">
        <f>+'VZLA BFS'!H20/'VENEZUELA USD'!$AH$4</f>
        <v>2533.3289473684217</v>
      </c>
      <c r="I20" s="30">
        <f t="shared" si="2"/>
        <v>1</v>
      </c>
      <c r="J20" s="30">
        <f t="shared" si="7"/>
        <v>0.38600481019948446</v>
      </c>
      <c r="K20" s="61">
        <f>'VZLA BFS'!K20/'VENEZUELA USD'!$AH$3</f>
        <v>0</v>
      </c>
      <c r="L20" s="30" t="str">
        <f t="shared" si="3"/>
        <v xml:space="preserve"> </v>
      </c>
      <c r="M20" s="61">
        <f>'VZLA BFS'!M20/'VENEZUELA USD'!$AH$3</f>
        <v>25459.065648854958</v>
      </c>
      <c r="N20" s="30">
        <f>+M20/$M$20</f>
        <v>1</v>
      </c>
      <c r="O20" s="30" t="str">
        <f t="shared" si="8"/>
        <v/>
      </c>
      <c r="P20" s="57">
        <f>+'VZLA BFS'!P20/'VENEZUELA USD'!$AH$4</f>
        <v>13586.930223692983</v>
      </c>
      <c r="Q20" s="30">
        <f t="shared" si="5"/>
        <v>1</v>
      </c>
      <c r="R20" s="30">
        <f t="shared" si="9"/>
        <v>0.87379085854575611</v>
      </c>
      <c r="S20" s="63"/>
      <c r="T20" s="3"/>
      <c r="U20" s="61">
        <f>+'VZLA BFS'!U20/'VENEZUELA USD'!$AH$3</f>
        <v>0</v>
      </c>
      <c r="V20" s="61"/>
      <c r="W20" s="61"/>
      <c r="X20" s="61"/>
      <c r="Y20" s="61"/>
      <c r="Z20" s="57"/>
      <c r="AA20" s="63"/>
      <c r="AB20" s="61"/>
      <c r="AC20" s="63" t="str">
        <f>IF(AB20=0,"",(Y20-AB20)/ABS(AB20))</f>
        <v/>
      </c>
      <c r="AD20" s="63"/>
      <c r="AE20" s="63"/>
    </row>
    <row r="21" spans="2:33" x14ac:dyDescent="0.2">
      <c r="E21" s="61">
        <f>'VZLA BFS'!E21/'VENEZUELA USD'!$AH$3</f>
        <v>0</v>
      </c>
      <c r="G21" s="30" t="str">
        <f t="shared" si="6"/>
        <v/>
      </c>
      <c r="H21" s="57">
        <f>+'VZLA BFS'!H21/'VENEZUELA USD'!$AH$4</f>
        <v>0</v>
      </c>
      <c r="L21" s="30" t="str">
        <f t="shared" si="3"/>
        <v xml:space="preserve"> </v>
      </c>
      <c r="M21" s="61">
        <f>'VZLA BFS'!M21/'VENEZUELA USD'!$AH$3</f>
        <v>0</v>
      </c>
      <c r="O21" s="30" t="str">
        <f t="shared" si="8"/>
        <v/>
      </c>
      <c r="P21" s="57">
        <f>+'VZLA BFS'!P21/'VENEZUELA USD'!$AH$4</f>
        <v>0</v>
      </c>
      <c r="Q21" s="30">
        <f t="shared" si="5"/>
        <v>0</v>
      </c>
      <c r="R21" s="30" t="str">
        <f t="shared" si="9"/>
        <v/>
      </c>
      <c r="S21" s="63"/>
      <c r="T21" s="3" t="s">
        <v>39</v>
      </c>
      <c r="U21" s="61">
        <f>+'VZLA BFS'!U21/'VENEZUELA USD'!$AH$3</f>
        <v>18065.038167938932</v>
      </c>
      <c r="V21" s="61">
        <f>+V10+V19</f>
        <v>5528.4977099236639</v>
      </c>
      <c r="W21" s="61">
        <f>+'VZLA BFS'!W21/'VENEZUELA USD'!$AH$3</f>
        <v>356.64122137404581</v>
      </c>
      <c r="X21" s="61">
        <f>+'VZLA BFS'!X21/'VENEZUELA USD'!$AH$3</f>
        <v>18065.038167938932</v>
      </c>
      <c r="Y21" s="61">
        <f>+Y10+Y19</f>
        <v>8067.6305343511422</v>
      </c>
      <c r="Z21" s="57">
        <f>+Y21-X21</f>
        <v>-9997.4076335877908</v>
      </c>
      <c r="AA21" s="63">
        <f>IF(X21=0,"",(Y21-X21)/ABS(X21)+1)</f>
        <v>0.44658807024660663</v>
      </c>
      <c r="AB21" s="61">
        <f>+'VZLA BFS'!AB21/'VENEZUELA USD'!$AH$3</f>
        <v>730.99236641221376</v>
      </c>
      <c r="AC21" s="63">
        <f>IF(AB21=0,"",(Y21-AB21)/ABS(AB21))</f>
        <v>10.036545530492896</v>
      </c>
      <c r="AD21" s="63"/>
      <c r="AE21" s="63"/>
      <c r="AG21" s="49"/>
    </row>
    <row r="22" spans="2:33" x14ac:dyDescent="0.2">
      <c r="B22" s="3" t="s">
        <v>40</v>
      </c>
      <c r="C22" s="61">
        <f>'VZLA BFS'!C21/'VENEZUELA USD'!$AH$3</f>
        <v>0</v>
      </c>
      <c r="D22" s="30" t="str">
        <f>IF(DD30&lt;=0," ",C22/$C$20)</f>
        <v xml:space="preserve"> </v>
      </c>
      <c r="E22" s="61">
        <f>'VZLA BFS'!E22/'VENEZUELA USD'!$AH$3</f>
        <v>0</v>
      </c>
      <c r="F22" s="30">
        <f>+E22/$E$20</f>
        <v>0</v>
      </c>
      <c r="G22" s="30" t="str">
        <f t="shared" si="6"/>
        <v/>
      </c>
      <c r="H22" s="57">
        <f>+'VZLA BFS'!H22/'VENEZUELA USD'!$AH$4</f>
        <v>0</v>
      </c>
      <c r="I22" s="30">
        <f>IF($H$20&lt;=0," ",H22/$H$20)</f>
        <v>0</v>
      </c>
      <c r="J22" s="30" t="str">
        <f>IF(E22=0,"",(E22-H22)/ABS(H22))</f>
        <v/>
      </c>
      <c r="K22" s="61">
        <f>'VZLA BFS'!K21/'VENEZUELA USD'!$AH$3</f>
        <v>0</v>
      </c>
      <c r="L22" s="30" t="str">
        <f t="shared" si="3"/>
        <v xml:space="preserve"> </v>
      </c>
      <c r="M22" s="61">
        <f>'VZLA BFS'!M22/'VENEZUELA USD'!$AH$3</f>
        <v>4169.2412213740454</v>
      </c>
      <c r="N22" s="30">
        <f>+M22/$M$20</f>
        <v>0.1637625386130995</v>
      </c>
      <c r="O22" s="30" t="str">
        <f t="shared" si="8"/>
        <v/>
      </c>
      <c r="P22" s="57">
        <f>+'VZLA BFS'!P22/'VENEZUELA USD'!$AH$4</f>
        <v>0</v>
      </c>
      <c r="Q22" s="30">
        <f t="shared" si="5"/>
        <v>0</v>
      </c>
      <c r="R22" s="30" t="e">
        <f t="shared" si="9"/>
        <v>#DIV/0!</v>
      </c>
      <c r="S22" s="63"/>
      <c r="U22" s="61">
        <f>+'VZLA BFS'!U22/'VENEZUELA USD'!$AH$3</f>
        <v>0</v>
      </c>
      <c r="AD22" s="63"/>
      <c r="AE22" s="63"/>
    </row>
    <row r="23" spans="2:33" x14ac:dyDescent="0.2">
      <c r="E23" s="61">
        <f>'VZLA BFS'!E23/'VENEZUELA USD'!$AH$3</f>
        <v>0</v>
      </c>
      <c r="H23" s="57">
        <f>+'VZLA BFS'!H23/'VENEZUELA USD'!$AH$4</f>
        <v>0</v>
      </c>
      <c r="M23" s="61">
        <f>'VZLA BFS'!M23/'VENEZUELA USD'!$AH$3</f>
        <v>0</v>
      </c>
      <c r="P23" s="57">
        <f>+'VZLA BFS'!P23/'VENEZUELA USD'!$AH$4</f>
        <v>0</v>
      </c>
      <c r="S23" s="63"/>
      <c r="T23" s="3" t="s">
        <v>41</v>
      </c>
      <c r="U23" s="61">
        <f>+'VZLA BFS'!U23/'VENEZUELA USD'!$AH$3</f>
        <v>0</v>
      </c>
      <c r="V23" s="61"/>
      <c r="W23" s="61"/>
      <c r="X23" s="61"/>
      <c r="Y23" s="61"/>
      <c r="Z23" s="57">
        <f>+Y23-X23</f>
        <v>0</v>
      </c>
      <c r="AA23" s="63" t="str">
        <f>IF(X23=0,"",(Y23-X23)/ABS(X23)+1)</f>
        <v/>
      </c>
      <c r="AB23" s="61">
        <v>0</v>
      </c>
      <c r="AC23" s="63" t="str">
        <f>IF(AB23=0,"",(Y23-AB23)/ABS(AB23))</f>
        <v/>
      </c>
      <c r="AD23" s="63"/>
      <c r="AE23" s="63"/>
    </row>
    <row r="24" spans="2:33" x14ac:dyDescent="0.2">
      <c r="B24" s="3" t="s">
        <v>42</v>
      </c>
      <c r="C24" s="61">
        <f>'VZLA BFS'!C22/'VENEZUELA USD'!$AH$3</f>
        <v>0</v>
      </c>
      <c r="D24" s="30" t="str">
        <f>IF(DD31&lt;=0," ",C24/$C$20)</f>
        <v xml:space="preserve"> </v>
      </c>
      <c r="E24" s="61">
        <f>'VZLA BFS'!E24/'VENEZUELA USD'!$AH$3</f>
        <v>3511.2061068702292</v>
      </c>
      <c r="F24" s="30">
        <f>+E24/$E$20</f>
        <v>1</v>
      </c>
      <c r="G24" s="30" t="str">
        <f>IF(C24=0,"",(E24-C24)/ABS(C24)+1)</f>
        <v/>
      </c>
      <c r="H24" s="57">
        <f>+'VZLA BFS'!H24/'VENEZUELA USD'!$AH$4</f>
        <v>2533.3289473684217</v>
      </c>
      <c r="I24" s="30">
        <f>IF($H$20&lt;=0," ",H24/$H$20)</f>
        <v>1</v>
      </c>
      <c r="J24" s="30">
        <f>IF(E24=0,"",(E24-H24)/ABS(H24))</f>
        <v>0.38600481019948446</v>
      </c>
      <c r="K24" s="61">
        <f>'VZLA BFS'!K22/'VENEZUELA USD'!$AH$3</f>
        <v>0</v>
      </c>
      <c r="L24" s="30" t="str">
        <f>IF($K$20&lt;=0," ",K24/$K$20)</f>
        <v xml:space="preserve"> </v>
      </c>
      <c r="M24" s="61">
        <f>'VZLA BFS'!M24/'VENEZUELA USD'!$AH$3</f>
        <v>21289.824427480911</v>
      </c>
      <c r="N24" s="30">
        <f>+M24/$M$20</f>
        <v>0.83623746138690047</v>
      </c>
      <c r="O24" s="30" t="str">
        <f>IF(K24=0,"",(M24-K24)/ABS(K24)+1)</f>
        <v/>
      </c>
      <c r="P24" s="57">
        <f>+'VZLA BFS'!P24/'VENEZUELA USD'!$AH$4</f>
        <v>13586.930223692983</v>
      </c>
      <c r="Q24" s="30">
        <f>IF($P$20&lt;=0," ",P24/$P$20)</f>
        <v>1</v>
      </c>
      <c r="R24" s="30">
        <f>IF(M24=0,"",(M24-P24)/ABS(P24))</f>
        <v>0.56693411072028377</v>
      </c>
      <c r="S24" s="63"/>
      <c r="U24" s="61">
        <f>+'VZLA BFS'!U24/'VENEZUELA USD'!$AH$3</f>
        <v>0</v>
      </c>
      <c r="AD24" s="63"/>
      <c r="AE24" s="63"/>
    </row>
    <row r="25" spans="2:33" x14ac:dyDescent="0.2">
      <c r="E25" s="61">
        <f>'VZLA BFS'!E25/'VENEZUELA USD'!$AH$3</f>
        <v>0</v>
      </c>
      <c r="H25" s="57">
        <f>+'VZLA BFS'!H25/'VENEZUELA USD'!$AH$4</f>
        <v>0</v>
      </c>
      <c r="M25" s="61">
        <f>'VZLA BFS'!M25/'VENEZUELA USD'!$AH$3</f>
        <v>0</v>
      </c>
      <c r="P25" s="57">
        <f>+'VZLA BFS'!P25/'VENEZUELA USD'!$AH$4</f>
        <v>0</v>
      </c>
      <c r="S25" s="63"/>
      <c r="T25" s="3" t="s">
        <v>43</v>
      </c>
      <c r="U25" s="61">
        <f>+'VZLA BFS'!U25/'VENEZUELA USD'!$AH$3</f>
        <v>0</v>
      </c>
      <c r="V25" s="61">
        <v>1736.09</v>
      </c>
      <c r="W25" s="61">
        <f>+'VZLA BFS'!W25/'VENEZUELA USD'!$AH$3</f>
        <v>47.938931297709928</v>
      </c>
      <c r="X25" s="61">
        <f>+'VZLA BFS'!X25/'VENEZUELA USD'!$AH$3</f>
        <v>0</v>
      </c>
      <c r="Y25" s="61">
        <f>+'VZLA BFS'!Y25/'VENEZUELA USD'!$AH$3</f>
        <v>2812.3717557251907</v>
      </c>
      <c r="Z25" s="57">
        <f>+Y25-X25</f>
        <v>2812.3717557251907</v>
      </c>
      <c r="AA25" s="63" t="str">
        <f>IF(X25=0,"",(Y25-X25)/ABS(X25)+1)</f>
        <v/>
      </c>
      <c r="AB25" s="61">
        <f>+'VZLA BFS'!AB25/'VENEZUELA USD'!$AH$3</f>
        <v>422.29007633587787</v>
      </c>
      <c r="AC25" s="63">
        <f>IF(AB25=0,"",(Y25-AB25)/ABS(AB25))</f>
        <v>5.6598101952277649</v>
      </c>
    </row>
    <row r="26" spans="2:33" x14ac:dyDescent="0.2">
      <c r="B26" s="3" t="s">
        <v>44</v>
      </c>
      <c r="C26" s="61">
        <f>'VZLA BFS'!C23/'VENEZUELA USD'!$AH$3</f>
        <v>0</v>
      </c>
      <c r="D26" s="30" t="str">
        <f>IF(DD32&lt;=0," ",C26/$C$20)</f>
        <v xml:space="preserve"> </v>
      </c>
      <c r="E26" s="61">
        <f>'VZLA BFS'!E26/'VENEZUELA USD'!$AH$3</f>
        <v>73.195419847328253</v>
      </c>
      <c r="F26" s="30">
        <f>+E26/$E$20</f>
        <v>2.0846232781410883E-2</v>
      </c>
      <c r="G26" s="30" t="str">
        <f>IF(C26=0,"",(E26-C26)/ABS(C26)+1)</f>
        <v/>
      </c>
      <c r="H26" s="57">
        <f>+'VZLA BFS'!H26/'VENEZUELA USD'!$AH$4</f>
        <v>41.71491228070176</v>
      </c>
      <c r="I26" s="30">
        <f>IF($H$20&lt;=0," ",H26/$H$20)</f>
        <v>1.6466441250763936E-2</v>
      </c>
      <c r="J26" s="30">
        <f>IF(E26=0,"",(E26-H26)/ABS(H26))</f>
        <v>0.75465836664817998</v>
      </c>
      <c r="K26" s="61">
        <f>'VZLA BFS'!K23/'VENEZUELA USD'!$AH$3</f>
        <v>0</v>
      </c>
      <c r="L26" s="30" t="str">
        <f>IF($K$20&lt;=0," ",K26/$K$20)</f>
        <v xml:space="preserve"> </v>
      </c>
      <c r="M26" s="61">
        <f>'VZLA BFS'!M26/'VENEZUELA USD'!$AH$3</f>
        <v>447.32442748091603</v>
      </c>
      <c r="N26" s="30">
        <f>+M26/$M$20</f>
        <v>1.7570339526621032E-2</v>
      </c>
      <c r="O26" s="30" t="str">
        <f>IF(K26=0,"",(M26-K26)/ABS(K26)+1)</f>
        <v/>
      </c>
      <c r="P26" s="57">
        <f>+'VZLA BFS'!P26/'VENEZUELA USD'!$AH$4</f>
        <v>200.24270382456146</v>
      </c>
      <c r="Q26" s="30">
        <f>IF($P$20&lt;=0," ",P26/$P$20)</f>
        <v>1.4737891527210233E-2</v>
      </c>
      <c r="R26" s="30">
        <f>IF(M26=0,"",(M26-P26)/ABS(P26))</f>
        <v>1.2339112433920696</v>
      </c>
      <c r="S26" s="63"/>
      <c r="U26" s="61">
        <f>+'VZLA BFS'!U26/'VENEZUELA USD'!$AH$3</f>
        <v>0</v>
      </c>
    </row>
    <row r="27" spans="2:33" x14ac:dyDescent="0.2">
      <c r="B27" s="3" t="s">
        <v>45</v>
      </c>
      <c r="C27" s="61">
        <f>'VZLA BFS'!C24/'VENEZUELA USD'!$AH$3</f>
        <v>0</v>
      </c>
      <c r="D27" s="30" t="str">
        <f>IF(DD33&lt;=0," ",C27/$C$20)</f>
        <v xml:space="preserve"> </v>
      </c>
      <c r="E27" s="61">
        <f>'VZLA BFS'!E27/'VENEZUELA USD'!$AH$3</f>
        <v>259.69236641221374</v>
      </c>
      <c r="F27" s="30">
        <f>+E27/$E$20</f>
        <v>7.3961014679282039E-2</v>
      </c>
      <c r="G27" s="30" t="str">
        <f>IF(C27=0,"",(E27-C27)/ABS(C27)+1)</f>
        <v/>
      </c>
      <c r="H27" s="57">
        <f>+'VZLA BFS'!H27/'VENEZUELA USD'!$AH$4</f>
        <v>576.92763157894728</v>
      </c>
      <c r="I27" s="30">
        <f>IF($H$20&lt;=0," ",H27/$H$20)</f>
        <v>0.22773498569076461</v>
      </c>
      <c r="J27" s="30">
        <f>IF(E27=0,"",(E27-H27)/ABS(H27))</f>
        <v>-0.54987011854245493</v>
      </c>
      <c r="K27" s="61">
        <f>'VZLA BFS'!K24/'VENEZUELA USD'!$AH$3</f>
        <v>0</v>
      </c>
      <c r="L27" s="30" t="str">
        <f>IF($K$20&lt;=0," ",K27/$K$20)</f>
        <v xml:space="preserve"> </v>
      </c>
      <c r="M27" s="61">
        <f>'VZLA BFS'!M27/'VENEZUELA USD'!$AH$3</f>
        <v>2119.5893129770993</v>
      </c>
      <c r="N27" s="30">
        <f>+M27/$M$20</f>
        <v>8.3254795844105514E-2</v>
      </c>
      <c r="O27" s="30" t="str">
        <f>IF(K27=0,"",(M27-K27)/ABS(K27)+1)</f>
        <v/>
      </c>
      <c r="P27" s="57">
        <f>+'VZLA BFS'!P27/'VENEZUELA USD'!$AH$4</f>
        <v>2937.4661891140349</v>
      </c>
      <c r="Q27" s="30">
        <f>IF($P$20&lt;=0," ",P27/$P$20)</f>
        <v>0.21619792997771203</v>
      </c>
      <c r="R27" s="30">
        <f>IF(M27=0,"",(M27-P27)/ABS(P27))</f>
        <v>-0.27842937534665352</v>
      </c>
      <c r="S27" s="63"/>
      <c r="T27" s="3" t="s">
        <v>46</v>
      </c>
      <c r="U27" s="61">
        <f>+'VZLA BFS'!U27/'VENEZUELA USD'!$AH$3</f>
        <v>0</v>
      </c>
      <c r="V27" s="61"/>
      <c r="W27" s="61"/>
      <c r="X27" s="61">
        <f>+'VZLA BFS'!X27/'VENEZUELA USD'!$AH$3</f>
        <v>0</v>
      </c>
      <c r="Y27" s="61">
        <f>+'VZLA BFS'!Y27/'VENEZUELA USD'!$AH$3</f>
        <v>0</v>
      </c>
      <c r="Z27" s="57">
        <f>+Y27-X27</f>
        <v>0</v>
      </c>
      <c r="AA27" s="63" t="str">
        <f>IF(X27=0,"",(Y27-X27)/ABS(X27)+1)</f>
        <v/>
      </c>
      <c r="AB27" s="61">
        <f>+'VZLA BFS'!AB27/'VENEZUELA USD'!$AH$3</f>
        <v>0</v>
      </c>
      <c r="AC27" s="63" t="str">
        <f>IF(AB27=0,"",(Y27-AB27)/ABS(AB27))</f>
        <v/>
      </c>
    </row>
    <row r="28" spans="2:33" x14ac:dyDescent="0.2">
      <c r="B28" s="3" t="s">
        <v>47</v>
      </c>
      <c r="C28" s="61">
        <f>'VZLA BFS'!C25/'VENEZUELA USD'!$AH$3</f>
        <v>0</v>
      </c>
      <c r="D28" s="30" t="str">
        <f>IF(DD34&lt;=0," ",C28/$C$20)</f>
        <v xml:space="preserve"> </v>
      </c>
      <c r="E28" s="61">
        <f>'VZLA BFS'!E28/'VENEZUELA USD'!$AH$3</f>
        <v>332.887786259542</v>
      </c>
      <c r="F28" s="30">
        <f>+E28/$E$20</f>
        <v>9.4807247460692912E-2</v>
      </c>
      <c r="G28" s="30" t="str">
        <f>IF(C28=0,"",(E28-C28)/ABS(C28)+1)</f>
        <v/>
      </c>
      <c r="H28" s="57">
        <f>+'VZLA BFS'!H28/'VENEZUELA USD'!$AH$4</f>
        <v>618.64254385964898</v>
      </c>
      <c r="I28" s="30">
        <f>IF($H$20&lt;=0," ",H28/$H$20)</f>
        <v>0.24420142694152852</v>
      </c>
      <c r="J28" s="30">
        <f>IF(E28=0,"",(E28-H28)/ABS(H28))</f>
        <v>-0.46190608847770415</v>
      </c>
      <c r="K28" s="61">
        <f>'VZLA BFS'!K25/'VENEZUELA USD'!$AH$3</f>
        <v>0</v>
      </c>
      <c r="L28" s="30" t="str">
        <f>IF($K$20&lt;=0," ",K28/$K$20)</f>
        <v xml:space="preserve"> </v>
      </c>
      <c r="M28" s="61">
        <f>'VZLA BFS'!M28/'VENEZUELA USD'!$AH$3</f>
        <v>2566.9137404580151</v>
      </c>
      <c r="N28" s="30">
        <f>+M28/$M$20</f>
        <v>0.10082513537072654</v>
      </c>
      <c r="O28" s="30" t="str">
        <f>IF(K28=0,"",(M28-K28)/ABS(K28)+1)</f>
        <v/>
      </c>
      <c r="P28" s="57">
        <f>+'VZLA BFS'!P28/'VENEZUELA USD'!$AH$4</f>
        <v>3137.7088929385964</v>
      </c>
      <c r="Q28" s="30">
        <f>IF($P$20&lt;=0," ",P28/$P$20)</f>
        <v>0.23093582150492226</v>
      </c>
      <c r="R28" s="30">
        <f>IF(M28=0,"",(M28-P28)/ABS(P28))</f>
        <v>-0.18191463005543754</v>
      </c>
      <c r="S28" s="63"/>
      <c r="T28" s="3" t="s">
        <v>48</v>
      </c>
      <c r="U28" s="61">
        <f>+'VZLA BFS'!U28/'VENEZUELA USD'!$AH$3</f>
        <v>0</v>
      </c>
      <c r="V28" s="61"/>
      <c r="W28" s="61"/>
      <c r="X28" s="61"/>
      <c r="Y28" s="61">
        <f>+'VZLA BFS'!Y28/'VENEZUELA USD'!$AH$3</f>
        <v>0</v>
      </c>
      <c r="Z28" s="57">
        <f>+Y28-X28</f>
        <v>0</v>
      </c>
      <c r="AA28" s="63" t="str">
        <f>IF(X28=0,"",(Y28-X28)/ABS(X28)+1)</f>
        <v/>
      </c>
      <c r="AB28" s="61">
        <f>+'VZLA BFS'!AB28/'VENEZUELA USD'!$AH$3</f>
        <v>0</v>
      </c>
      <c r="AC28" s="63" t="str">
        <f>IF(AB28=0,"",(Y28-AB28)/ABS(AB28))</f>
        <v/>
      </c>
    </row>
    <row r="29" spans="2:33" x14ac:dyDescent="0.2">
      <c r="E29" s="61">
        <f>'VZLA BFS'!E29/'VENEZUELA USD'!$AH$3</f>
        <v>0</v>
      </c>
      <c r="H29" s="57">
        <f>+'VZLA BFS'!H29/'VENEZUELA USD'!$AH$4</f>
        <v>0</v>
      </c>
      <c r="M29" s="61">
        <f>'VZLA BFS'!M29/'VENEZUELA USD'!$AH$3</f>
        <v>0</v>
      </c>
      <c r="P29" s="57">
        <f>+'VZLA BFS'!P29/'VENEZUELA USD'!$AH$4</f>
        <v>0</v>
      </c>
      <c r="S29" s="63"/>
      <c r="U29" s="61">
        <f>+'VZLA BFS'!U29/'VENEZUELA USD'!$AH$3</f>
        <v>0</v>
      </c>
    </row>
    <row r="30" spans="2:33" x14ac:dyDescent="0.2">
      <c r="B30" s="3" t="s">
        <v>49</v>
      </c>
      <c r="C30" s="61">
        <f>'VZLA BFS'!C26/'VENEZUELA USD'!$AH$3</f>
        <v>0</v>
      </c>
      <c r="D30" s="30" t="str">
        <f>IF(DD35&lt;=0," ",C30/$C$20)</f>
        <v xml:space="preserve"> </v>
      </c>
      <c r="E30" s="61">
        <f>'VZLA BFS'!E30/'VENEZUELA USD'!$AH$3</f>
        <v>1221.4867175572517</v>
      </c>
      <c r="F30" s="30">
        <f>+E30/$E$20</f>
        <v>0.34788237442604697</v>
      </c>
      <c r="G30" s="30" t="str">
        <f>IF(C30=0,"",(E30-C30)/ABS(C30)+1)</f>
        <v/>
      </c>
      <c r="H30" s="57">
        <f>+'VZLA BFS'!H30/'VENEZUELA USD'!$AH$4</f>
        <v>1003.5087719298247</v>
      </c>
      <c r="I30" s="30">
        <f>IF($H$20&lt;=0," ",H30/$H$20)</f>
        <v>0.39612256946428226</v>
      </c>
      <c r="J30" s="30">
        <f>IF(E30=0,"",(E30-H30)/ABS(H30))</f>
        <v>0.21721578497838009</v>
      </c>
      <c r="K30" s="61">
        <f>'VZLA BFS'!K26/'VENEZUELA USD'!$AH$3</f>
        <v>0</v>
      </c>
      <c r="L30" s="30" t="str">
        <f>IF($K$20&lt;=0," ",K30/$K$20)</f>
        <v xml:space="preserve"> </v>
      </c>
      <c r="M30" s="61">
        <f>'VZLA BFS'!M30/'VENEZUELA USD'!$AH$3</f>
        <v>9342.1577099236638</v>
      </c>
      <c r="N30" s="30">
        <f>+M30/$M$20</f>
        <v>0.36694817629113718</v>
      </c>
      <c r="O30" s="30" t="str">
        <f>IF(K30=0,"",(M30-K30)/ABS(K30)+1)</f>
        <v/>
      </c>
      <c r="P30" s="57">
        <f>+'VZLA BFS'!P30/'VENEZUELA USD'!$AH$4</f>
        <v>4907.7729615614044</v>
      </c>
      <c r="Q30" s="30">
        <f>IF($P$20&lt;=0," ",P30/$P$20)</f>
        <v>0.3612127891113473</v>
      </c>
      <c r="R30" s="30">
        <f>IF(M30=0,"",(M30-P30)/ABS(P30))</f>
        <v>0.90354317184050481</v>
      </c>
      <c r="S30" s="63"/>
      <c r="T30" s="3" t="s">
        <v>50</v>
      </c>
      <c r="U30" s="61">
        <f>+'VZLA BFS'!U30/'VENEZUELA USD'!$AH$3</f>
        <v>18065.038167938932</v>
      </c>
      <c r="V30" s="61">
        <f>+V21-V25-V23+V27</f>
        <v>3792.4077099236638</v>
      </c>
      <c r="W30" s="61">
        <f>+W21-W25-W23+W27</f>
        <v>308.70229007633588</v>
      </c>
      <c r="X30" s="61">
        <f>+X21-X25-X23-X27</f>
        <v>18065.038167938932</v>
      </c>
      <c r="Y30" s="61">
        <f>+Y21-Y25-Y23+Y27</f>
        <v>5255.2587786259519</v>
      </c>
      <c r="Z30" s="57">
        <f>+Y30-X30</f>
        <v>-12809.77938931298</v>
      </c>
      <c r="AA30" s="63">
        <f>IF(U30=0,"",(V30-U30)/ABS(U30)+1)</f>
        <v>0.20993078866859349</v>
      </c>
      <c r="AB30" s="61">
        <f>+AB21-AB25-AB23-AB27</f>
        <v>308.70229007633588</v>
      </c>
      <c r="AC30" s="63">
        <f>IF(AB30=0,"",(Y30-AB30)/ABS(AB30))</f>
        <v>16.023711671612258</v>
      </c>
    </row>
    <row r="31" spans="2:33" x14ac:dyDescent="0.2">
      <c r="B31" s="3" t="s">
        <v>51</v>
      </c>
      <c r="C31" s="61">
        <f>'VZLA BFS'!C27/'VENEZUELA USD'!$AH$3</f>
        <v>0</v>
      </c>
      <c r="D31" s="30" t="str">
        <f>IF(DD36&lt;=0," ",C31/$C$20)</f>
        <v xml:space="preserve"> </v>
      </c>
      <c r="E31" s="61">
        <f>'VZLA BFS'!E31/'VENEZUELA USD'!$AH$3</f>
        <v>430.85496183206106</v>
      </c>
      <c r="F31" s="30">
        <f>+E31/$E$20</f>
        <v>0.12270853624599971</v>
      </c>
      <c r="G31" s="30" t="str">
        <f>IF(C31=0,"",(E31-C31)/ABS(C31)+1)</f>
        <v/>
      </c>
      <c r="H31" s="57">
        <f>+'VZLA BFS'!H31/'VENEZUELA USD'!$AH$4</f>
        <v>335.5263157894737</v>
      </c>
      <c r="I31" s="30">
        <f>IF($H$20&lt;=0," ",H31/$H$20)</f>
        <v>0.13244482763993701</v>
      </c>
      <c r="J31" s="30">
        <f>IF(E31=0,"",(E31-H31)/ABS(H31))</f>
        <v>0.28411674898967215</v>
      </c>
      <c r="K31" s="61">
        <f>'VZLA BFS'!K27/'VENEZUELA USD'!$AH$3</f>
        <v>0</v>
      </c>
      <c r="L31" s="30" t="str">
        <f>IF($K$20&lt;=0," ",K31/$K$20)</f>
        <v xml:space="preserve"> </v>
      </c>
      <c r="M31" s="61">
        <f>'VZLA BFS'!M31/'VENEZUELA USD'!$AH$3</f>
        <v>2107.9145038167935</v>
      </c>
      <c r="N31" s="30">
        <f>+M31/$M$20</f>
        <v>8.2796224059840884E-2</v>
      </c>
      <c r="O31" s="30" t="str">
        <f>IF(K31=0,"",(M31-K31)/ABS(K31)+1)</f>
        <v/>
      </c>
      <c r="P31" s="57">
        <f>+'VZLA BFS'!P31/'VENEZUELA USD'!$AH$4</f>
        <v>2365.8588904802632</v>
      </c>
      <c r="Q31" s="30">
        <f>IF($P$20&lt;=0," ",P31/$P$20)</f>
        <v>0.17412755136952585</v>
      </c>
      <c r="R31" s="30">
        <f>IF(M31=0,"",(M31-P31)/ABS(P31))</f>
        <v>-0.10902779861528751</v>
      </c>
      <c r="S31" s="63"/>
      <c r="T31" s="63"/>
      <c r="U31" s="52"/>
    </row>
    <row r="32" spans="2:33" x14ac:dyDescent="0.2">
      <c r="B32" s="3" t="s">
        <v>52</v>
      </c>
      <c r="C32" s="61">
        <f>'VZLA BFS'!C28/'VENEZUELA USD'!$AH$3</f>
        <v>0</v>
      </c>
      <c r="D32" s="30" t="str">
        <f>IF(DD37&lt;=0," ",C32/$C$20)</f>
        <v xml:space="preserve"> </v>
      </c>
      <c r="E32" s="61">
        <f>'VZLA BFS'!E32/'VENEZUELA USD'!$AH$3</f>
        <v>1652.3416793893127</v>
      </c>
      <c r="F32" s="30">
        <f>+E32/$E$20</f>
        <v>0.47059091067204667</v>
      </c>
      <c r="G32" s="30" t="str">
        <f>IF(C32=0,"",(E32-C32)/ABS(C32)+1)</f>
        <v/>
      </c>
      <c r="H32" s="57">
        <f>+'VZLA BFS'!H32/'VENEZUELA USD'!$AH$4</f>
        <v>1339.0350877192984</v>
      </c>
      <c r="I32" s="30">
        <f>IF($H$20&lt;=0," ",H32/$H$20)</f>
        <v>0.52856739710421929</v>
      </c>
      <c r="J32" s="30">
        <f>IF(E32=0,"",(E32-H32)/ABS(H32))</f>
        <v>0.23397937406080332</v>
      </c>
      <c r="K32" s="61">
        <f>'VZLA BFS'!K28/'VENEZUELA USD'!$AH$3</f>
        <v>0</v>
      </c>
      <c r="L32" s="30" t="str">
        <f>IF($K$20&lt;=0," ",K32/$K$20)</f>
        <v xml:space="preserve"> </v>
      </c>
      <c r="M32" s="61">
        <f>'VZLA BFS'!M32/'VENEZUELA USD'!$AH$3</f>
        <v>11450.072213740457</v>
      </c>
      <c r="N32" s="30">
        <f>+M32/$M$20</f>
        <v>0.44974440035097807</v>
      </c>
      <c r="O32" s="30" t="str">
        <f>IF(K32=0,"",(M32-K32)/ABS(K32)+1)</f>
        <v/>
      </c>
      <c r="P32" s="57">
        <f>+'VZLA BFS'!P32/'VENEZUELA USD'!$AH$4</f>
        <v>7273.6318520416671</v>
      </c>
      <c r="Q32" s="30">
        <f>IF($P$20&lt;=0," ",P32/$P$20)</f>
        <v>0.53534034048087309</v>
      </c>
      <c r="R32" s="30">
        <f>IF(M32=0,"",(M32-P32)/ABS(P32))</f>
        <v>0.57418913228698631</v>
      </c>
      <c r="S32" s="63"/>
    </row>
    <row r="33" spans="2:51" x14ac:dyDescent="0.2">
      <c r="E33" s="61">
        <f>'VZLA BFS'!E33/'VENEZUELA USD'!$AH$3</f>
        <v>0</v>
      </c>
      <c r="H33" s="57">
        <f>+'VZLA BFS'!H33/'VENEZUELA USD'!$AH$4</f>
        <v>0</v>
      </c>
      <c r="M33" s="61">
        <f>'VZLA BFS'!M33/'VENEZUELA USD'!$AH$3</f>
        <v>0</v>
      </c>
      <c r="P33" s="57">
        <f>+'VZLA BFS'!P33/'VENEZUELA USD'!$AH$4</f>
        <v>0</v>
      </c>
      <c r="S33" s="63"/>
    </row>
    <row r="34" spans="2:51" x14ac:dyDescent="0.2">
      <c r="B34" s="3" t="s">
        <v>53</v>
      </c>
      <c r="C34" s="61">
        <f>'VZLA BFS'!C29/'VENEZUELA USD'!$AH$3</f>
        <v>0</v>
      </c>
      <c r="D34" s="30" t="str">
        <f>IF(DD38&lt;=0," ",C34/$C$20)</f>
        <v xml:space="preserve"> </v>
      </c>
      <c r="E34" s="61">
        <f>'VZLA BFS'!E34/'VENEZUELA USD'!$AH$3</f>
        <v>1985.2294656488546</v>
      </c>
      <c r="F34" s="30">
        <f>+E34/$E$20</f>
        <v>0.56539815813273953</v>
      </c>
      <c r="G34" s="30" t="str">
        <f>IF(C34=0,"",(E34-C34)/ABS(C34)+1)</f>
        <v/>
      </c>
      <c r="H34" s="57">
        <f>+'VZLA BFS'!H34/'VENEZUELA USD'!$AH$4</f>
        <v>1957.6776315789473</v>
      </c>
      <c r="I34" s="30">
        <f>IF($H$20&lt;=0," ",H34/$H$20)</f>
        <v>0.77276882404574776</v>
      </c>
      <c r="J34" s="30">
        <f>IF(E34=0,"",(E34-H34)/ABS(H34))</f>
        <v>1.4073733910769357E-2</v>
      </c>
      <c r="K34" s="61">
        <f>'VZLA BFS'!K29/'VENEZUELA USD'!$AH$3</f>
        <v>0</v>
      </c>
      <c r="L34" s="30" t="str">
        <f>IF($K$20&lt;=0," ",K34/$K$20)</f>
        <v xml:space="preserve"> </v>
      </c>
      <c r="M34" s="61">
        <f>'VZLA BFS'!M34/'VENEZUELA USD'!$AH$3</f>
        <v>14016.985954198473</v>
      </c>
      <c r="N34" s="30">
        <f>+M34/$M$20</f>
        <v>0.55056953572170464</v>
      </c>
      <c r="O34" s="30" t="str">
        <f>IF(K34=0,"",(M34-K34)/ABS(K34)+1)</f>
        <v/>
      </c>
      <c r="P34" s="57">
        <f>+'VZLA BFS'!P34/'VENEZUELA USD'!$AH$4</f>
        <v>10411.340744980265</v>
      </c>
      <c r="Q34" s="30">
        <f>IF($P$20&lt;=0," ",P34/$P$20)</f>
        <v>0.76627616198579551</v>
      </c>
      <c r="R34" s="30">
        <f>IF(M34=0,"",(M34-P34)/ABS(P34))</f>
        <v>0.34631900900531354</v>
      </c>
      <c r="S34" s="63"/>
      <c r="AL34" s="74" t="s">
        <v>138</v>
      </c>
      <c r="AT34" s="74" t="s">
        <v>139</v>
      </c>
    </row>
    <row r="35" spans="2:51" ht="15" x14ac:dyDescent="0.25">
      <c r="E35" s="61">
        <f>'VZLA BFS'!E35/'VENEZUELA USD'!$AH$3</f>
        <v>0</v>
      </c>
      <c r="H35" s="57">
        <f>+'VZLA BFS'!H35/'VENEZUELA USD'!$AH$4</f>
        <v>0</v>
      </c>
      <c r="M35" s="61">
        <f>'VZLA BFS'!M35/'VENEZUELA USD'!$AH$3</f>
        <v>0</v>
      </c>
      <c r="P35" s="57">
        <f>+'VZLA BFS'!P35/'VENEZUELA USD'!$AH$4</f>
        <v>0</v>
      </c>
      <c r="S35" s="63"/>
      <c r="AL35" s="98" t="s">
        <v>7</v>
      </c>
      <c r="AM35" s="99">
        <v>1788641</v>
      </c>
      <c r="AN35" s="100"/>
      <c r="AO35" s="100"/>
      <c r="AP35" s="100"/>
      <c r="AQ35" s="100"/>
      <c r="AT35" s="98" t="s">
        <v>7</v>
      </c>
      <c r="AU35" s="99">
        <v>4.71</v>
      </c>
      <c r="AV35" s="100"/>
      <c r="AW35" s="100"/>
      <c r="AX35" s="100"/>
      <c r="AY35" s="100"/>
    </row>
    <row r="36" spans="2:51" ht="15" x14ac:dyDescent="0.25">
      <c r="B36" s="3" t="s">
        <v>54</v>
      </c>
      <c r="C36" s="61">
        <f>'VZLA BFS'!C30/'VENEZUELA USD'!$AH$3</f>
        <v>0</v>
      </c>
      <c r="D36" s="30" t="str">
        <f>IF(DD39&lt;=0," ",C36/$C$20)</f>
        <v xml:space="preserve"> </v>
      </c>
      <c r="E36" s="61">
        <f>'VZLA BFS'!E36/'VENEZUELA USD'!$AH$3</f>
        <v>1525.9766412213748</v>
      </c>
      <c r="F36" s="30">
        <f>+E36/$E$20</f>
        <v>0.43460184186726053</v>
      </c>
      <c r="G36" s="30" t="str">
        <f>IF(C36=0,"",(E36-C36)/ABS(C36)+1)</f>
        <v/>
      </c>
      <c r="H36" s="57">
        <f>+'VZLA BFS'!H36/'VENEZUELA USD'!$AH$4</f>
        <v>575.65131578947444</v>
      </c>
      <c r="I36" s="30">
        <f>IF($H$20&lt;=0," ",H36/$H$20)</f>
        <v>0.22723117595425224</v>
      </c>
      <c r="J36" s="30">
        <f>IF(E36=0,"",(E36-H36)/ABS(H36))</f>
        <v>1.6508697181184777</v>
      </c>
      <c r="K36" s="61">
        <f>'VZLA BFS'!K30/'VENEZUELA USD'!$AH$3</f>
        <v>0</v>
      </c>
      <c r="L36" s="30" t="str">
        <f>IF($K$20&lt;=0," ",K36/$K$20)</f>
        <v xml:space="preserve"> </v>
      </c>
      <c r="M36" s="61">
        <f>'VZLA BFS'!M36/'VENEZUELA USD'!$AH$3</f>
        <v>7272.8384732824388</v>
      </c>
      <c r="N36" s="30">
        <f>+M36/$M$20</f>
        <v>0.28566792566519583</v>
      </c>
      <c r="O36" s="30" t="str">
        <f>IF(K36=0,"",(M36-K36)/ABS(K36)+1)</f>
        <v/>
      </c>
      <c r="P36" s="57">
        <f>+'VZLA BFS'!P36/'VENEZUELA USD'!$AH$4</f>
        <v>3175.5894787127195</v>
      </c>
      <c r="Q36" s="30">
        <f>IF($P$20&lt;=0," ",P36/$P$20)</f>
        <v>0.2337238380142046</v>
      </c>
      <c r="R36" s="30">
        <f>IF(M36=0,"",(M36-P36)/ABS(P36))</f>
        <v>1.290232576356378</v>
      </c>
      <c r="AL36" s="98" t="s">
        <v>8</v>
      </c>
      <c r="AM36" s="99">
        <v>1899023</v>
      </c>
      <c r="AN36" s="100"/>
      <c r="AO36" s="100"/>
      <c r="AP36" s="100"/>
      <c r="AQ36" s="100"/>
      <c r="AT36" s="98" t="s">
        <v>8</v>
      </c>
      <c r="AU36" s="99">
        <v>4.6100000000000003</v>
      </c>
      <c r="AV36" s="100"/>
      <c r="AW36" s="100"/>
      <c r="AX36" s="100"/>
      <c r="AY36" s="100"/>
    </row>
    <row r="37" spans="2:51" ht="13.5" customHeight="1" x14ac:dyDescent="0.25">
      <c r="E37" s="61">
        <f>'VZLA BFS'!E37/'VENEZUELA USD'!$AH$3</f>
        <v>0</v>
      </c>
      <c r="H37" s="57">
        <f>+'VZLA BFS'!H37/'VENEZUELA USD'!$AH$4</f>
        <v>0</v>
      </c>
      <c r="M37" s="61">
        <f>'VZLA BFS'!M37/'VENEZUELA USD'!$AH$3</f>
        <v>0</v>
      </c>
      <c r="P37" s="57">
        <f>+'VZLA BFS'!P37/'VENEZUELA USD'!$AH$4</f>
        <v>0</v>
      </c>
      <c r="AL37" s="98" t="s">
        <v>9</v>
      </c>
      <c r="AM37" s="99">
        <v>2115582</v>
      </c>
      <c r="AN37" s="100"/>
      <c r="AO37" s="100"/>
      <c r="AP37" s="100"/>
      <c r="AQ37" s="100"/>
      <c r="AT37" s="98" t="s">
        <v>9</v>
      </c>
      <c r="AU37" s="99">
        <v>4.4800000000000004</v>
      </c>
      <c r="AV37" s="100"/>
      <c r="AW37" s="100"/>
      <c r="AX37" s="100"/>
      <c r="AY37" s="100"/>
    </row>
    <row r="38" spans="2:51" ht="15" x14ac:dyDescent="0.25">
      <c r="B38" s="3" t="s">
        <v>55</v>
      </c>
      <c r="C38" s="61">
        <f>'VZLA BFS'!C31/'VENEZUELA USD'!$AH$3</f>
        <v>0</v>
      </c>
      <c r="D38" s="30" t="str">
        <f>IF(DD40&lt;=0," ",C38/$C$20)</f>
        <v xml:space="preserve"> </v>
      </c>
      <c r="E38" s="61">
        <f>'VZLA BFS'!E38/'VENEZUELA USD'!$AH$3</f>
        <v>1150.3022900763358</v>
      </c>
      <c r="F38" s="30">
        <f>+E38/$E$20</f>
        <v>0.32760887713927922</v>
      </c>
      <c r="G38" s="30" t="str">
        <f>IF(C38=0,"",(E38-C38)/ABS(C38)+1)</f>
        <v/>
      </c>
      <c r="H38" s="57">
        <f>+'VZLA BFS'!H38/'VENEZUELA USD'!$AH$4</f>
        <v>0</v>
      </c>
      <c r="I38" s="30">
        <f>IF($H$20&lt;=0," ",H38/$H$20)</f>
        <v>0</v>
      </c>
      <c r="J38" s="30" t="e">
        <f>IF(E38=0,"",(E38-H38)/ABS(H38))</f>
        <v>#DIV/0!</v>
      </c>
      <c r="K38" s="61">
        <f>'VZLA BFS'!K31/'VENEZUELA USD'!$AH$3</f>
        <v>0</v>
      </c>
      <c r="L38" s="30" t="str">
        <f>IF($K$20&lt;=0," ",K38/$K$20)</f>
        <v xml:space="preserve"> </v>
      </c>
      <c r="M38" s="61">
        <f>'VZLA BFS'!M38/'VENEZUELA USD'!$AH$3</f>
        <v>1150.3053435114505</v>
      </c>
      <c r="N38" s="30">
        <f>+M38/$M$20</f>
        <v>4.5182543592804096E-2</v>
      </c>
      <c r="O38" s="30" t="str">
        <f>IF(K38=0,"",(M38-K38)/ABS(K38)+1)</f>
        <v/>
      </c>
      <c r="P38" s="57">
        <f>+'VZLA BFS'!P38/'VENEZUELA USD'!$AH$4</f>
        <v>0</v>
      </c>
      <c r="Q38" s="30">
        <f>IF($P$20&lt;=0," ",P38/$P$20)</f>
        <v>0</v>
      </c>
      <c r="R38" s="30" t="e">
        <f>IF(M38=0,"",(M38-P38)/ABS(P38))</f>
        <v>#DIV/0!</v>
      </c>
      <c r="AL38" s="98" t="s">
        <v>10</v>
      </c>
      <c r="AM38" s="99">
        <v>2900823</v>
      </c>
      <c r="AN38" s="100"/>
      <c r="AO38" s="100"/>
      <c r="AP38" s="100"/>
      <c r="AQ38" s="100"/>
      <c r="AT38" s="98" t="s">
        <v>10</v>
      </c>
      <c r="AU38" s="99">
        <v>4.57</v>
      </c>
      <c r="AV38" s="100"/>
      <c r="AW38" s="100"/>
      <c r="AX38" s="100"/>
      <c r="AY38" s="100"/>
    </row>
    <row r="39" spans="2:51" ht="15" x14ac:dyDescent="0.25">
      <c r="B39" s="3" t="s">
        <v>56</v>
      </c>
      <c r="C39" s="61">
        <f>'VZLA BFS'!C32/'VENEZUELA USD'!$AH$3</f>
        <v>0</v>
      </c>
      <c r="D39" s="30" t="str">
        <f>IF(DD41&lt;=0," ",C39/$C$20)</f>
        <v xml:space="preserve"> </v>
      </c>
      <c r="E39" s="61">
        <f>'VZLA BFS'!E39/'VENEZUELA USD'!$AH$3</f>
        <v>104.47557251908398</v>
      </c>
      <c r="F39" s="30">
        <f>+E39/$E$20</f>
        <v>2.9754895992764718E-2</v>
      </c>
      <c r="G39" s="30" t="str">
        <f>IF(C39=0,"",(E39-C39)/ABS(C39)+1)</f>
        <v/>
      </c>
      <c r="H39" s="57">
        <f>+'VZLA BFS'!H39/'VENEZUELA USD'!$AH$4</f>
        <v>35.745614035087719</v>
      </c>
      <c r="I39" s="30">
        <f>IF($H$20&lt;=0," ",H39/$H$20)</f>
        <v>1.4110135232228585E-2</v>
      </c>
      <c r="J39" s="30">
        <f>IF(E39=0,"",(E39-H39)/ABS(H39))</f>
        <v>1.9227522128038217</v>
      </c>
      <c r="K39" s="61">
        <f>'VZLA BFS'!K32/'VENEZUELA USD'!$AH$3</f>
        <v>0</v>
      </c>
      <c r="L39" s="30" t="str">
        <f>IF($K$20&lt;=0," ",K39/$K$20)</f>
        <v xml:space="preserve"> </v>
      </c>
      <c r="M39" s="61">
        <f>'VZLA BFS'!M39/'VENEZUELA USD'!$AH$3</f>
        <v>338.5496183206107</v>
      </c>
      <c r="N39" s="30">
        <f>+M39/$M$20</f>
        <v>1.3297802165643783E-2</v>
      </c>
      <c r="O39" s="30" t="str">
        <f>IF(K39=0,"",(M39-K39)/ABS(K39)+1)</f>
        <v/>
      </c>
      <c r="P39" s="57">
        <f>+'VZLA BFS'!P39/'VENEZUELA USD'!$AH$4</f>
        <v>185.50011021052632</v>
      </c>
      <c r="Q39" s="30">
        <f>IF($P$20&lt;=0," ",P39/$P$20)</f>
        <v>1.3652834537050167E-2</v>
      </c>
      <c r="R39" s="30">
        <f>IF(M39=0,"",(M39-P39)/ABS(P39))</f>
        <v>0.82506424355428498</v>
      </c>
      <c r="AL39" s="98" t="s">
        <v>11</v>
      </c>
      <c r="AM39" s="99">
        <v>3143738</v>
      </c>
      <c r="AN39" s="100"/>
      <c r="AO39" s="100"/>
      <c r="AP39" s="100"/>
      <c r="AQ39" s="100"/>
      <c r="AT39" s="98" t="s">
        <v>11</v>
      </c>
      <c r="AU39" s="99">
        <v>5.14</v>
      </c>
      <c r="AV39" s="100"/>
      <c r="AW39" s="100"/>
      <c r="AX39" s="100"/>
      <c r="AY39" s="100"/>
    </row>
    <row r="40" spans="2:51" ht="15" x14ac:dyDescent="0.25">
      <c r="E40" s="61">
        <f>'VZLA BFS'!E40/'VENEZUELA USD'!$AH$3</f>
        <v>0</v>
      </c>
      <c r="H40" s="57">
        <f>+'VZLA BFS'!H40/'VENEZUELA USD'!$AH$4</f>
        <v>0</v>
      </c>
      <c r="M40" s="61">
        <f>'VZLA BFS'!M40/'VENEZUELA USD'!$AH$3</f>
        <v>0</v>
      </c>
      <c r="P40" s="57">
        <f>+'VZLA BFS'!P40/'VENEZUELA USD'!$AH$4</f>
        <v>0</v>
      </c>
      <c r="AL40" s="98" t="s">
        <v>12</v>
      </c>
      <c r="AM40" s="99">
        <v>3267940</v>
      </c>
      <c r="AN40" s="100"/>
      <c r="AO40" s="100"/>
      <c r="AP40" s="100"/>
      <c r="AQ40" s="100"/>
      <c r="AT40" s="98" t="s">
        <v>12</v>
      </c>
      <c r="AU40" s="99">
        <v>5.78</v>
      </c>
      <c r="AV40" s="100"/>
      <c r="AW40" s="100"/>
      <c r="AX40" s="100"/>
      <c r="AY40" s="100"/>
    </row>
    <row r="41" spans="2:51" ht="15" x14ac:dyDescent="0.25">
      <c r="B41" s="3" t="s">
        <v>57</v>
      </c>
      <c r="C41" s="61">
        <f>'VZLA BFS'!C33/'VENEZUELA USD'!$AH$3</f>
        <v>0</v>
      </c>
      <c r="D41" s="30" t="str">
        <f>IF(DD42&lt;=0," ",C41/$C$20)</f>
        <v xml:space="preserve"> </v>
      </c>
      <c r="E41" s="61">
        <f>'VZLA BFS'!E41/'VENEZUELA USD'!$AH$3</f>
        <v>2571.8033587786267</v>
      </c>
      <c r="F41" s="30">
        <f>+E41/$E$20</f>
        <v>0.7324558230137751</v>
      </c>
      <c r="G41" s="30" t="str">
        <f>IF(C41=0,"",(E41-C41)/ABS(C41)+1)</f>
        <v/>
      </c>
      <c r="H41" s="57">
        <f>+'VZLA BFS'!H41/'VENEZUELA USD'!$AH$4</f>
        <v>539.90570175438666</v>
      </c>
      <c r="I41" s="30">
        <f>IF($H$20&lt;=0," ",H41/$H$20)</f>
        <v>0.21312104072202362</v>
      </c>
      <c r="J41" s="30">
        <f>IF(E41=0,"",(E41-H41)/ABS(H41))</f>
        <v>3.7634306332045164</v>
      </c>
      <c r="K41" s="61">
        <f>'VZLA BFS'!K33/'VENEZUELA USD'!$AH$3</f>
        <v>0</v>
      </c>
      <c r="L41" s="30" t="str">
        <f>IF($K$20&lt;=0," ",K41/$K$20)</f>
        <v xml:space="preserve"> </v>
      </c>
      <c r="M41" s="61">
        <f>'VZLA BFS'!M41/'VENEZUELA USD'!$AH$3</f>
        <v>8084.594198473279</v>
      </c>
      <c r="N41" s="30">
        <f>+M41/$M$20</f>
        <v>0.31755266709235619</v>
      </c>
      <c r="O41" s="30" t="str">
        <f>IF(K41=0,"",(M41-K41)/ABS(K41)+1)</f>
        <v/>
      </c>
      <c r="P41" s="57">
        <f>+'VZLA BFS'!P41/'VENEZUELA USD'!$AH$4</f>
        <v>2990.0893685021933</v>
      </c>
      <c r="Q41" s="30">
        <f>IF($P$20&lt;=0," ",P41/$P$20)</f>
        <v>0.22007100347715444</v>
      </c>
      <c r="R41" s="30">
        <f>IF(M41=0,"",(M41-P41)/ABS(P41))</f>
        <v>1.7037968442137379</v>
      </c>
      <c r="AL41" s="98" t="s">
        <v>13</v>
      </c>
      <c r="AM41" s="99">
        <v>4139112</v>
      </c>
      <c r="AN41" s="100"/>
      <c r="AO41" s="100"/>
      <c r="AP41" s="100"/>
      <c r="AQ41" s="100"/>
      <c r="AT41" s="98" t="s">
        <v>13</v>
      </c>
      <c r="AU41" s="99">
        <v>5.91</v>
      </c>
      <c r="AV41" s="100"/>
      <c r="AW41" s="100"/>
      <c r="AX41" s="100"/>
      <c r="AY41" s="100"/>
    </row>
    <row r="42" spans="2:51" ht="15" x14ac:dyDescent="0.25">
      <c r="B42" s="3" t="s">
        <v>43</v>
      </c>
      <c r="C42" s="61">
        <f>'VZLA BFS'!C34/'VENEZUELA USD'!$AH$3</f>
        <v>0</v>
      </c>
      <c r="D42" s="30" t="str">
        <f>IF(DD43&lt;=0," ",C42/$C$20)</f>
        <v xml:space="preserve"> </v>
      </c>
      <c r="E42" s="61">
        <f>'VZLA BFS'!E42/'VENEZUELA USD'!$AH$3</f>
        <v>2748.7786259541986</v>
      </c>
      <c r="F42" s="30">
        <f>+E42/$E$20</f>
        <v>0.78285880756922221</v>
      </c>
      <c r="G42" s="30" t="str">
        <f>IF(C42=0,"",(E42-C42)/ABS(C42)+1)</f>
        <v/>
      </c>
      <c r="H42" s="57">
        <f>+'VZLA BFS'!H42/'VENEZUELA USD'!$AH$4</f>
        <v>0</v>
      </c>
      <c r="I42" s="30">
        <f>IF($H$20&lt;=0," ",H42/$H$20)</f>
        <v>0</v>
      </c>
      <c r="J42" s="30" t="e">
        <f>IF(E42=0,"",(E42-H42)/ABS(H42))</f>
        <v>#DIV/0!</v>
      </c>
      <c r="K42" s="61">
        <f>'VZLA BFS'!K34/'VENEZUELA USD'!$AH$3</f>
        <v>0</v>
      </c>
      <c r="L42" s="30" t="str">
        <f>IF($K$20&lt;=0," ",K42/$K$20)</f>
        <v xml:space="preserve"> </v>
      </c>
      <c r="M42" s="61">
        <f>'VZLA BFS'!M42/'VENEZUELA USD'!$AH$3</f>
        <v>2748.7786259541986</v>
      </c>
      <c r="N42" s="30">
        <f>+M42/$M$20</f>
        <v>0.10796855877850439</v>
      </c>
      <c r="O42" s="30" t="str">
        <f>IF(K42=0,"",(M42-K42)/ABS(K42)+1)</f>
        <v/>
      </c>
      <c r="P42" s="57">
        <f>+'VZLA BFS'!P42/'VENEZUELA USD'!$AH$4</f>
        <v>4.3415957872807018</v>
      </c>
      <c r="Q42" s="30">
        <f>IF($P$20&lt;=0," ",P42/$P$20)</f>
        <v>3.1954206842909938E-4</v>
      </c>
      <c r="R42" s="30">
        <f>IF(M42=0,"",(M42-P42)/ABS(P42))</f>
        <v>632.12633433244093</v>
      </c>
      <c r="AL42" s="98" t="s">
        <v>14</v>
      </c>
      <c r="AM42" s="99">
        <v>4148043</v>
      </c>
      <c r="AN42" s="100"/>
      <c r="AO42" s="100"/>
      <c r="AP42" s="100"/>
      <c r="AQ42" s="100"/>
      <c r="AT42" s="98" t="s">
        <v>14</v>
      </c>
      <c r="AU42" s="99">
        <v>8.39</v>
      </c>
      <c r="AV42" s="100"/>
      <c r="AW42" s="100"/>
      <c r="AX42" s="100"/>
      <c r="AY42" s="100"/>
    </row>
    <row r="43" spans="2:51" ht="15" x14ac:dyDescent="0.25">
      <c r="B43" s="3" t="s">
        <v>58</v>
      </c>
      <c r="C43" s="61">
        <f>'VZLA BFS'!C35/'VENEZUELA USD'!$AH$3</f>
        <v>0</v>
      </c>
      <c r="D43" s="30" t="str">
        <f>IF(DD44&lt;=0," ",C43/$C$20)</f>
        <v xml:space="preserve"> </v>
      </c>
      <c r="E43" s="61">
        <f>'VZLA BFS'!E43/'VENEZUELA USD'!$AH$3</f>
        <v>-176.9752671755717</v>
      </c>
      <c r="F43" s="30">
        <f>+E43/$E$20</f>
        <v>-5.0402984555447103E-2</v>
      </c>
      <c r="G43" s="30" t="str">
        <f>IF(C43=0,"",(E43-C43)/ABS(C43)+1)</f>
        <v/>
      </c>
      <c r="H43" s="57">
        <f>+'VZLA BFS'!H43/'VENEZUELA USD'!$AH$4</f>
        <v>539.90570175438666</v>
      </c>
      <c r="I43" s="30">
        <f>IF($H$20&lt;=0," ",H43/$H$20)</f>
        <v>0.21312104072202362</v>
      </c>
      <c r="J43" s="30">
        <f>IF(E43=0,"",(E43-H43)/ABS(H43))</f>
        <v>-1.3277892168956591</v>
      </c>
      <c r="K43" s="61">
        <f>'VZLA BFS'!K35/'VENEZUELA USD'!$AH$3</f>
        <v>0</v>
      </c>
      <c r="L43" s="30" t="str">
        <f>IF($K$20&lt;=0," ",K43/$K$20)</f>
        <v xml:space="preserve"> </v>
      </c>
      <c r="M43" s="61">
        <f>'VZLA BFS'!M43/'VENEZUELA USD'!$AH$3</f>
        <v>5335.81557251908</v>
      </c>
      <c r="N43" s="30">
        <f>+M43/$M$20</f>
        <v>0.20958410831385177</v>
      </c>
      <c r="O43" s="30" t="str">
        <f>IF(K43=0,"",(M43-K43)/ABS(K43)+1)</f>
        <v/>
      </c>
      <c r="P43" s="57">
        <f>+'VZLA BFS'!P43/'VENEZUELA USD'!$AH$4</f>
        <v>2985.7477727149126</v>
      </c>
      <c r="Q43" s="30">
        <f>IF($P$20&lt;=0," ",P43/$P$20)</f>
        <v>0.21975146140872534</v>
      </c>
      <c r="R43" s="30">
        <f>IF(M43=0,"",(M43-P43)/ABS(P43))</f>
        <v>0.78709521992451248</v>
      </c>
      <c r="AL43" s="98" t="s">
        <v>15</v>
      </c>
      <c r="AM43" s="99">
        <v>4549688</v>
      </c>
      <c r="AN43" s="100"/>
      <c r="AO43" s="100"/>
      <c r="AP43" s="100"/>
      <c r="AQ43" s="100"/>
      <c r="AT43" s="98" t="s">
        <v>15</v>
      </c>
      <c r="AU43" s="99">
        <v>8.3699999999999992</v>
      </c>
      <c r="AV43" s="100"/>
      <c r="AW43" s="100"/>
      <c r="AX43" s="100"/>
      <c r="AY43" s="100"/>
    </row>
    <row r="44" spans="2:51" ht="15" x14ac:dyDescent="0.25">
      <c r="E44" s="61">
        <f>'VZLA BFS'!E44/'VENEZUELA USD'!$AH$3</f>
        <v>0</v>
      </c>
      <c r="H44" s="57">
        <f>+'VZLA BFS'!H44/'VENEZUELA USD'!$AH$4</f>
        <v>0</v>
      </c>
      <c r="M44" s="61">
        <f>'VZLA BFS'!M44/'VENEZUELA USD'!$AH$3</f>
        <v>0</v>
      </c>
      <c r="P44" s="57">
        <f>+'VZLA BFS'!P44/'VENEZUELA USD'!$AH$4</f>
        <v>0</v>
      </c>
      <c r="AL44" s="98" t="s">
        <v>16</v>
      </c>
      <c r="AM44" s="99">
        <v>4.5599999999999996</v>
      </c>
      <c r="AN44" s="100"/>
      <c r="AO44" s="100"/>
      <c r="AP44" s="100"/>
      <c r="AQ44" s="100"/>
      <c r="AT44" s="98" t="s">
        <v>16</v>
      </c>
      <c r="AU44" s="99">
        <v>9.0500000000000007</v>
      </c>
      <c r="AV44" s="100"/>
      <c r="AW44" s="100"/>
      <c r="AX44" s="100"/>
      <c r="AY44" s="100"/>
    </row>
    <row r="45" spans="2:51" ht="23.25" x14ac:dyDescent="0.25">
      <c r="B45" s="3" t="s">
        <v>59</v>
      </c>
      <c r="C45" s="61">
        <f>'VZLA BFS'!C36/'VENEZUELA USD'!$AH$3</f>
        <v>0</v>
      </c>
      <c r="D45" s="30" t="str">
        <f>IF(DD45&lt;=0," ",C45/$C$20)</f>
        <v xml:space="preserve"> </v>
      </c>
      <c r="E45" s="61">
        <f>'VZLA BFS'!E45/'VENEZUELA USD'!$AH$3</f>
        <v>-176.9752671755717</v>
      </c>
      <c r="F45" s="30">
        <f>+E45/$E$20</f>
        <v>-5.0402984555447103E-2</v>
      </c>
      <c r="G45" s="30" t="str">
        <f>IF(C45=0,"",(E45-C45)/ABS(C45)+1)</f>
        <v/>
      </c>
      <c r="H45" s="57">
        <f>+'VZLA BFS'!H45/'VENEZUELA USD'!$AH$4</f>
        <v>539.91228070175441</v>
      </c>
      <c r="I45" s="30">
        <f>IF($H$20&lt;=0," ",H45/$H$20)</f>
        <v>0.21312363767942807</v>
      </c>
      <c r="J45" s="30">
        <f>IF(E45=0,"",(E45-H45)/ABS(H45))</f>
        <v>-1.3277852227134879</v>
      </c>
      <c r="K45" s="61">
        <f>'VZLA BFS'!K36/'VENEZUELA USD'!$AH$3</f>
        <v>0</v>
      </c>
      <c r="L45" s="30" t="str">
        <f>IF($K$20&lt;=0," ",K45/$K$20)</f>
        <v xml:space="preserve"> </v>
      </c>
      <c r="M45" s="61">
        <f>'VZLA BFS'!M45/'VENEZUELA USD'!$AH$3</f>
        <v>5335.81557251908</v>
      </c>
      <c r="N45" s="30">
        <f>+M45/$M$20</f>
        <v>0.20958410831385177</v>
      </c>
      <c r="O45" s="30" t="str">
        <f>IF(K45=0,"",(M45-K45)/ABS(K45)+1)</f>
        <v/>
      </c>
      <c r="P45" s="57">
        <f>+'VZLA BFS'!P45/'VENEZUELA USD'!$AH$4</f>
        <v>2985.7456140350878</v>
      </c>
      <c r="Q45" s="30">
        <f>IF($P$20&lt;=0," ",P45/$P$20)</f>
        <v>0.21975130252958272</v>
      </c>
      <c r="R45" s="30">
        <f>IF(M45=0,"",(M45-P45)/ABS(P45))</f>
        <v>0.78709651198582475</v>
      </c>
      <c r="AL45" s="98" t="s">
        <v>5</v>
      </c>
      <c r="AM45" s="99">
        <v>4.99</v>
      </c>
      <c r="AN45" s="100"/>
      <c r="AO45" s="100"/>
      <c r="AP45" s="101" t="s">
        <v>140</v>
      </c>
      <c r="AQ45" s="100" t="s">
        <v>141</v>
      </c>
      <c r="AT45" s="98" t="s">
        <v>5</v>
      </c>
      <c r="AU45" s="99">
        <v>13.1</v>
      </c>
      <c r="AV45" s="100"/>
      <c r="AW45" s="100"/>
      <c r="AX45" s="101" t="s">
        <v>140</v>
      </c>
      <c r="AY45" s="100" t="s">
        <v>141</v>
      </c>
    </row>
    <row r="46" spans="2:51" ht="15" x14ac:dyDescent="0.25">
      <c r="B46" s="3" t="s">
        <v>34</v>
      </c>
      <c r="C46" s="61">
        <f>'VZLA BFS'!C37/'VENEZUELA USD'!$AH$3</f>
        <v>0</v>
      </c>
      <c r="D46" s="30" t="str">
        <f>IF(DD46&lt;=0," ",C46/$C$20)</f>
        <v xml:space="preserve"> </v>
      </c>
      <c r="E46" s="61">
        <f>'VZLA BFS'!E46/'VENEZUELA USD'!$AH$3</f>
        <v>669.43282442748091</v>
      </c>
      <c r="F46" s="30">
        <f>+E46/$E$20</f>
        <v>0.19065608911924306</v>
      </c>
      <c r="G46" s="30" t="str">
        <f>IF(C46=0,"",(E46-C46)/ABS(C46)+1)</f>
        <v/>
      </c>
      <c r="H46" s="57">
        <f>+'VZLA BFS'!H46/'VENEZUELA USD'!$AH$4</f>
        <v>596.0526315789474</v>
      </c>
      <c r="I46" s="30">
        <f>IF($H$20&lt;=0," ",H46/$H$20)</f>
        <v>0.23528434086624106</v>
      </c>
      <c r="J46" s="30">
        <f>IF(E46=0,"",(E46-H46)/ABS(H46))</f>
        <v>0.12311025731762797</v>
      </c>
      <c r="K46" s="61">
        <f>'VZLA BFS'!K37/'VENEZUELA USD'!$AH$3</f>
        <v>0</v>
      </c>
      <c r="L46" s="30" t="str">
        <f>IF($K$20&lt;=0," ",K46/$K$20)</f>
        <v xml:space="preserve"> </v>
      </c>
      <c r="M46" s="61">
        <f>'VZLA BFS'!M46/'VENEZUELA USD'!$AH$3</f>
        <v>5926.0671755725189</v>
      </c>
      <c r="N46" s="30">
        <f>+M46/$M$20</f>
        <v>0.23276844709495648</v>
      </c>
      <c r="O46" s="30" t="str">
        <f>IF(K46=0,"",(M46-K46)/ABS(K46)+1)</f>
        <v/>
      </c>
      <c r="P46" s="57">
        <f>+'VZLA BFS'!P46/'VENEZUELA USD'!$AH$4</f>
        <v>3219.2982456140353</v>
      </c>
      <c r="Q46" s="30">
        <f>IF($P$20&lt;=0," ",P46/$P$20)</f>
        <v>0.23694080948470617</v>
      </c>
      <c r="R46" s="30">
        <f>IF(M46=0,"",(M46-P46)/ABS(P46))</f>
        <v>0.84079470848846627</v>
      </c>
      <c r="AL46" s="98" t="s">
        <v>17</v>
      </c>
      <c r="AM46" s="99">
        <v>4.6900000000000004</v>
      </c>
      <c r="AN46" s="102">
        <f>1/AM46</f>
        <v>0.21321961620469082</v>
      </c>
      <c r="AO46" s="100" t="s">
        <v>142</v>
      </c>
      <c r="AP46" s="100">
        <v>11272</v>
      </c>
      <c r="AQ46" s="103">
        <f>+AP46*AN46</f>
        <v>2403.4115138592751</v>
      </c>
      <c r="AT46" s="98" t="s">
        <v>17</v>
      </c>
      <c r="AU46" s="99"/>
      <c r="AV46" s="102" t="e">
        <f>1/AU46</f>
        <v>#DIV/0!</v>
      </c>
      <c r="AW46" s="100" t="s">
        <v>142</v>
      </c>
      <c r="AX46" s="104">
        <v>11272</v>
      </c>
      <c r="AY46" s="103" t="e">
        <f>+AX46*AV46</f>
        <v>#DIV/0!</v>
      </c>
    </row>
    <row r="47" spans="2:51" ht="15" x14ac:dyDescent="0.25">
      <c r="E47" s="47"/>
      <c r="M47" s="47"/>
      <c r="P47" s="57" t="e">
        <f>+'VZLA BFS'!P47/'VENEZUELA USD'!$AH$4</f>
        <v>#VALUE!</v>
      </c>
      <c r="AL47" s="100" t="s">
        <v>143</v>
      </c>
      <c r="AM47" s="105">
        <f>AVERAGE(AM35:AM46)</f>
        <v>2329383.6866666665</v>
      </c>
      <c r="AN47" s="102">
        <f>1/AM47</f>
        <v>4.2929810392507461E-7</v>
      </c>
      <c r="AO47" s="100" t="s">
        <v>144</v>
      </c>
      <c r="AP47" s="106">
        <v>11272</v>
      </c>
      <c r="AQ47" s="107">
        <f>+AP47*AN47</f>
        <v>4.8390482274434411E-3</v>
      </c>
      <c r="AT47" s="100" t="s">
        <v>143</v>
      </c>
      <c r="AU47" s="105">
        <f>AVERAGE(AU35:AU46)</f>
        <v>6.7372727272727273</v>
      </c>
      <c r="AV47" s="102">
        <f>1/AU47</f>
        <v>0.14842801241397921</v>
      </c>
      <c r="AW47" s="100" t="s">
        <v>144</v>
      </c>
      <c r="AX47" s="106">
        <v>11272</v>
      </c>
      <c r="AY47" s="107">
        <f>+AX47*AV47</f>
        <v>1673.0805559303737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6AB23-83F3-4E68-A767-EB84EA498ED9}">
  <sheetPr>
    <tabColor theme="2" tint="-0.249977111117893"/>
  </sheetPr>
  <dimension ref="A1:AH48"/>
  <sheetViews>
    <sheetView showGridLines="0" topLeftCell="A7" zoomScale="93" zoomScaleNormal="93" workbookViewId="0">
      <selection activeCell="A28" sqref="A28"/>
    </sheetView>
  </sheetViews>
  <sheetFormatPr baseColWidth="10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48" customFormat="1" ht="14.25" customHeight="1" x14ac:dyDescent="0.2"/>
    <row r="3" spans="1:34" ht="14.25" customHeight="1" x14ac:dyDescent="0.25">
      <c r="B3" s="15" t="s">
        <v>145</v>
      </c>
      <c r="T3" s="17" t="s">
        <v>145</v>
      </c>
    </row>
    <row r="4" spans="1:34" ht="14.25" customHeight="1" x14ac:dyDescent="0.2">
      <c r="A4" s="73">
        <f>+Paramet!A3</f>
        <v>202101</v>
      </c>
      <c r="B4" s="2" t="s">
        <v>19</v>
      </c>
      <c r="K4" s="108"/>
      <c r="L4" s="108"/>
      <c r="M4" s="108"/>
      <c r="N4" s="108"/>
      <c r="O4" s="108"/>
      <c r="P4" s="108"/>
      <c r="Q4" s="108"/>
      <c r="R4" s="108"/>
      <c r="S4" s="108"/>
      <c r="T4" s="3" t="s">
        <v>20</v>
      </c>
    </row>
    <row r="5" spans="1:34" ht="14.25" customHeight="1" x14ac:dyDescent="0.2">
      <c r="A5" s="73">
        <f>+Paramet!A4</f>
        <v>202111</v>
      </c>
      <c r="B5" s="3" t="s">
        <v>146</v>
      </c>
      <c r="K5" s="12"/>
      <c r="L5" s="12"/>
      <c r="M5" s="22"/>
      <c r="N5" s="22"/>
      <c r="O5" s="9"/>
      <c r="P5" s="12"/>
      <c r="Q5" s="12"/>
      <c r="R5" s="9"/>
      <c r="S5" s="9"/>
      <c r="T5" s="3" t="s">
        <v>146</v>
      </c>
    </row>
    <row r="6" spans="1:34" ht="14.25" customHeight="1" thickBot="1" x14ac:dyDescent="0.25">
      <c r="A6" s="73">
        <f>+Paramet!B3</f>
        <v>202201</v>
      </c>
      <c r="B6" s="19" t="str">
        <f>+'COLOMB$ '!B6</f>
        <v>NOVIEMBRE De 2022</v>
      </c>
      <c r="K6" s="20" t="s">
        <v>22</v>
      </c>
      <c r="L6" s="20"/>
      <c r="M6" s="20"/>
      <c r="N6" s="20"/>
      <c r="O6" s="20"/>
      <c r="P6" s="20"/>
      <c r="Q6" s="20"/>
      <c r="R6" s="20"/>
      <c r="S6" s="14"/>
      <c r="T6" s="19" t="str">
        <f>+B6</f>
        <v>NOVIEMBRE De 2022</v>
      </c>
      <c r="X6" s="20" t="s">
        <v>22</v>
      </c>
      <c r="Y6" s="20"/>
      <c r="Z6" s="20"/>
      <c r="AA6" s="20"/>
      <c r="AB6" s="20"/>
      <c r="AC6" s="20"/>
    </row>
    <row r="7" spans="1:34" ht="14.25" customHeight="1" x14ac:dyDescent="0.2">
      <c r="A7" s="73">
        <f>+Paramet!B4</f>
        <v>202211</v>
      </c>
      <c r="B7" s="55"/>
      <c r="C7" s="55" t="str">
        <f>+'COLOMB$ '!D7:D7</f>
        <v>Ppto 2022</v>
      </c>
      <c r="D7" s="55"/>
      <c r="E7" s="55" t="str">
        <f>+'COLOMB$ '!F7:F7</f>
        <v>Real 2022</v>
      </c>
      <c r="F7" s="55"/>
      <c r="G7" s="55" t="s">
        <v>23</v>
      </c>
      <c r="H7" s="55" t="str">
        <f>+'COLOMB$ '!I7:I7</f>
        <v>Real 2021</v>
      </c>
      <c r="I7" s="55"/>
      <c r="J7" s="55" t="s">
        <v>24</v>
      </c>
      <c r="K7" s="55" t="str">
        <f>+C7</f>
        <v>Ppto 2022</v>
      </c>
      <c r="L7" s="55"/>
      <c r="M7" s="55" t="str">
        <f>+E7</f>
        <v>Real 2022</v>
      </c>
      <c r="N7" s="55"/>
      <c r="O7" s="55" t="s">
        <v>23</v>
      </c>
      <c r="P7" s="55" t="str">
        <f>+H7</f>
        <v>Real 2021</v>
      </c>
      <c r="Q7" s="55"/>
      <c r="R7" s="55" t="s">
        <v>24</v>
      </c>
      <c r="T7" s="48"/>
      <c r="U7" s="48" t="str">
        <f>+C7</f>
        <v>Ppto 2022</v>
      </c>
      <c r="V7" s="48" t="str">
        <f>+M7</f>
        <v>Real 2022</v>
      </c>
      <c r="W7" s="48" t="str">
        <f>+H7</f>
        <v>Real 2021</v>
      </c>
      <c r="X7" s="109" t="str">
        <f>+K7</f>
        <v>Ppto 2022</v>
      </c>
      <c r="Y7" s="48" t="str">
        <f>+V7</f>
        <v>Real 2022</v>
      </c>
      <c r="Z7" s="48" t="s">
        <v>25</v>
      </c>
      <c r="AA7" s="48" t="s">
        <v>23</v>
      </c>
      <c r="AB7" s="48" t="str">
        <f>+W7</f>
        <v>Real 2021</v>
      </c>
      <c r="AC7" s="48" t="s">
        <v>24</v>
      </c>
    </row>
    <row r="8" spans="1:34" ht="14.25" customHeight="1" thickBot="1" x14ac:dyDescent="0.25">
      <c r="B8" s="24" t="s">
        <v>26</v>
      </c>
      <c r="C8" s="110" t="s">
        <v>27</v>
      </c>
      <c r="D8" s="110" t="s">
        <v>28</v>
      </c>
      <c r="E8" s="110" t="s">
        <v>27</v>
      </c>
      <c r="F8" s="110" t="s">
        <v>28</v>
      </c>
      <c r="G8" s="110" t="s">
        <v>29</v>
      </c>
      <c r="H8" s="110" t="s">
        <v>27</v>
      </c>
      <c r="I8" s="110" t="s">
        <v>28</v>
      </c>
      <c r="J8" s="110" t="s">
        <v>29</v>
      </c>
      <c r="K8" s="110" t="s">
        <v>27</v>
      </c>
      <c r="L8" s="110" t="s">
        <v>28</v>
      </c>
      <c r="M8" s="110" t="s">
        <v>27</v>
      </c>
      <c r="N8" s="110" t="s">
        <v>28</v>
      </c>
      <c r="O8" s="110" t="s">
        <v>29</v>
      </c>
      <c r="P8" s="110" t="s">
        <v>27</v>
      </c>
      <c r="Q8" s="110" t="s">
        <v>28</v>
      </c>
      <c r="R8" s="110" t="s">
        <v>29</v>
      </c>
      <c r="T8" s="26"/>
      <c r="U8" s="27"/>
      <c r="V8" s="27"/>
      <c r="W8" s="27"/>
      <c r="X8" s="27"/>
      <c r="Y8" s="27"/>
      <c r="Z8" s="27"/>
      <c r="AA8" s="27" t="s">
        <v>29</v>
      </c>
      <c r="AB8" s="27"/>
      <c r="AC8" s="27" t="s">
        <v>29</v>
      </c>
    </row>
    <row r="9" spans="1:34" ht="14.25" customHeight="1" x14ac:dyDescent="0.2">
      <c r="T9" s="3"/>
    </row>
    <row r="10" spans="1:34" ht="14.25" customHeight="1" x14ac:dyDescent="0.2">
      <c r="B10" s="3" t="s">
        <v>68</v>
      </c>
      <c r="C10" s="61">
        <f>+E10</f>
        <v>0</v>
      </c>
      <c r="D10" s="30" t="str">
        <f>IF($C$20&lt;=0," ",C10/$C$20)</f>
        <v xml:space="preserve"> </v>
      </c>
      <c r="E10" s="61">
        <v>0</v>
      </c>
      <c r="F10" s="30" t="str">
        <f>IF($E$20&lt;=0," ",E10/$E$20)</f>
        <v xml:space="preserve"> </v>
      </c>
      <c r="G10" s="30" t="str">
        <f>IF(C10=0,"",(E10-C10)/ABS(C10)+1)</f>
        <v/>
      </c>
      <c r="H10" s="61">
        <v>2100</v>
      </c>
      <c r="I10" s="30" t="str">
        <f>IF(E10=0,"",(G10-E10)/ABS(E10)+1)</f>
        <v/>
      </c>
      <c r="J10" s="30" t="str">
        <f>IF($H$20&lt;=0," ",I10/$H$20)</f>
        <v xml:space="preserve"> </v>
      </c>
      <c r="K10" s="61">
        <f t="shared" ref="K10:K15" si="0">+M10</f>
        <v>0</v>
      </c>
      <c r="L10" s="30" t="str">
        <f>IF($K$20&lt;=0," ",K10/$K$20)</f>
        <v xml:space="preserve"> </v>
      </c>
      <c r="M10" s="61">
        <v>0</v>
      </c>
      <c r="N10" s="30" t="str">
        <f>IF($M$20&lt;=0," ",M10/$M$20)</f>
        <v xml:space="preserve"> </v>
      </c>
      <c r="O10" s="30" t="str">
        <f t="shared" ref="O10:O15" si="1">IF(K10=0,"",(M10-K10)/ABS(K10)+1)</f>
        <v/>
      </c>
      <c r="P10" s="61">
        <v>23100</v>
      </c>
      <c r="Q10" s="30">
        <f t="shared" ref="Q10:Q15" si="2">+P10/$P$20</f>
        <v>1</v>
      </c>
      <c r="R10" s="30">
        <f>IF(P10=0,"",(M10-P10)/ABS(P10))</f>
        <v>-1</v>
      </c>
      <c r="T10" s="3" t="s">
        <v>30</v>
      </c>
      <c r="U10" s="61">
        <f>+V10</f>
        <v>0</v>
      </c>
      <c r="V10" s="61">
        <v>0</v>
      </c>
      <c r="W10" s="61">
        <v>8811.7900000000009</v>
      </c>
      <c r="X10" s="61">
        <f>+Y10</f>
        <v>6929</v>
      </c>
      <c r="Y10" s="61">
        <v>6929</v>
      </c>
      <c r="Z10" s="57">
        <f>+Y10-X10</f>
        <v>0</v>
      </c>
      <c r="AA10" s="63">
        <f>IF(X10=0,"",(Y10-X10)/ABS(X10)+1)</f>
        <v>1</v>
      </c>
      <c r="AB10" s="61">
        <v>9874.7900000000009</v>
      </c>
      <c r="AC10" s="63">
        <f>IF(W10=0,"",(Y10-AB10)/ABS(AB10))</f>
        <v>-0.29831419199800713</v>
      </c>
      <c r="AE10" s="61"/>
      <c r="AF10" s="61"/>
    </row>
    <row r="11" spans="1:34" ht="14.25" customHeight="1" x14ac:dyDescent="0.2">
      <c r="B11" s="3" t="s">
        <v>70</v>
      </c>
      <c r="C11" s="61">
        <v>0</v>
      </c>
      <c r="D11" s="30" t="str">
        <f t="shared" ref="D11:D20" si="3">IF($C$20&lt;=0," ",C11/$C$20)</f>
        <v xml:space="preserve"> </v>
      </c>
      <c r="E11" s="61">
        <v>0</v>
      </c>
      <c r="F11" s="30" t="str">
        <f t="shared" ref="F11:F20" si="4">IF($E$20&lt;=0," ",E11/$E$20)</f>
        <v xml:space="preserve"> </v>
      </c>
      <c r="G11" s="30" t="str">
        <f t="shared" ref="G11:G46" si="5">IF(C11=0,"",(E11-C11)/ABS(C11)+1)</f>
        <v/>
      </c>
      <c r="H11" s="61">
        <v>0</v>
      </c>
      <c r="I11" s="30" t="str">
        <f t="shared" ref="I11:I46" si="6">IF(E11=0,"",(G11-E11)/ABS(E11)+1)</f>
        <v/>
      </c>
      <c r="J11" s="30" t="str">
        <f>IF(H11=0,"",(E11-H11)/ABS(H11))</f>
        <v/>
      </c>
      <c r="K11" s="61">
        <f t="shared" si="0"/>
        <v>0</v>
      </c>
      <c r="L11" s="30" t="str">
        <f t="shared" ref="L11:L20" si="7">IF($K$20&lt;=0," ",K11/$K$20)</f>
        <v xml:space="preserve"> </v>
      </c>
      <c r="M11" s="61">
        <v>0</v>
      </c>
      <c r="N11" s="30" t="str">
        <f t="shared" ref="N11:N24" si="8">IF($M$20&lt;=0," ",M11/$M$20)</f>
        <v xml:space="preserve"> </v>
      </c>
      <c r="O11" s="30" t="str">
        <f t="shared" si="1"/>
        <v/>
      </c>
      <c r="P11" s="61">
        <v>0</v>
      </c>
      <c r="Q11" s="30">
        <f t="shared" si="2"/>
        <v>0</v>
      </c>
      <c r="R11" s="30" t="str">
        <f t="shared" ref="R11:R46" si="9">IF(P11=0,"",(M11-P11)/ABS(P11))</f>
        <v/>
      </c>
      <c r="T11" s="3" t="s">
        <v>31</v>
      </c>
      <c r="U11" s="61">
        <f>+V11</f>
        <v>0</v>
      </c>
      <c r="V11" s="61">
        <v>0</v>
      </c>
      <c r="W11" s="61">
        <v>0</v>
      </c>
      <c r="X11" s="61">
        <f>+Y11</f>
        <v>0</v>
      </c>
      <c r="Y11" s="61">
        <v>0</v>
      </c>
      <c r="Z11" s="57">
        <f>+Y11-X11</f>
        <v>0</v>
      </c>
      <c r="AA11" s="63" t="str">
        <f>IF(X11=0,"",(Y11-X11)/ABS(X11)+1)</f>
        <v/>
      </c>
      <c r="AB11" s="61">
        <v>47375</v>
      </c>
      <c r="AC11" s="63">
        <f>IF(AB11=0,"",(Y11-AB11)/ABS(AB11))</f>
        <v>-1</v>
      </c>
      <c r="AD11" s="62"/>
      <c r="AE11" s="62"/>
      <c r="AF11" s="62"/>
      <c r="AH11" s="49"/>
    </row>
    <row r="12" spans="1:34" ht="14.25" customHeight="1" x14ac:dyDescent="0.2">
      <c r="B12" s="3" t="s">
        <v>72</v>
      </c>
      <c r="C12" s="61">
        <v>0</v>
      </c>
      <c r="D12" s="30" t="str">
        <f t="shared" si="3"/>
        <v xml:space="preserve"> </v>
      </c>
      <c r="E12" s="61">
        <v>0</v>
      </c>
      <c r="F12" s="30" t="str">
        <f t="shared" si="4"/>
        <v xml:space="preserve"> </v>
      </c>
      <c r="G12" s="30" t="str">
        <f t="shared" si="5"/>
        <v/>
      </c>
      <c r="H12" s="61">
        <v>0</v>
      </c>
      <c r="I12" s="30" t="str">
        <f t="shared" si="6"/>
        <v/>
      </c>
      <c r="J12" s="30" t="str">
        <f>IF(H12=0,"",(E12-H12)/ABS(H12))</f>
        <v/>
      </c>
      <c r="K12" s="61">
        <f t="shared" si="0"/>
        <v>0</v>
      </c>
      <c r="L12" s="30" t="str">
        <f t="shared" si="7"/>
        <v xml:space="preserve"> </v>
      </c>
      <c r="M12" s="61">
        <v>0</v>
      </c>
      <c r="N12" s="30" t="str">
        <f t="shared" si="8"/>
        <v xml:space="preserve"> </v>
      </c>
      <c r="O12" s="30" t="str">
        <f t="shared" si="1"/>
        <v/>
      </c>
      <c r="P12" s="61">
        <v>0</v>
      </c>
      <c r="Q12" s="30">
        <f t="shared" si="2"/>
        <v>0</v>
      </c>
      <c r="R12" s="30" t="str">
        <f t="shared" si="9"/>
        <v/>
      </c>
      <c r="AE12" s="62"/>
      <c r="AF12" s="62"/>
    </row>
    <row r="13" spans="1:34" ht="14.25" customHeight="1" x14ac:dyDescent="0.2">
      <c r="B13" s="3" t="s">
        <v>74</v>
      </c>
      <c r="C13" s="61">
        <v>0</v>
      </c>
      <c r="D13" s="30" t="str">
        <f t="shared" si="3"/>
        <v xml:space="preserve"> </v>
      </c>
      <c r="E13" s="61">
        <v>0</v>
      </c>
      <c r="F13" s="30" t="str">
        <f t="shared" si="4"/>
        <v xml:space="preserve"> </v>
      </c>
      <c r="G13" s="30" t="str">
        <f t="shared" si="5"/>
        <v/>
      </c>
      <c r="H13" s="61">
        <v>0</v>
      </c>
      <c r="I13" s="30" t="str">
        <f t="shared" si="6"/>
        <v/>
      </c>
      <c r="J13" s="30" t="str">
        <f>IF(H13=0,"",(E13-H13)/ABS(H13))</f>
        <v/>
      </c>
      <c r="K13" s="61">
        <f t="shared" si="0"/>
        <v>0</v>
      </c>
      <c r="L13" s="30" t="str">
        <f t="shared" si="7"/>
        <v xml:space="preserve"> </v>
      </c>
      <c r="M13" s="61">
        <v>0</v>
      </c>
      <c r="N13" s="30" t="str">
        <f t="shared" si="8"/>
        <v xml:space="preserve"> </v>
      </c>
      <c r="O13" s="30" t="str">
        <f t="shared" si="1"/>
        <v/>
      </c>
      <c r="P13" s="61"/>
      <c r="Q13" s="30">
        <f t="shared" si="2"/>
        <v>0</v>
      </c>
      <c r="R13" s="30" t="str">
        <f t="shared" si="9"/>
        <v/>
      </c>
      <c r="T13" s="3" t="s">
        <v>32</v>
      </c>
      <c r="U13" s="61">
        <v>0</v>
      </c>
      <c r="V13" s="61">
        <v>0</v>
      </c>
      <c r="W13" s="61">
        <v>0</v>
      </c>
      <c r="X13" s="61"/>
      <c r="Y13" s="61"/>
      <c r="Z13" s="57">
        <f>+X13-Y13</f>
        <v>0</v>
      </c>
      <c r="AA13" s="63" t="str">
        <f>IF(X13=0,"",(Y13-X13)/ABS(X13)+1)</f>
        <v/>
      </c>
      <c r="AB13" s="61"/>
      <c r="AC13" s="63" t="str">
        <f>IF(AB13=0,"",(Y13-AB13)/ABS(AB13))</f>
        <v/>
      </c>
      <c r="AE13" s="62"/>
      <c r="AF13" s="62"/>
    </row>
    <row r="14" spans="1:34" ht="14.25" customHeight="1" x14ac:dyDescent="0.2">
      <c r="B14" s="3" t="s">
        <v>75</v>
      </c>
      <c r="C14" s="61">
        <v>0</v>
      </c>
      <c r="D14" s="30" t="str">
        <f t="shared" si="3"/>
        <v xml:space="preserve"> </v>
      </c>
      <c r="E14" s="61">
        <v>0</v>
      </c>
      <c r="F14" s="30" t="str">
        <f t="shared" si="4"/>
        <v xml:space="preserve"> </v>
      </c>
      <c r="G14" s="30" t="str">
        <f t="shared" si="5"/>
        <v/>
      </c>
      <c r="H14" s="61">
        <v>0</v>
      </c>
      <c r="I14" s="30" t="str">
        <f t="shared" si="6"/>
        <v/>
      </c>
      <c r="J14" s="30" t="str">
        <f>IF(H14=0,"",(E14-H14)/ABS(H14))</f>
        <v/>
      </c>
      <c r="K14" s="61">
        <f t="shared" si="0"/>
        <v>0</v>
      </c>
      <c r="L14" s="30" t="str">
        <f t="shared" si="7"/>
        <v xml:space="preserve"> </v>
      </c>
      <c r="M14" s="61">
        <v>0</v>
      </c>
      <c r="N14" s="30" t="str">
        <f t="shared" si="8"/>
        <v xml:space="preserve"> </v>
      </c>
      <c r="O14" s="30" t="str">
        <f t="shared" si="1"/>
        <v/>
      </c>
      <c r="P14" s="61">
        <v>0</v>
      </c>
      <c r="Q14" s="30">
        <f t="shared" si="2"/>
        <v>0</v>
      </c>
      <c r="R14" s="30" t="str">
        <f t="shared" si="9"/>
        <v/>
      </c>
      <c r="T14" s="3" t="s">
        <v>33</v>
      </c>
      <c r="U14" s="61">
        <v>0</v>
      </c>
      <c r="V14" s="61">
        <v>0</v>
      </c>
      <c r="W14" s="61">
        <v>0</v>
      </c>
      <c r="X14" s="61"/>
      <c r="Y14" s="61"/>
      <c r="Z14" s="57">
        <f>+X14-Y14</f>
        <v>0</v>
      </c>
      <c r="AA14" s="63" t="str">
        <f>IF(X14=0,"",(Y14-X14)/ABS(X14)+1)</f>
        <v/>
      </c>
      <c r="AB14" s="61"/>
      <c r="AC14" s="63" t="str">
        <f>IF(AB14=0,"",(Y14-AB14)/ABS(AB14))</f>
        <v/>
      </c>
      <c r="AE14" s="62"/>
      <c r="AF14" s="62"/>
    </row>
    <row r="15" spans="1:34" ht="14.25" customHeight="1" x14ac:dyDescent="0.2">
      <c r="B15" s="3" t="s">
        <v>77</v>
      </c>
      <c r="C15" s="61">
        <v>0</v>
      </c>
      <c r="D15" s="30" t="str">
        <f t="shared" si="3"/>
        <v xml:space="preserve"> </v>
      </c>
      <c r="E15" s="61">
        <v>0</v>
      </c>
      <c r="F15" s="30" t="str">
        <f t="shared" si="4"/>
        <v xml:space="preserve"> </v>
      </c>
      <c r="G15" s="30" t="str">
        <f t="shared" si="5"/>
        <v/>
      </c>
      <c r="H15" s="61">
        <v>0</v>
      </c>
      <c r="I15" s="30" t="str">
        <f t="shared" si="6"/>
        <v/>
      </c>
      <c r="J15" s="30" t="str">
        <f>IF(H15=0,"",(E15-H15)/ABS(H15))</f>
        <v/>
      </c>
      <c r="K15" s="61">
        <f t="shared" si="0"/>
        <v>0</v>
      </c>
      <c r="L15" s="30" t="str">
        <f t="shared" si="7"/>
        <v xml:space="preserve"> </v>
      </c>
      <c r="M15" s="61">
        <v>0</v>
      </c>
      <c r="N15" s="30" t="str">
        <f t="shared" si="8"/>
        <v xml:space="preserve"> </v>
      </c>
      <c r="O15" s="30" t="str">
        <f t="shared" si="1"/>
        <v/>
      </c>
      <c r="P15" s="61">
        <v>0</v>
      </c>
      <c r="Q15" s="30">
        <f t="shared" si="2"/>
        <v>0</v>
      </c>
      <c r="R15" s="30" t="str">
        <f t="shared" si="9"/>
        <v/>
      </c>
      <c r="T15" s="3" t="s">
        <v>34</v>
      </c>
      <c r="U15" s="61"/>
      <c r="V15" s="61">
        <v>0</v>
      </c>
      <c r="W15" s="61">
        <v>0</v>
      </c>
      <c r="X15" s="61"/>
      <c r="Y15" s="61"/>
      <c r="Z15" s="57">
        <f>+X15-Y15</f>
        <v>0</v>
      </c>
      <c r="AA15" s="63" t="str">
        <f>IF(X15=0,"",(Y15-X15)/ABS(X15)+1)</f>
        <v/>
      </c>
      <c r="AB15" s="61"/>
      <c r="AC15" s="63" t="str">
        <f>IF(AB15=0,"",(Y15-AB15)/ABS(AB15))</f>
        <v/>
      </c>
      <c r="AE15" s="62"/>
      <c r="AF15" s="62"/>
    </row>
    <row r="16" spans="1:34" ht="14.25" customHeight="1" x14ac:dyDescent="0.2">
      <c r="B16" s="3" t="s">
        <v>78</v>
      </c>
      <c r="C16" s="61"/>
      <c r="D16" s="30" t="str">
        <f t="shared" si="3"/>
        <v xml:space="preserve"> </v>
      </c>
      <c r="E16" s="61"/>
      <c r="F16" s="30" t="str">
        <f t="shared" si="4"/>
        <v xml:space="preserve"> </v>
      </c>
      <c r="G16" s="30" t="str">
        <f t="shared" si="5"/>
        <v/>
      </c>
      <c r="H16" s="61"/>
      <c r="I16" s="30" t="str">
        <f t="shared" si="6"/>
        <v/>
      </c>
      <c r="J16" s="30"/>
      <c r="K16" s="61"/>
      <c r="L16" s="30" t="str">
        <f t="shared" si="7"/>
        <v xml:space="preserve"> </v>
      </c>
      <c r="M16" s="61"/>
      <c r="N16" s="30" t="str">
        <f t="shared" si="8"/>
        <v xml:space="preserve"> </v>
      </c>
      <c r="O16" s="30"/>
      <c r="P16" s="61"/>
      <c r="Q16" s="30"/>
      <c r="R16" s="30" t="str">
        <f t="shared" si="9"/>
        <v/>
      </c>
      <c r="T16" s="3" t="s">
        <v>35</v>
      </c>
      <c r="U16" s="61">
        <f>+V16</f>
        <v>0</v>
      </c>
      <c r="V16" s="61">
        <v>0</v>
      </c>
      <c r="W16" s="61">
        <v>1934</v>
      </c>
      <c r="X16" s="61">
        <f>+Y16</f>
        <v>4682</v>
      </c>
      <c r="Y16" s="61">
        <v>4682</v>
      </c>
      <c r="Z16" s="57">
        <f>+X16-Y16</f>
        <v>0</v>
      </c>
      <c r="AA16" s="63">
        <f>IF(X16=0,"",(Y16-X16)/ABS(X16)+1)</f>
        <v>1</v>
      </c>
      <c r="AB16" s="61">
        <v>4372</v>
      </c>
      <c r="AC16" s="63">
        <f>IF(AB16=0,"",(Y16-AB16)/ABS(AB16))</f>
        <v>7.0905763952424525E-2</v>
      </c>
      <c r="AE16" s="62"/>
      <c r="AF16" s="62"/>
    </row>
    <row r="17" spans="1:32" ht="14.25" customHeight="1" x14ac:dyDescent="0.2">
      <c r="B17" s="3" t="s">
        <v>79</v>
      </c>
      <c r="C17" s="61"/>
      <c r="D17" s="30" t="str">
        <f t="shared" si="3"/>
        <v xml:space="preserve"> </v>
      </c>
      <c r="E17" s="61"/>
      <c r="F17" s="30" t="str">
        <f t="shared" si="4"/>
        <v xml:space="preserve"> </v>
      </c>
      <c r="G17" s="30" t="str">
        <f t="shared" si="5"/>
        <v/>
      </c>
      <c r="H17" s="61"/>
      <c r="I17" s="30" t="str">
        <f t="shared" si="6"/>
        <v/>
      </c>
      <c r="J17" s="30"/>
      <c r="K17" s="61"/>
      <c r="L17" s="30" t="str">
        <f t="shared" si="7"/>
        <v xml:space="preserve"> </v>
      </c>
      <c r="M17" s="61"/>
      <c r="N17" s="30" t="str">
        <f t="shared" si="8"/>
        <v xml:space="preserve"> </v>
      </c>
      <c r="O17" s="30"/>
      <c r="P17" s="61"/>
      <c r="Q17" s="30"/>
      <c r="R17" s="30" t="str">
        <f t="shared" si="9"/>
        <v/>
      </c>
      <c r="T17" s="3" t="s">
        <v>36</v>
      </c>
      <c r="U17" s="61">
        <f>SUM(U16)</f>
        <v>0</v>
      </c>
      <c r="V17" s="61">
        <f>+V16</f>
        <v>0</v>
      </c>
      <c r="W17" s="61">
        <v>1934</v>
      </c>
      <c r="X17" s="61">
        <f>SUM(X16)</f>
        <v>4682</v>
      </c>
      <c r="Y17" s="61">
        <f>+Y16</f>
        <v>4682</v>
      </c>
      <c r="Z17" s="57">
        <f>+Y17-X17</f>
        <v>0</v>
      </c>
      <c r="AA17" s="63">
        <f>IF(X17=0,"",(Y17-X17)/ABS(X17)+1)</f>
        <v>1</v>
      </c>
      <c r="AB17" s="61">
        <v>4372</v>
      </c>
      <c r="AC17" s="63">
        <f>IF(AB17=0,"",(Y17-AB17)/ABS(AB17))</f>
        <v>7.0905763952424525E-2</v>
      </c>
    </row>
    <row r="18" spans="1:32" ht="14.25" customHeight="1" x14ac:dyDescent="0.2">
      <c r="B18" s="3" t="s">
        <v>81</v>
      </c>
      <c r="C18" s="61"/>
      <c r="D18" s="30" t="str">
        <f t="shared" si="3"/>
        <v xml:space="preserve"> </v>
      </c>
      <c r="E18" s="61"/>
      <c r="F18" s="30" t="str">
        <f t="shared" si="4"/>
        <v xml:space="preserve"> </v>
      </c>
      <c r="G18" s="30" t="str">
        <f t="shared" si="5"/>
        <v/>
      </c>
      <c r="H18" s="61"/>
      <c r="I18" s="30" t="str">
        <f t="shared" si="6"/>
        <v/>
      </c>
      <c r="J18" s="30"/>
      <c r="K18" s="61"/>
      <c r="L18" s="30" t="str">
        <f t="shared" si="7"/>
        <v xml:space="preserve"> </v>
      </c>
      <c r="M18" s="61"/>
      <c r="N18" s="30" t="str">
        <f t="shared" si="8"/>
        <v xml:space="preserve"> </v>
      </c>
      <c r="O18" s="30"/>
      <c r="P18" s="61"/>
      <c r="Q18" s="30"/>
      <c r="R18" s="30" t="str">
        <f t="shared" si="9"/>
        <v/>
      </c>
      <c r="AD18" s="62"/>
      <c r="AE18" s="62"/>
      <c r="AF18" s="62"/>
    </row>
    <row r="19" spans="1:32" ht="14.25" customHeight="1" x14ac:dyDescent="0.2">
      <c r="B19" s="3" t="s">
        <v>83</v>
      </c>
      <c r="C19" s="61">
        <f>+E19</f>
        <v>0</v>
      </c>
      <c r="D19" s="30" t="str">
        <f t="shared" si="3"/>
        <v xml:space="preserve"> </v>
      </c>
      <c r="E19" s="61">
        <v>0</v>
      </c>
      <c r="F19" s="30" t="str">
        <f t="shared" si="4"/>
        <v xml:space="preserve"> </v>
      </c>
      <c r="G19" s="30" t="str">
        <f t="shared" si="5"/>
        <v/>
      </c>
      <c r="H19" s="61">
        <v>2100</v>
      </c>
      <c r="I19" s="30" t="str">
        <f t="shared" si="6"/>
        <v/>
      </c>
      <c r="J19" s="30"/>
      <c r="K19" s="61">
        <f>+M19</f>
        <v>0</v>
      </c>
      <c r="L19" s="30" t="str">
        <f t="shared" si="7"/>
        <v xml:space="preserve"> </v>
      </c>
      <c r="M19" s="61">
        <v>0</v>
      </c>
      <c r="N19" s="30" t="str">
        <f t="shared" si="8"/>
        <v xml:space="preserve"> </v>
      </c>
      <c r="O19" s="30"/>
      <c r="P19" s="61">
        <v>23100</v>
      </c>
      <c r="Q19" s="61">
        <f>+P19/$P$20</f>
        <v>1</v>
      </c>
      <c r="R19" s="30">
        <f t="shared" si="9"/>
        <v>-1</v>
      </c>
      <c r="T19" s="3" t="s">
        <v>37</v>
      </c>
      <c r="U19" s="61">
        <f>+U11-U16</f>
        <v>0</v>
      </c>
      <c r="V19" s="61">
        <f>+V11-V16</f>
        <v>0</v>
      </c>
      <c r="W19" s="61">
        <v>-1934</v>
      </c>
      <c r="X19" s="61">
        <f>+X11-X16</f>
        <v>-4682</v>
      </c>
      <c r="Y19" s="61">
        <f>+Y11-Y16</f>
        <v>-4682</v>
      </c>
      <c r="Z19" s="57">
        <f>+Y19-X19</f>
        <v>0</v>
      </c>
      <c r="AA19" s="63">
        <f>IF(X19=0,"",(Y19-X19)/ABS(X19)+1)</f>
        <v>1</v>
      </c>
      <c r="AB19" s="61">
        <v>43003</v>
      </c>
      <c r="AC19" s="63">
        <f>IF(AB19=0,"",(Y19-AB19)/ABS(AB19))</f>
        <v>-1.1088761249215171</v>
      </c>
      <c r="AD19" s="62"/>
      <c r="AE19" s="62"/>
      <c r="AF19" s="62"/>
    </row>
    <row r="20" spans="1:32" ht="14.25" customHeight="1" x14ac:dyDescent="0.2">
      <c r="B20" s="19" t="s">
        <v>38</v>
      </c>
      <c r="C20" s="65">
        <f>SUM(C10:C16)</f>
        <v>0</v>
      </c>
      <c r="D20" s="38" t="str">
        <f t="shared" si="3"/>
        <v xml:space="preserve"> </v>
      </c>
      <c r="E20" s="65">
        <f>SUM(E10:E16)</f>
        <v>0</v>
      </c>
      <c r="F20" s="38" t="str">
        <f t="shared" si="4"/>
        <v xml:space="preserve"> </v>
      </c>
      <c r="G20" s="30" t="str">
        <f t="shared" si="5"/>
        <v/>
      </c>
      <c r="H20" s="65">
        <v>0</v>
      </c>
      <c r="I20" s="30" t="str">
        <f t="shared" si="6"/>
        <v/>
      </c>
      <c r="J20" s="38" t="str">
        <f>IF(H20=0,"",(E20-H20)/ABS(H20))</f>
        <v/>
      </c>
      <c r="K20" s="65">
        <f>SUM(K10:K16)</f>
        <v>0</v>
      </c>
      <c r="L20" s="38" t="str">
        <f t="shared" si="7"/>
        <v xml:space="preserve"> </v>
      </c>
      <c r="M20" s="65">
        <f>SUM(M10:M16)</f>
        <v>0</v>
      </c>
      <c r="N20" s="30" t="str">
        <f t="shared" si="8"/>
        <v xml:space="preserve"> </v>
      </c>
      <c r="O20" s="38" t="str">
        <f>IF(K20=0,"",(M20-K20)/ABS(K20)+1)</f>
        <v/>
      </c>
      <c r="P20" s="65">
        <f>+P10</f>
        <v>23100</v>
      </c>
      <c r="Q20" s="38">
        <f>+P20/$P$20</f>
        <v>1</v>
      </c>
      <c r="R20" s="38">
        <f t="shared" si="9"/>
        <v>-1</v>
      </c>
      <c r="T20" s="3"/>
      <c r="U20" s="61"/>
      <c r="V20" s="61"/>
      <c r="W20" s="61"/>
      <c r="X20" s="61"/>
      <c r="Y20" s="61"/>
      <c r="Z20" s="57"/>
      <c r="AA20" s="63"/>
      <c r="AB20" s="61"/>
      <c r="AC20" s="63"/>
      <c r="AD20" s="62"/>
      <c r="AE20" s="62"/>
      <c r="AF20" s="62"/>
    </row>
    <row r="21" spans="1:32" ht="14.25" customHeight="1" x14ac:dyDescent="0.2">
      <c r="G21" s="30" t="str">
        <f t="shared" si="5"/>
        <v/>
      </c>
      <c r="I21" s="30" t="str">
        <f t="shared" si="6"/>
        <v/>
      </c>
      <c r="N21" s="30" t="str">
        <f t="shared" si="8"/>
        <v xml:space="preserve"> </v>
      </c>
      <c r="R21" s="30" t="str">
        <f t="shared" si="9"/>
        <v/>
      </c>
      <c r="T21" s="3" t="s">
        <v>39</v>
      </c>
      <c r="U21" s="61">
        <f>+U10+U19</f>
        <v>0</v>
      </c>
      <c r="V21" s="61">
        <f>+V10+V19</f>
        <v>0</v>
      </c>
      <c r="W21" s="61">
        <v>6877.7900000000009</v>
      </c>
      <c r="X21" s="61">
        <f>+X10+X19</f>
        <v>2247</v>
      </c>
      <c r="Y21" s="61">
        <f>+Y10+Y19</f>
        <v>2247</v>
      </c>
      <c r="Z21" s="57">
        <f>+Y21-X21</f>
        <v>0</v>
      </c>
      <c r="AA21" s="63">
        <f>IF(X21=0,"",(Y21-X21)/ABS(X21)+1)</f>
        <v>1</v>
      </c>
      <c r="AB21" s="61">
        <v>52877.79</v>
      </c>
      <c r="AC21" s="63">
        <f>IF(AB21=0,"",(Y21-AB21)/ABS(AB21))</f>
        <v>-0.95750578834705458</v>
      </c>
      <c r="AD21" s="62"/>
      <c r="AE21" s="62"/>
      <c r="AF21" s="62"/>
    </row>
    <row r="22" spans="1:32" ht="14.25" customHeight="1" x14ac:dyDescent="0.2">
      <c r="B22" s="3" t="s">
        <v>40</v>
      </c>
      <c r="C22" s="61">
        <v>0</v>
      </c>
      <c r="D22" s="30" t="str">
        <f>IF($C$20&lt;=0," ",C22/$C$20)</f>
        <v xml:space="preserve"> </v>
      </c>
      <c r="E22" s="61">
        <v>0</v>
      </c>
      <c r="F22" s="30" t="str">
        <f>IF($E$20&lt;=0," ",E22/$E$20)</f>
        <v xml:space="preserve"> </v>
      </c>
      <c r="G22" s="30" t="str">
        <f t="shared" si="5"/>
        <v/>
      </c>
      <c r="H22" s="61">
        <v>0</v>
      </c>
      <c r="I22" s="30" t="str">
        <f t="shared" si="6"/>
        <v/>
      </c>
      <c r="J22" s="30" t="str">
        <f>IF(H22=0,"",(E22-H22)/ABS(H22))</f>
        <v/>
      </c>
      <c r="K22" s="61">
        <v>0</v>
      </c>
      <c r="L22" s="30" t="str">
        <f>IF($K$20&lt;=0," ",K22/$K$20)</f>
        <v xml:space="preserve"> </v>
      </c>
      <c r="M22" s="61">
        <f>+M17</f>
        <v>0</v>
      </c>
      <c r="N22" s="30" t="str">
        <f t="shared" si="8"/>
        <v xml:space="preserve"> </v>
      </c>
      <c r="O22" s="30" t="str">
        <f>IF(K22=0,"",(M22-K22)/ABS(K22)+1)</f>
        <v/>
      </c>
      <c r="P22" s="61">
        <v>0</v>
      </c>
      <c r="Q22" s="30">
        <f>+P22/$P$20</f>
        <v>0</v>
      </c>
      <c r="R22" s="30" t="str">
        <f t="shared" si="9"/>
        <v/>
      </c>
      <c r="AD22" s="62"/>
      <c r="AE22" s="62"/>
      <c r="AF22" s="62"/>
    </row>
    <row r="23" spans="1:32" ht="14.25" customHeight="1" x14ac:dyDescent="0.2">
      <c r="G23" s="30" t="str">
        <f t="shared" si="5"/>
        <v/>
      </c>
      <c r="I23" s="30" t="str">
        <f t="shared" si="6"/>
        <v/>
      </c>
      <c r="N23" s="30" t="str">
        <f t="shared" si="8"/>
        <v xml:space="preserve"> </v>
      </c>
      <c r="R23" s="30" t="str">
        <f t="shared" si="9"/>
        <v/>
      </c>
      <c r="T23" s="3" t="s">
        <v>41</v>
      </c>
      <c r="U23" s="61"/>
      <c r="V23" s="61"/>
      <c r="W23" s="61"/>
      <c r="X23" s="61">
        <f>+AD21+U23</f>
        <v>0</v>
      </c>
      <c r="Y23" s="61">
        <f>+V23+AF21</f>
        <v>0</v>
      </c>
      <c r="Z23" s="57">
        <f>+Y23-X23</f>
        <v>0</v>
      </c>
      <c r="AA23" s="63" t="str">
        <f>IF(X23=0,"",(Y23-X23)/ABS(X23)+1)</f>
        <v/>
      </c>
      <c r="AB23" s="61">
        <v>0</v>
      </c>
      <c r="AC23" s="63" t="str">
        <f>IF(AB23=0,"",(Y23-AB23)/ABS(AB23))</f>
        <v/>
      </c>
      <c r="AD23" s="62"/>
      <c r="AE23" s="62"/>
      <c r="AF23" s="62"/>
    </row>
    <row r="24" spans="1:32" ht="14.25" customHeight="1" x14ac:dyDescent="0.2">
      <c r="B24" s="3" t="s">
        <v>42</v>
      </c>
      <c r="C24" s="61">
        <f>+C19</f>
        <v>0</v>
      </c>
      <c r="D24" s="30" t="str">
        <f>IF($C$20&lt;=0," ",C24/$C$20)</f>
        <v xml:space="preserve"> </v>
      </c>
      <c r="E24" s="61">
        <f>+E19</f>
        <v>0</v>
      </c>
      <c r="F24" s="30" t="str">
        <f>IF($E$20&lt;=0," ",E24/$E$20)</f>
        <v xml:space="preserve"> </v>
      </c>
      <c r="G24" s="30" t="str">
        <f t="shared" si="5"/>
        <v/>
      </c>
      <c r="H24" s="61">
        <f>+H19</f>
        <v>2100</v>
      </c>
      <c r="I24" s="30" t="str">
        <f t="shared" si="6"/>
        <v/>
      </c>
      <c r="J24" s="30">
        <f>IF(H24=0,"",(E24-H24)/ABS(H24))</f>
        <v>-1</v>
      </c>
      <c r="K24" s="61">
        <f>+K19</f>
        <v>0</v>
      </c>
      <c r="L24" s="30" t="str">
        <f>IF($K$20&lt;=0," ",K24/$K$20)</f>
        <v xml:space="preserve"> </v>
      </c>
      <c r="M24" s="61">
        <f>+M19</f>
        <v>0</v>
      </c>
      <c r="N24" s="30" t="str">
        <f t="shared" si="8"/>
        <v xml:space="preserve"> </v>
      </c>
      <c r="O24" s="30" t="str">
        <f>IF(K24=0,"",(M24-K24)/ABS(K24)+1)</f>
        <v/>
      </c>
      <c r="P24" s="61">
        <f>+P19</f>
        <v>23100</v>
      </c>
      <c r="Q24" s="30">
        <f>+P24/$P$20</f>
        <v>1</v>
      </c>
      <c r="R24" s="30">
        <f t="shared" si="9"/>
        <v>-1</v>
      </c>
      <c r="AD24" s="62"/>
      <c r="AE24" s="62"/>
      <c r="AF24" s="62"/>
    </row>
    <row r="25" spans="1:32" ht="14.25" customHeight="1" x14ac:dyDescent="0.2">
      <c r="G25" s="30" t="str">
        <f t="shared" si="5"/>
        <v/>
      </c>
      <c r="I25" s="30" t="str">
        <f t="shared" si="6"/>
        <v/>
      </c>
      <c r="R25" s="30" t="str">
        <f t="shared" si="9"/>
        <v/>
      </c>
      <c r="T25" s="3" t="s">
        <v>43</v>
      </c>
      <c r="U25" s="61"/>
      <c r="V25" s="61"/>
      <c r="W25" s="61"/>
      <c r="X25" s="61">
        <f>+AD22+U25</f>
        <v>0</v>
      </c>
      <c r="Y25" s="61">
        <f>+V25+AF22</f>
        <v>0</v>
      </c>
      <c r="Z25" s="57">
        <f>+Y25-X25</f>
        <v>0</v>
      </c>
      <c r="AA25" s="63" t="str">
        <f>IF(X25=0,"",(Y25-X25)/ABS(X25)+1)</f>
        <v/>
      </c>
      <c r="AB25" s="61">
        <v>0</v>
      </c>
      <c r="AC25" s="63" t="str">
        <f>IF(AB25=0,"",(Y25-AB25)/ABS(AB25))</f>
        <v/>
      </c>
      <c r="AD25" s="62"/>
      <c r="AE25" s="62"/>
      <c r="AF25" s="62"/>
    </row>
    <row r="26" spans="1:32" ht="14.25" customHeight="1" x14ac:dyDescent="0.2">
      <c r="B26" s="3" t="s">
        <v>44</v>
      </c>
      <c r="C26" s="61">
        <f>+E26</f>
        <v>0</v>
      </c>
      <c r="D26" s="30" t="str">
        <f>IF($C$20&lt;=0," ",C26/$C$20)</f>
        <v xml:space="preserve"> </v>
      </c>
      <c r="E26" s="61">
        <v>0</v>
      </c>
      <c r="F26" s="30" t="str">
        <f>IF($E$20&lt;=0," ",E26/$E$20)</f>
        <v xml:space="preserve"> </v>
      </c>
      <c r="G26" s="30" t="str">
        <f t="shared" si="5"/>
        <v/>
      </c>
      <c r="H26" s="61">
        <v>0</v>
      </c>
      <c r="I26" s="30" t="str">
        <f t="shared" si="6"/>
        <v/>
      </c>
      <c r="J26" s="30" t="str">
        <f>IF(H26=0,"",(E26-H26)/ABS(H26))</f>
        <v/>
      </c>
      <c r="K26" s="61">
        <f>+K20</f>
        <v>0</v>
      </c>
      <c r="L26" s="30" t="str">
        <f>IF($K$20&lt;=0," ",K26/$K$20)</f>
        <v xml:space="preserve"> </v>
      </c>
      <c r="M26" s="61"/>
      <c r="N26" s="30" t="str">
        <f>IF($M$20&lt;=0," ",M26/$M$20)</f>
        <v xml:space="preserve"> </v>
      </c>
      <c r="O26" s="30" t="str">
        <f>IF(K26=0,"",(M26-K26)/ABS(K26)+1)</f>
        <v/>
      </c>
      <c r="P26" s="61">
        <v>0</v>
      </c>
      <c r="Q26" s="30">
        <f>+P26/$P$20</f>
        <v>0</v>
      </c>
      <c r="R26" s="30" t="str">
        <f t="shared" si="9"/>
        <v/>
      </c>
    </row>
    <row r="27" spans="1:32" ht="14.25" customHeight="1" x14ac:dyDescent="0.2">
      <c r="A27" s="89"/>
      <c r="B27" s="3" t="s">
        <v>45</v>
      </c>
      <c r="C27" s="61">
        <f>+E27</f>
        <v>0</v>
      </c>
      <c r="D27" s="30" t="str">
        <f>IF($C$20&lt;=0," ",C27/$C$20)</f>
        <v xml:space="preserve"> </v>
      </c>
      <c r="E27" s="61">
        <v>0</v>
      </c>
      <c r="F27" s="30" t="str">
        <f>IF($E$20&lt;=0," ",E27/$E$20)</f>
        <v xml:space="preserve"> </v>
      </c>
      <c r="G27" s="30" t="str">
        <f t="shared" si="5"/>
        <v/>
      </c>
      <c r="H27" s="61">
        <v>0</v>
      </c>
      <c r="I27" s="30" t="str">
        <f t="shared" si="6"/>
        <v/>
      </c>
      <c r="J27" s="30" t="str">
        <f>IF(H27=0,"",(E27-H27)/ABS(H27))</f>
        <v/>
      </c>
      <c r="K27" s="61">
        <f>+K22</f>
        <v>0</v>
      </c>
      <c r="L27" s="30" t="str">
        <f>IF($K$20&lt;=0," ",K27/$K$20)</f>
        <v xml:space="preserve"> </v>
      </c>
      <c r="M27" s="61"/>
      <c r="N27" s="30" t="str">
        <f>IF($M$20&lt;=0," ",M27/$M$20)</f>
        <v xml:space="preserve"> </v>
      </c>
      <c r="O27" s="30" t="str">
        <f>IF(K27=0,"",(M27-K27)/ABS(K27)+1)</f>
        <v/>
      </c>
      <c r="P27" s="61">
        <v>0</v>
      </c>
      <c r="Q27" s="30">
        <f>+P27/$P$20</f>
        <v>0</v>
      </c>
      <c r="R27" s="30" t="str">
        <f t="shared" si="9"/>
        <v/>
      </c>
      <c r="T27" s="3" t="s">
        <v>46</v>
      </c>
      <c r="U27" s="61"/>
      <c r="V27" s="61"/>
      <c r="W27" s="61"/>
      <c r="X27" s="61">
        <f>+AD23+U27</f>
        <v>0</v>
      </c>
      <c r="Y27" s="61">
        <f>+AE23+V27</f>
        <v>0</v>
      </c>
      <c r="Z27" s="57">
        <f>+Y27-X27</f>
        <v>0</v>
      </c>
      <c r="AA27" s="63" t="str">
        <f>IF(X27=0,"",(Y27-X27)/ABS(X27)+1)</f>
        <v/>
      </c>
      <c r="AB27" s="61">
        <v>0</v>
      </c>
      <c r="AC27" s="63" t="str">
        <f>IF(AB27=0,"",(Y27-AB27)/ABS(AB27))</f>
        <v/>
      </c>
    </row>
    <row r="28" spans="1:32" ht="14.25" customHeight="1" x14ac:dyDescent="0.2">
      <c r="A28" s="89"/>
      <c r="B28" s="3" t="s">
        <v>47</v>
      </c>
      <c r="C28" s="61">
        <f>SUM(C26:C27)</f>
        <v>0</v>
      </c>
      <c r="D28" s="30" t="str">
        <f>IF($C$20&lt;=0," ",C28/$C$20)</f>
        <v xml:space="preserve"> </v>
      </c>
      <c r="E28" s="61">
        <f>SUM(E26:E27)</f>
        <v>0</v>
      </c>
      <c r="F28" s="30" t="str">
        <f>IF($E$20&lt;=0," ",E28/$E$20)</f>
        <v xml:space="preserve"> </v>
      </c>
      <c r="G28" s="30" t="str">
        <f t="shared" si="5"/>
        <v/>
      </c>
      <c r="H28" s="61">
        <f>SUM(H26:H27)</f>
        <v>0</v>
      </c>
      <c r="I28" s="30" t="str">
        <f t="shared" si="6"/>
        <v/>
      </c>
      <c r="J28" s="30" t="str">
        <f>IF(H28=0,"",(E28-H28)/ABS(H28))</f>
        <v/>
      </c>
      <c r="K28" s="61">
        <f>+K24</f>
        <v>0</v>
      </c>
      <c r="L28" s="30" t="str">
        <f>IF($K$20&lt;=0," ",K28/$K$20)</f>
        <v xml:space="preserve"> </v>
      </c>
      <c r="M28" s="61"/>
      <c r="N28" s="30" t="str">
        <f>IF($M$20&lt;=0," ",M28/$M$20)</f>
        <v xml:space="preserve"> </v>
      </c>
      <c r="O28" s="30" t="str">
        <f>IF(K28=0,"",(M28-K28)/ABS(K28)+1)</f>
        <v/>
      </c>
      <c r="P28" s="61">
        <f>+P27+P26</f>
        <v>0</v>
      </c>
      <c r="Q28" s="30">
        <f>+P28/$P$20</f>
        <v>0</v>
      </c>
      <c r="R28" s="30" t="str">
        <f t="shared" si="9"/>
        <v/>
      </c>
      <c r="T28" s="3" t="s">
        <v>147</v>
      </c>
      <c r="U28" s="61">
        <f>+V28</f>
        <v>0</v>
      </c>
      <c r="V28" s="61">
        <v>0</v>
      </c>
      <c r="W28" s="61">
        <v>0</v>
      </c>
      <c r="X28" s="61">
        <f>+Y28</f>
        <v>-2653.67</v>
      </c>
      <c r="Y28" s="61">
        <v>-2653.67</v>
      </c>
      <c r="Z28" s="57">
        <f>+Y28-X28</f>
        <v>0</v>
      </c>
      <c r="AA28" s="63">
        <f>IF(X28=0,"",(Y28-X28)/ABS(X28)+1)</f>
        <v>1</v>
      </c>
      <c r="AB28" s="61">
        <v>46000</v>
      </c>
      <c r="AC28" s="63">
        <f>IF(AB28=0,"",(Y28-AB28)/ABS(AB28))</f>
        <v>-1.0576884782608695</v>
      </c>
      <c r="AD28" s="49"/>
    </row>
    <row r="29" spans="1:32" ht="14.25" customHeight="1" x14ac:dyDescent="0.2">
      <c r="A29" s="89"/>
      <c r="G29" s="30" t="str">
        <f t="shared" si="5"/>
        <v/>
      </c>
      <c r="I29" s="30" t="str">
        <f t="shared" si="6"/>
        <v/>
      </c>
      <c r="R29" s="30" t="str">
        <f t="shared" si="9"/>
        <v/>
      </c>
    </row>
    <row r="30" spans="1:32" ht="14.25" customHeight="1" x14ac:dyDescent="0.2">
      <c r="A30" s="89"/>
      <c r="B30" s="3" t="s">
        <v>49</v>
      </c>
      <c r="C30" s="61">
        <f>+E30</f>
        <v>0</v>
      </c>
      <c r="D30" s="30" t="str">
        <f>IF($C$20&lt;=0," ",C30/$C$20)</f>
        <v xml:space="preserve"> </v>
      </c>
      <c r="E30" s="61"/>
      <c r="F30" s="30" t="str">
        <f>IF($E$20&lt;=0," ",E30/$E$20)</f>
        <v xml:space="preserve"> </v>
      </c>
      <c r="G30" s="30" t="str">
        <f t="shared" si="5"/>
        <v/>
      </c>
      <c r="H30" s="61"/>
      <c r="I30" s="30" t="str">
        <f t="shared" si="6"/>
        <v/>
      </c>
      <c r="J30" s="30" t="str">
        <f>IF(H30=0,"",(E30-H30)/ABS(H30))</f>
        <v/>
      </c>
      <c r="K30" s="61">
        <f>+K26</f>
        <v>0</v>
      </c>
      <c r="L30" s="30" t="str">
        <f>IF($K$20&lt;=0," ",K30/$K$20)</f>
        <v xml:space="preserve"> </v>
      </c>
      <c r="M30" s="61"/>
      <c r="N30" s="30" t="str">
        <f>IF($M$20&lt;=0," ",M30/$M$20)</f>
        <v xml:space="preserve"> </v>
      </c>
      <c r="O30" s="30" t="str">
        <f>IF(K30=0,"",(M30-K30)/ABS(K30)+1)</f>
        <v/>
      </c>
      <c r="P30" s="61"/>
      <c r="Q30" s="30">
        <f>+P30/$P$20</f>
        <v>0</v>
      </c>
      <c r="R30" s="30" t="str">
        <f t="shared" si="9"/>
        <v/>
      </c>
      <c r="T30" s="19" t="s">
        <v>50</v>
      </c>
      <c r="U30" s="65">
        <f>U21-U23-U25-U27-U28</f>
        <v>0</v>
      </c>
      <c r="V30" s="65">
        <f>V21-V23-V25-V27-V28</f>
        <v>0</v>
      </c>
      <c r="W30" s="65">
        <v>6877.7900000000009</v>
      </c>
      <c r="X30" s="65">
        <f>X21-X23-X25-X27-X28</f>
        <v>4900.67</v>
      </c>
      <c r="Y30" s="65">
        <f>Y21-Y23-Y25-Y27-Y28</f>
        <v>4900.67</v>
      </c>
      <c r="Z30" s="67">
        <f>V30-U30</f>
        <v>0</v>
      </c>
      <c r="AA30" s="68" t="str">
        <f>IF(U30=0,"",(V30-U30)/ABS(U30)+1)</f>
        <v/>
      </c>
      <c r="AB30" s="65">
        <v>6877.7900000000009</v>
      </c>
      <c r="AC30" s="68">
        <f>IF(W30=0,"",(V30-W30)/ABS(W30))</f>
        <v>-1</v>
      </c>
    </row>
    <row r="31" spans="1:32" ht="14.25" customHeight="1" x14ac:dyDescent="0.2">
      <c r="A31" s="89"/>
      <c r="B31" s="3" t="s">
        <v>148</v>
      </c>
      <c r="C31" s="61">
        <f>+E31</f>
        <v>0</v>
      </c>
      <c r="D31" s="30" t="str">
        <f>IF($C$20&lt;=0," ",C31/$C$20)</f>
        <v xml:space="preserve"> </v>
      </c>
      <c r="E31" s="61">
        <v>0</v>
      </c>
      <c r="F31" s="30" t="str">
        <f>IF($E$20&lt;=0," ",E31/$E$20)</f>
        <v xml:space="preserve"> </v>
      </c>
      <c r="G31" s="30" t="str">
        <f t="shared" si="5"/>
        <v/>
      </c>
      <c r="H31" s="61">
        <v>0</v>
      </c>
      <c r="I31" s="30" t="str">
        <f t="shared" si="6"/>
        <v/>
      </c>
      <c r="J31" s="30" t="str">
        <f>IF(H31=0,"",(E31-H31)/ABS(H31))</f>
        <v/>
      </c>
      <c r="K31" s="61">
        <f>+K27</f>
        <v>0</v>
      </c>
      <c r="L31" s="30" t="str">
        <f>IF($K$20&lt;=0," ",K31/$K$20)</f>
        <v xml:space="preserve"> </v>
      </c>
      <c r="M31" s="61">
        <v>4045</v>
      </c>
      <c r="N31" s="30" t="str">
        <f>IF($M$20&lt;=0," ",M31/$M$20)</f>
        <v xml:space="preserve"> </v>
      </c>
      <c r="O31" s="30" t="str">
        <f>IF(K31=0,"",(M31-K31)/ABS(K31)+1)</f>
        <v/>
      </c>
      <c r="P31" s="61">
        <v>0</v>
      </c>
      <c r="Q31" s="30">
        <f>+P31/$P$20</f>
        <v>0</v>
      </c>
      <c r="R31" s="30" t="str">
        <f t="shared" si="9"/>
        <v/>
      </c>
    </row>
    <row r="32" spans="1:32" ht="14.25" customHeight="1" x14ac:dyDescent="0.2">
      <c r="A32" s="89"/>
      <c r="B32" s="3" t="s">
        <v>52</v>
      </c>
      <c r="C32" s="61">
        <f>SUM(C30:C31)</f>
        <v>0</v>
      </c>
      <c r="D32" s="30" t="str">
        <f>IF($C$20&lt;=0," ",C32/$C$20)</f>
        <v xml:space="preserve"> </v>
      </c>
      <c r="E32" s="61">
        <f>SUM(E30:E31)</f>
        <v>0</v>
      </c>
      <c r="F32" s="30" t="str">
        <f>IF($E$20&lt;=0," ",E32/$E$20)</f>
        <v xml:space="preserve"> </v>
      </c>
      <c r="G32" s="30" t="str">
        <f t="shared" si="5"/>
        <v/>
      </c>
      <c r="H32" s="61">
        <f>SUM(H30:H31)</f>
        <v>0</v>
      </c>
      <c r="I32" s="30" t="str">
        <f t="shared" si="6"/>
        <v/>
      </c>
      <c r="J32" s="30" t="str">
        <f>IF(H32=0,"",(E32-H32)/ABS(H32))</f>
        <v/>
      </c>
      <c r="K32" s="61">
        <f>+K28</f>
        <v>0</v>
      </c>
      <c r="L32" s="30" t="str">
        <f>IF($K$20&lt;=0," ",K32/$K$20)</f>
        <v xml:space="preserve"> </v>
      </c>
      <c r="M32" s="61">
        <f>SUM(M30:M31)</f>
        <v>4045</v>
      </c>
      <c r="N32" s="30" t="str">
        <f>IF($M$20&lt;=0," ",M32/$M$20)</f>
        <v xml:space="preserve"> </v>
      </c>
      <c r="O32" s="30" t="str">
        <f>IF(K32=0,"",(M32-K32)/ABS(K32)+1)</f>
        <v/>
      </c>
      <c r="P32" s="61">
        <f>+P31</f>
        <v>0</v>
      </c>
      <c r="Q32" s="30">
        <f>+P32/$P$20</f>
        <v>0</v>
      </c>
      <c r="R32" s="30" t="str">
        <f t="shared" si="9"/>
        <v/>
      </c>
    </row>
    <row r="33" spans="1:20" ht="14.25" customHeight="1" x14ac:dyDescent="0.2">
      <c r="A33" s="89"/>
      <c r="G33" s="30" t="str">
        <f t="shared" si="5"/>
        <v/>
      </c>
      <c r="I33" s="30" t="str">
        <f t="shared" si="6"/>
        <v/>
      </c>
      <c r="R33" s="30" t="str">
        <f t="shared" si="9"/>
        <v/>
      </c>
    </row>
    <row r="34" spans="1:20" ht="14.25" customHeight="1" x14ac:dyDescent="0.2">
      <c r="A34" s="89"/>
      <c r="B34" s="3" t="s">
        <v>53</v>
      </c>
      <c r="C34" s="61">
        <f>C28+C32</f>
        <v>0</v>
      </c>
      <c r="D34" s="30" t="str">
        <f>IF($C$20&lt;=0," ",C34/$C$20)</f>
        <v xml:space="preserve"> </v>
      </c>
      <c r="E34" s="61">
        <f>E28+E32</f>
        <v>0</v>
      </c>
      <c r="F34" s="30" t="str">
        <f>IF($E$20&lt;=0," ",E34/$E$20)</f>
        <v xml:space="preserve"> </v>
      </c>
      <c r="G34" s="30" t="str">
        <f t="shared" si="5"/>
        <v/>
      </c>
      <c r="H34" s="61">
        <f>H28+H32</f>
        <v>0</v>
      </c>
      <c r="I34" s="30" t="str">
        <f t="shared" si="6"/>
        <v/>
      </c>
      <c r="J34" s="30" t="str">
        <f>IF(H34=0,"",(E34-H34)/ABS(H34))</f>
        <v/>
      </c>
      <c r="K34" s="61">
        <f>+K30</f>
        <v>0</v>
      </c>
      <c r="L34" s="30" t="str">
        <f>IF($K$20&lt;=0," ",K34/$K$20)</f>
        <v xml:space="preserve"> </v>
      </c>
      <c r="M34" s="61">
        <f>M28+M32</f>
        <v>4045</v>
      </c>
      <c r="N34" s="30" t="str">
        <f>IF($M$20&lt;=0," ",M34/$M$20)</f>
        <v xml:space="preserve"> </v>
      </c>
      <c r="O34" s="30" t="str">
        <f>IF(K34=0,"",(M34-K34)/ABS(K34)+1)</f>
        <v/>
      </c>
      <c r="P34" s="61">
        <f>+P32</f>
        <v>0</v>
      </c>
      <c r="Q34" s="30">
        <f>+P34/$P$20</f>
        <v>0</v>
      </c>
      <c r="R34" s="30" t="str">
        <f t="shared" si="9"/>
        <v/>
      </c>
    </row>
    <row r="35" spans="1:20" ht="14.25" customHeight="1" x14ac:dyDescent="0.2">
      <c r="G35" s="30" t="str">
        <f t="shared" si="5"/>
        <v/>
      </c>
      <c r="I35" s="30" t="str">
        <f t="shared" si="6"/>
        <v/>
      </c>
      <c r="R35" s="30" t="str">
        <f t="shared" si="9"/>
        <v/>
      </c>
    </row>
    <row r="36" spans="1:20" ht="14.25" customHeight="1" x14ac:dyDescent="0.2">
      <c r="B36" s="19" t="s">
        <v>54</v>
      </c>
      <c r="C36" s="65">
        <f>+C24-C34</f>
        <v>0</v>
      </c>
      <c r="D36" s="38" t="str">
        <f>IF($C$20&lt;=0," ",C36/$C$20)</f>
        <v xml:space="preserve"> </v>
      </c>
      <c r="E36" s="65">
        <f>+E24-E34</f>
        <v>0</v>
      </c>
      <c r="F36" s="38" t="str">
        <f>IF($E$20&lt;=0," ",E36/$E$20)</f>
        <v xml:space="preserve"> </v>
      </c>
      <c r="G36" s="30" t="str">
        <f t="shared" si="5"/>
        <v/>
      </c>
      <c r="H36" s="65">
        <f>+H24-H34</f>
        <v>2100</v>
      </c>
      <c r="I36" s="30" t="str">
        <f t="shared" si="6"/>
        <v/>
      </c>
      <c r="J36" s="38">
        <f>IF(H36=0,"",(E36-H36)/ABS(H36))</f>
        <v>-1</v>
      </c>
      <c r="K36" s="65">
        <f>+K31</f>
        <v>0</v>
      </c>
      <c r="L36" s="38" t="str">
        <f>IF($K$20&lt;=0," ",K36/$K$20)</f>
        <v xml:space="preserve"> </v>
      </c>
      <c r="M36" s="65">
        <f>+M24-M34</f>
        <v>-4045</v>
      </c>
      <c r="N36" s="38" t="str">
        <f>IF($M$20&lt;=0," ",M36/$M$20)</f>
        <v xml:space="preserve"> </v>
      </c>
      <c r="O36" s="38" t="str">
        <f>IF(K36=0,"",(M36-K36)/ABS(K36)+1)</f>
        <v/>
      </c>
      <c r="P36" s="65">
        <f>+P24-P34</f>
        <v>23100</v>
      </c>
      <c r="Q36" s="38">
        <f>+P36/$P$20</f>
        <v>1</v>
      </c>
      <c r="R36" s="38">
        <f t="shared" si="9"/>
        <v>-1.1751082251082252</v>
      </c>
    </row>
    <row r="37" spans="1:20" ht="14.25" customHeight="1" x14ac:dyDescent="0.2">
      <c r="G37" s="30" t="str">
        <f t="shared" si="5"/>
        <v/>
      </c>
      <c r="I37" s="30" t="str">
        <f t="shared" si="6"/>
        <v/>
      </c>
      <c r="R37" s="30" t="str">
        <f t="shared" si="9"/>
        <v/>
      </c>
      <c r="T37" s="49"/>
    </row>
    <row r="38" spans="1:20" ht="14.25" customHeight="1" x14ac:dyDescent="0.2">
      <c r="B38" s="3" t="s">
        <v>55</v>
      </c>
      <c r="C38" s="61">
        <f>+E38</f>
        <v>0</v>
      </c>
      <c r="D38" s="30" t="str">
        <f>IF($C$20&lt;=0," ",C38/$C$20)</f>
        <v xml:space="preserve"> </v>
      </c>
      <c r="E38" s="61">
        <v>0</v>
      </c>
      <c r="F38" s="30" t="str">
        <f>IF($E$20&lt;=0," ",E38/$E$20)</f>
        <v xml:space="preserve"> </v>
      </c>
      <c r="G38" s="30" t="str">
        <f t="shared" si="5"/>
        <v/>
      </c>
      <c r="H38" s="61">
        <v>0</v>
      </c>
      <c r="I38" s="30" t="str">
        <f t="shared" si="6"/>
        <v/>
      </c>
      <c r="J38" s="30" t="str">
        <f>IF(H38=0,"",(E38-H38)/ABS(H38))</f>
        <v/>
      </c>
      <c r="K38" s="61">
        <f>+K32</f>
        <v>0</v>
      </c>
      <c r="L38" s="30" t="str">
        <f>IF($K$20&lt;=0," ",K38/$K$20)</f>
        <v xml:space="preserve"> </v>
      </c>
      <c r="M38" s="61">
        <v>0</v>
      </c>
      <c r="N38" s="30" t="str">
        <f>IF($M$20&lt;=0," ",M38/$M$20)</f>
        <v xml:space="preserve"> </v>
      </c>
      <c r="O38" s="30" t="str">
        <f>IF(K38=0,"",(M38-K38)/ABS(K38)+1)</f>
        <v/>
      </c>
      <c r="P38" s="61">
        <v>0</v>
      </c>
      <c r="Q38" s="30">
        <f>+P38/$P$20</f>
        <v>0</v>
      </c>
      <c r="R38" s="30" t="str">
        <f t="shared" si="9"/>
        <v/>
      </c>
    </row>
    <row r="39" spans="1:20" ht="14.25" customHeight="1" x14ac:dyDescent="0.2">
      <c r="B39" s="3" t="s">
        <v>56</v>
      </c>
      <c r="C39" s="61">
        <f>+E39</f>
        <v>0</v>
      </c>
      <c r="D39" s="30" t="str">
        <f>IF($C$20&lt;=0," ",C39/$C$20)</f>
        <v xml:space="preserve"> </v>
      </c>
      <c r="E39" s="61">
        <v>0</v>
      </c>
      <c r="F39" s="30" t="str">
        <f>IF($E$20&lt;=0," ",E39/$E$20)</f>
        <v xml:space="preserve"> </v>
      </c>
      <c r="G39" s="30" t="str">
        <f t="shared" si="5"/>
        <v/>
      </c>
      <c r="H39" s="61">
        <v>1893.5</v>
      </c>
      <c r="I39" s="30" t="str">
        <f t="shared" si="6"/>
        <v/>
      </c>
      <c r="J39" s="30">
        <f>IF(H39=0,"",(E39-H39)/ABS(H39))</f>
        <v>-1</v>
      </c>
      <c r="K39" s="61">
        <f>+K34</f>
        <v>0</v>
      </c>
      <c r="L39" s="30" t="str">
        <f>IF($K$20&lt;=0," ",K39/$K$20)</f>
        <v xml:space="preserve"> </v>
      </c>
      <c r="M39" s="61">
        <v>637</v>
      </c>
      <c r="N39" s="30" t="str">
        <f>IF($M$20&lt;=0," ",M39/$M$20)</f>
        <v xml:space="preserve"> </v>
      </c>
      <c r="O39" s="30" t="str">
        <f>IF(K39=0,"",(M39-K39)/ABS(K39)+1)</f>
        <v/>
      </c>
      <c r="P39" s="61">
        <v>5577.21</v>
      </c>
      <c r="Q39" s="30">
        <f>+P39/$P$20</f>
        <v>0.24143766233766234</v>
      </c>
      <c r="R39" s="30">
        <f t="shared" si="9"/>
        <v>-0.88578518650006011</v>
      </c>
    </row>
    <row r="40" spans="1:20" ht="14.25" customHeight="1" x14ac:dyDescent="0.2">
      <c r="G40" s="30" t="str">
        <f t="shared" si="5"/>
        <v/>
      </c>
      <c r="I40" s="30" t="str">
        <f t="shared" si="6"/>
        <v/>
      </c>
      <c r="R40" s="30" t="str">
        <f t="shared" si="9"/>
        <v/>
      </c>
    </row>
    <row r="41" spans="1:20" ht="14.25" customHeight="1" x14ac:dyDescent="0.2">
      <c r="B41" s="3" t="s">
        <v>57</v>
      </c>
      <c r="C41" s="61">
        <f>C36+C38-C39</f>
        <v>0</v>
      </c>
      <c r="D41" s="30" t="str">
        <f>IF($C$20&lt;=0," ",C41/$C$20)</f>
        <v xml:space="preserve"> </v>
      </c>
      <c r="E41" s="61">
        <f>+E36-E39+E38</f>
        <v>0</v>
      </c>
      <c r="F41" s="30" t="str">
        <f>IF($E$20&lt;=0," ",E41/$E$20)</f>
        <v xml:space="preserve"> </v>
      </c>
      <c r="G41" s="30" t="str">
        <f t="shared" si="5"/>
        <v/>
      </c>
      <c r="H41" s="61">
        <f>+H36-H39+H38</f>
        <v>206.5</v>
      </c>
      <c r="I41" s="30" t="str">
        <f t="shared" si="6"/>
        <v/>
      </c>
      <c r="J41" s="30">
        <f>IF(H41=0,"",(E41-H41)/ABS(H41))</f>
        <v>-1</v>
      </c>
      <c r="K41" s="61">
        <f>+K36</f>
        <v>0</v>
      </c>
      <c r="L41" s="30" t="str">
        <f>IF($K$20&lt;=0," ",K41/$K$20)</f>
        <v xml:space="preserve"> </v>
      </c>
      <c r="M41" s="61">
        <f>+M36-M39+M38</f>
        <v>-4682</v>
      </c>
      <c r="N41" s="30" t="str">
        <f>IF($M$20&lt;=0," ",M41/$M$20)</f>
        <v xml:space="preserve"> </v>
      </c>
      <c r="O41" s="30" t="str">
        <f>IF(K41=0,"",(M41-K41)/ABS(K41)+1)</f>
        <v/>
      </c>
      <c r="P41" s="61">
        <f>P36+P38-P39</f>
        <v>17522.79</v>
      </c>
      <c r="Q41" s="30">
        <f>+P41/$P$20</f>
        <v>0.75856233766233772</v>
      </c>
      <c r="R41" s="30">
        <f t="shared" si="9"/>
        <v>-1.2671948930507071</v>
      </c>
    </row>
    <row r="42" spans="1:20" ht="14.25" customHeight="1" x14ac:dyDescent="0.2">
      <c r="B42" s="3" t="s">
        <v>43</v>
      </c>
      <c r="C42" s="61"/>
      <c r="D42" s="30" t="str">
        <f>IF($C$20&lt;=0," ",C42/$C$20)</f>
        <v xml:space="preserve"> </v>
      </c>
      <c r="E42" s="61"/>
      <c r="F42" s="30" t="str">
        <f>IF($E$20&lt;=0," ",E42/$E$20)</f>
        <v xml:space="preserve"> </v>
      </c>
      <c r="G42" s="30" t="str">
        <f t="shared" si="5"/>
        <v/>
      </c>
      <c r="H42" s="61"/>
      <c r="I42" s="30" t="str">
        <f t="shared" si="6"/>
        <v/>
      </c>
      <c r="J42" s="30" t="str">
        <f>IF(H42=0,"",(E42-H42)/ABS(H42))</f>
        <v/>
      </c>
      <c r="K42" s="61">
        <f>+K38</f>
        <v>0</v>
      </c>
      <c r="L42" s="30" t="str">
        <f>IF($K$20&lt;=0," ",K42/$K$20)</f>
        <v xml:space="preserve"> </v>
      </c>
      <c r="M42" s="61"/>
      <c r="N42" s="30" t="str">
        <f>IF($M$20&lt;=0," ",M42/$M$20)</f>
        <v xml:space="preserve"> </v>
      </c>
      <c r="O42" s="30" t="str">
        <f>IF(K42=0,"",(M42-K42)/ABS(K42)+1)</f>
        <v/>
      </c>
      <c r="P42" s="61">
        <f>+H42</f>
        <v>0</v>
      </c>
      <c r="Q42" s="30">
        <f>+P42/$P$20</f>
        <v>0</v>
      </c>
      <c r="R42" s="30" t="str">
        <f t="shared" si="9"/>
        <v/>
      </c>
    </row>
    <row r="43" spans="1:20" ht="14.25" customHeight="1" x14ac:dyDescent="0.2">
      <c r="B43" s="19" t="s">
        <v>58</v>
      </c>
      <c r="C43" s="65">
        <f>+C41-C42</f>
        <v>0</v>
      </c>
      <c r="D43" s="38" t="str">
        <f>IF($C$20&lt;=0," ",C43/$C$20)</f>
        <v xml:space="preserve"> </v>
      </c>
      <c r="E43" s="65">
        <f>E41-E42</f>
        <v>0</v>
      </c>
      <c r="F43" s="38" t="str">
        <f>IF($E$20&lt;=0," ",E43/$E$20)</f>
        <v xml:space="preserve"> </v>
      </c>
      <c r="G43" s="30" t="str">
        <f t="shared" si="5"/>
        <v/>
      </c>
      <c r="H43" s="65">
        <f>H41-H42</f>
        <v>206.5</v>
      </c>
      <c r="I43" s="30" t="str">
        <f t="shared" si="6"/>
        <v/>
      </c>
      <c r="J43" s="38">
        <f>IF(H43=0,"",(E43-H43)/ABS(H43))</f>
        <v>-1</v>
      </c>
      <c r="K43" s="65">
        <f>+K39</f>
        <v>0</v>
      </c>
      <c r="L43" s="38" t="str">
        <f>IF($K$20&lt;=0," ",K43/$K$20)</f>
        <v xml:space="preserve"> </v>
      </c>
      <c r="M43" s="65">
        <f>M41-M42</f>
        <v>-4682</v>
      </c>
      <c r="N43" s="38" t="str">
        <f>IF($M$20&lt;=0," ",M43/$M$20)</f>
        <v xml:space="preserve"> </v>
      </c>
      <c r="O43" s="38" t="str">
        <f>IF(K43=0,"",(M43-K43)/ABS(K43)+1)</f>
        <v/>
      </c>
      <c r="P43" s="65">
        <f>P41-P42</f>
        <v>17522.79</v>
      </c>
      <c r="Q43" s="38">
        <f>+P43/$P$20</f>
        <v>0.75856233766233772</v>
      </c>
      <c r="R43" s="38">
        <f t="shared" si="9"/>
        <v>-1.2671948930507071</v>
      </c>
    </row>
    <row r="44" spans="1:20" ht="14.25" customHeight="1" x14ac:dyDescent="0.2">
      <c r="G44" s="30" t="str">
        <f t="shared" si="5"/>
        <v/>
      </c>
      <c r="I44" s="30" t="str">
        <f t="shared" si="6"/>
        <v/>
      </c>
      <c r="R44" s="30" t="str">
        <f t="shared" si="9"/>
        <v/>
      </c>
    </row>
    <row r="45" spans="1:20" ht="14.25" customHeight="1" x14ac:dyDescent="0.2">
      <c r="B45" s="3" t="s">
        <v>59</v>
      </c>
      <c r="C45" s="61">
        <f>+C36</f>
        <v>0</v>
      </c>
      <c r="D45" s="30" t="str">
        <f>IF($C$20&lt;=0," ",C45/$C$20)</f>
        <v xml:space="preserve"> </v>
      </c>
      <c r="E45" s="61">
        <f>+E36</f>
        <v>0</v>
      </c>
      <c r="F45" s="30" t="str">
        <f>IF($E$20&lt;=0," ",E45/$E$20)</f>
        <v xml:space="preserve"> </v>
      </c>
      <c r="G45" s="30" t="str">
        <f t="shared" si="5"/>
        <v/>
      </c>
      <c r="H45" s="61">
        <f>+H36</f>
        <v>2100</v>
      </c>
      <c r="I45" s="30" t="str">
        <f t="shared" si="6"/>
        <v/>
      </c>
      <c r="J45" s="30">
        <f>IF(H45=0,"",(E45-H45)/ABS(H45))</f>
        <v>-1</v>
      </c>
      <c r="K45" s="61">
        <f>+K41</f>
        <v>0</v>
      </c>
      <c r="L45" s="30" t="str">
        <f>IF($K$20&lt;=0," ",K45/$K$20)</f>
        <v xml:space="preserve"> </v>
      </c>
      <c r="M45" s="61">
        <f>+M36</f>
        <v>-4045</v>
      </c>
      <c r="N45" s="30" t="str">
        <f>IF($M$20&lt;=0," ",M45/$M$20)</f>
        <v xml:space="preserve"> </v>
      </c>
      <c r="O45" s="30" t="str">
        <f>IF(K45=0,"",(M45-K45)/ABS(K45)+1)</f>
        <v/>
      </c>
      <c r="P45" s="61">
        <f>+P36</f>
        <v>23100</v>
      </c>
      <c r="Q45" s="30">
        <f>+P45/$P$20</f>
        <v>1</v>
      </c>
      <c r="R45" s="30">
        <f t="shared" si="9"/>
        <v>-1.1751082251082252</v>
      </c>
    </row>
    <row r="46" spans="1:20" ht="14.25" customHeight="1" x14ac:dyDescent="0.2">
      <c r="B46" s="3" t="s">
        <v>34</v>
      </c>
      <c r="C46" s="61">
        <v>0</v>
      </c>
      <c r="D46" s="30" t="str">
        <f>IF($C$20&lt;=0," ",C46/$C$20)</f>
        <v xml:space="preserve"> </v>
      </c>
      <c r="E46" s="61">
        <v>0</v>
      </c>
      <c r="F46" s="30" t="str">
        <f>IF($E$20&lt;=0," ",E46/$E$20)</f>
        <v xml:space="preserve"> </v>
      </c>
      <c r="G46" s="30" t="str">
        <f t="shared" si="5"/>
        <v/>
      </c>
      <c r="H46" s="61">
        <v>0</v>
      </c>
      <c r="I46" s="30" t="str">
        <f t="shared" si="6"/>
        <v/>
      </c>
      <c r="J46" s="30" t="str">
        <f>IF(H46=0,"",(E46-H46)/ABS(H46))</f>
        <v/>
      </c>
      <c r="K46" s="61">
        <f>+K42</f>
        <v>0</v>
      </c>
      <c r="L46" s="30" t="str">
        <f>IF($K$20&lt;=0," ",K46/$K$20)</f>
        <v xml:space="preserve"> </v>
      </c>
      <c r="M46" s="61">
        <v>0</v>
      </c>
      <c r="N46" s="30" t="str">
        <f>IF($M$20&lt;=0," ",M46/$M$20)</f>
        <v xml:space="preserve"> </v>
      </c>
      <c r="O46" s="30" t="str">
        <f>IF(K46=0,"",(M46-K46)/ABS(K46)+1)</f>
        <v/>
      </c>
      <c r="P46" s="61">
        <v>0</v>
      </c>
      <c r="Q46" s="30">
        <f>+P46/$P$20</f>
        <v>0</v>
      </c>
      <c r="R46" s="30" t="str">
        <f t="shared" si="9"/>
        <v/>
      </c>
    </row>
    <row r="47" spans="1:20" ht="14.25" customHeight="1" x14ac:dyDescent="0.2">
      <c r="C47" s="62"/>
      <c r="D47" s="62"/>
      <c r="E47" s="62"/>
      <c r="F47" s="62"/>
      <c r="G47" s="62"/>
      <c r="H47" s="62"/>
      <c r="I47" s="62"/>
      <c r="J47" s="62"/>
      <c r="K47" s="62"/>
      <c r="L47" s="62"/>
      <c r="N47" s="62"/>
      <c r="O47" s="62"/>
    </row>
    <row r="48" spans="1:20" ht="14.25" customHeight="1" x14ac:dyDescent="0.2">
      <c r="M48" s="6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Gutierrez Rodriguez</dc:creator>
  <cp:lastModifiedBy>Robert Gutierrez Rodriguez</cp:lastModifiedBy>
  <dcterms:created xsi:type="dcterms:W3CDTF">2022-12-21T16:28:29Z</dcterms:created>
  <dcterms:modified xsi:type="dcterms:W3CDTF">2022-12-21T16:29:54Z</dcterms:modified>
</cp:coreProperties>
</file>