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Informes de Junta/2022/Consolidados/"/>
    </mc:Choice>
  </mc:AlternateContent>
  <xr:revisionPtr revIDLastSave="0" documentId="8_{3D85DD61-68B9-4B5B-8DA4-0E3E0CB817DD}" xr6:coauthVersionLast="47" xr6:coauthVersionMax="47" xr10:uidLastSave="{00000000-0000-0000-0000-000000000000}"/>
  <bookViews>
    <workbookView xWindow="-120" yWindow="-120" windowWidth="20730" windowHeight="11160" activeTab="1" xr2:uid="{0D62FD31-7FAC-4D14-BD0E-756F2C56461C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"-"</definedName>
    <definedName name="__BIA_8159523" localSheetId="10" hidden="1">[1]!Consulta(4,"Presupuesto por flujo de efectivo","Zoom","Periodo","=",201909,"Cpto Flujo de Efectivo","IN",ctas!$A$544:$A$552)</definedName>
    <definedName name="b2w">'COLOMB$ '!$H$2</definedName>
  </definedNames>
  <calcPr calcId="191029"/>
  <pivotCaches>
    <pivotCache cacheId="0" r:id="rId13"/>
    <pivotCache cacheId="2" r:id="rId14"/>
    <pivotCache cacheId="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9" i="12" l="1"/>
  <c r="AK25" i="1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Y27" i="10"/>
  <c r="Z27" i="10" s="1"/>
  <c r="X27" i="10"/>
  <c r="AA27" i="10" s="1"/>
  <c r="R27" i="10"/>
  <c r="K27" i="10"/>
  <c r="O27" i="10" s="1"/>
  <c r="J27" i="10"/>
  <c r="I27" i="10"/>
  <c r="C27" i="10"/>
  <c r="G27" i="10" s="1"/>
  <c r="R26" i="10"/>
  <c r="J26" i="10"/>
  <c r="I26" i="10"/>
  <c r="C26" i="10"/>
  <c r="AC25" i="10"/>
  <c r="Y25" i="10"/>
  <c r="X25" i="10"/>
  <c r="Z25" i="10" s="1"/>
  <c r="R25" i="10"/>
  <c r="I25" i="10"/>
  <c r="G25" i="10"/>
  <c r="AC23" i="10"/>
  <c r="Y23" i="10"/>
  <c r="X23" i="10"/>
  <c r="Z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H7" i="10"/>
  <c r="P7" i="10" s="1"/>
  <c r="E7" i="10"/>
  <c r="M7" i="10" s="1"/>
  <c r="V7" i="10" s="1"/>
  <c r="Y7" i="10" s="1"/>
  <c r="C7" i="10"/>
  <c r="U7" i="10" s="1"/>
  <c r="A7" i="10"/>
  <c r="B6" i="10"/>
  <c r="T6" i="10" s="1"/>
  <c r="A6" i="10"/>
  <c r="A5" i="10"/>
  <c r="A4" i="10"/>
  <c r="AU47" i="9"/>
  <c r="AV47" i="9" s="1"/>
  <c r="AY47" i="9" s="1"/>
  <c r="AN47" i="9"/>
  <c r="AQ47" i="9" s="1"/>
  <c r="AM47" i="9"/>
  <c r="AV46" i="9"/>
  <c r="AY46" i="9" s="1"/>
  <c r="AN46" i="9"/>
  <c r="AQ46" i="9" s="1"/>
  <c r="P46" i="9"/>
  <c r="H46" i="9"/>
  <c r="D46" i="9"/>
  <c r="P45" i="9"/>
  <c r="D45" i="9"/>
  <c r="M44" i="9"/>
  <c r="H44" i="9"/>
  <c r="D43" i="9"/>
  <c r="P42" i="9"/>
  <c r="H42" i="9"/>
  <c r="D42" i="9"/>
  <c r="C42" i="9"/>
  <c r="G42" i="9" s="1"/>
  <c r="D41" i="9"/>
  <c r="C41" i="9"/>
  <c r="G41" i="9" s="1"/>
  <c r="H40" i="9"/>
  <c r="K39" i="9"/>
  <c r="O39" i="9" s="1"/>
  <c r="H39" i="9"/>
  <c r="D39" i="9"/>
  <c r="P38" i="9"/>
  <c r="H38" i="9"/>
  <c r="D38" i="9"/>
  <c r="P37" i="9"/>
  <c r="M37" i="9"/>
  <c r="D36" i="9"/>
  <c r="P35" i="9"/>
  <c r="E35" i="9"/>
  <c r="D34" i="9"/>
  <c r="P33" i="9"/>
  <c r="E33" i="9"/>
  <c r="P32" i="9"/>
  <c r="D32" i="9"/>
  <c r="C32" i="9"/>
  <c r="G32" i="9" s="1"/>
  <c r="E31" i="9"/>
  <c r="D31" i="9"/>
  <c r="P30" i="9"/>
  <c r="E30" i="9"/>
  <c r="D30" i="9"/>
  <c r="P29" i="9"/>
  <c r="AB28" i="9"/>
  <c r="AC28" i="9" s="1"/>
  <c r="AA28" i="9"/>
  <c r="H28" i="9"/>
  <c r="E28" i="9"/>
  <c r="J28" i="9" s="1"/>
  <c r="D28" i="9"/>
  <c r="Y27" i="9"/>
  <c r="P27" i="9"/>
  <c r="H27" i="9"/>
  <c r="D27" i="9"/>
  <c r="K26" i="9"/>
  <c r="O26" i="9" s="1"/>
  <c r="D26" i="9"/>
  <c r="X25" i="9"/>
  <c r="AA25" i="9" s="1"/>
  <c r="W25" i="9"/>
  <c r="P25" i="9"/>
  <c r="H25" i="9"/>
  <c r="D24" i="9"/>
  <c r="AC23" i="9"/>
  <c r="AA23" i="9"/>
  <c r="Z23" i="9"/>
  <c r="P23" i="9"/>
  <c r="M23" i="9"/>
  <c r="H23" i="9"/>
  <c r="K22" i="9"/>
  <c r="O22" i="9" s="1"/>
  <c r="D22" i="9"/>
  <c r="P21" i="9"/>
  <c r="O21" i="9"/>
  <c r="H21" i="9"/>
  <c r="G21" i="9"/>
  <c r="AC20" i="9"/>
  <c r="P20" i="9"/>
  <c r="D20" i="9"/>
  <c r="U19" i="9"/>
  <c r="P19" i="9"/>
  <c r="H19" i="9"/>
  <c r="D19" i="9"/>
  <c r="C19" i="9"/>
  <c r="P18" i="9"/>
  <c r="M18" i="9"/>
  <c r="R18" i="9" s="1"/>
  <c r="H18" i="9"/>
  <c r="D18" i="9"/>
  <c r="AB17" i="9"/>
  <c r="U17" i="9"/>
  <c r="M17" i="9"/>
  <c r="R17" i="9" s="1"/>
  <c r="D17" i="9"/>
  <c r="Y16" i="9"/>
  <c r="P16" i="9"/>
  <c r="Q16" i="9" s="1"/>
  <c r="K16" i="9"/>
  <c r="O16" i="9" s="1"/>
  <c r="H16" i="9"/>
  <c r="D16" i="9"/>
  <c r="C16" i="9"/>
  <c r="G16" i="9" s="1"/>
  <c r="W15" i="9"/>
  <c r="U15" i="9"/>
  <c r="P15" i="9"/>
  <c r="M15" i="9"/>
  <c r="E15" i="9"/>
  <c r="D15" i="9"/>
  <c r="AB14" i="9"/>
  <c r="AC14" i="9" s="1"/>
  <c r="V14" i="9"/>
  <c r="P14" i="9"/>
  <c r="Q14" i="9" s="1"/>
  <c r="K14" i="9"/>
  <c r="O14" i="9" s="1"/>
  <c r="H14" i="9"/>
  <c r="D14" i="9"/>
  <c r="C14" i="9"/>
  <c r="G14" i="9" s="1"/>
  <c r="AB13" i="9"/>
  <c r="AC13" i="9" s="1"/>
  <c r="V13" i="9"/>
  <c r="P13" i="9"/>
  <c r="K13" i="9"/>
  <c r="O13" i="9" s="1"/>
  <c r="H13" i="9"/>
  <c r="D13" i="9"/>
  <c r="C13" i="9"/>
  <c r="G13" i="9" s="1"/>
  <c r="U12" i="9"/>
  <c r="P12" i="9"/>
  <c r="M12" i="9"/>
  <c r="K12" i="9"/>
  <c r="O12" i="9" s="1"/>
  <c r="E12" i="9"/>
  <c r="D12" i="9"/>
  <c r="U11" i="9"/>
  <c r="P11" i="9"/>
  <c r="Q11" i="9" s="1"/>
  <c r="H11" i="9"/>
  <c r="D11" i="9"/>
  <c r="C11" i="9"/>
  <c r="G11" i="9" s="1"/>
  <c r="X10" i="9"/>
  <c r="W10" i="9"/>
  <c r="P10" i="9"/>
  <c r="E10" i="9"/>
  <c r="D10" i="9"/>
  <c r="H7" i="9"/>
  <c r="G7" i="9"/>
  <c r="O7" i="9" s="1"/>
  <c r="E7" i="9"/>
  <c r="M7" i="9" s="1"/>
  <c r="V7" i="9" s="1"/>
  <c r="Y7" i="9" s="1"/>
  <c r="AH4" i="9"/>
  <c r="AH9" i="9" s="1"/>
  <c r="AH3" i="9"/>
  <c r="E46" i="9" s="1"/>
  <c r="J46" i="9" s="1"/>
  <c r="R46" i="8"/>
  <c r="O46" i="8"/>
  <c r="R42" i="8"/>
  <c r="O42" i="8"/>
  <c r="K42" i="8"/>
  <c r="J42" i="8"/>
  <c r="G42" i="8"/>
  <c r="R39" i="8"/>
  <c r="O39" i="8"/>
  <c r="M39" i="8"/>
  <c r="M39" i="9" s="1"/>
  <c r="J39" i="8"/>
  <c r="G39" i="8"/>
  <c r="R38" i="8"/>
  <c r="K38" i="8"/>
  <c r="O38" i="8" s="1"/>
  <c r="J38" i="8"/>
  <c r="G38" i="8"/>
  <c r="P32" i="8"/>
  <c r="R32" i="8" s="1"/>
  <c r="O32" i="8"/>
  <c r="M32" i="8"/>
  <c r="M32" i="9" s="1"/>
  <c r="K32" i="8"/>
  <c r="H32" i="8"/>
  <c r="J32" i="8" s="1"/>
  <c r="G32" i="8"/>
  <c r="E32" i="8"/>
  <c r="F32" i="8" s="1"/>
  <c r="C32" i="8"/>
  <c r="R31" i="8"/>
  <c r="O31" i="8"/>
  <c r="J31" i="8"/>
  <c r="G31" i="8"/>
  <c r="R30" i="8"/>
  <c r="O30" i="8"/>
  <c r="J30" i="8"/>
  <c r="G30" i="8"/>
  <c r="F30" i="8"/>
  <c r="AC28" i="8"/>
  <c r="AA28" i="8"/>
  <c r="Y28" i="8"/>
  <c r="Y28" i="9" s="1"/>
  <c r="Z28" i="9" s="1"/>
  <c r="P28" i="8"/>
  <c r="O28" i="8"/>
  <c r="M28" i="8"/>
  <c r="M34" i="8" s="1"/>
  <c r="K28" i="8"/>
  <c r="K32" i="9" s="1"/>
  <c r="O32" i="9" s="1"/>
  <c r="H28" i="8"/>
  <c r="G28" i="8"/>
  <c r="E28" i="8"/>
  <c r="E34" i="8" s="1"/>
  <c r="C28" i="8"/>
  <c r="C34" i="8" s="1"/>
  <c r="G34" i="8" s="1"/>
  <c r="AC27" i="8"/>
  <c r="Z27" i="8"/>
  <c r="Y27" i="8"/>
  <c r="X27" i="8"/>
  <c r="R27" i="8"/>
  <c r="O27" i="8"/>
  <c r="J27" i="8"/>
  <c r="G27" i="8"/>
  <c r="R26" i="8"/>
  <c r="O26" i="8"/>
  <c r="J26" i="8"/>
  <c r="G26" i="8"/>
  <c r="AA25" i="8"/>
  <c r="Y25" i="8"/>
  <c r="X25" i="8"/>
  <c r="D24" i="8"/>
  <c r="AC23" i="8"/>
  <c r="AA23" i="8"/>
  <c r="Z23" i="8"/>
  <c r="R22" i="8"/>
  <c r="N22" i="8"/>
  <c r="K22" i="8"/>
  <c r="J22" i="8"/>
  <c r="G22" i="8"/>
  <c r="F22" i="8"/>
  <c r="AC20" i="8"/>
  <c r="R20" i="8"/>
  <c r="P20" i="8"/>
  <c r="Q15" i="8" s="1"/>
  <c r="N20" i="8"/>
  <c r="M20" i="8"/>
  <c r="K20" i="8"/>
  <c r="L15" i="8" s="1"/>
  <c r="J20" i="8"/>
  <c r="H20" i="8"/>
  <c r="I38" i="8" s="1"/>
  <c r="G20" i="8"/>
  <c r="F20" i="8"/>
  <c r="E20" i="8"/>
  <c r="C20" i="8"/>
  <c r="D18" i="8" s="1"/>
  <c r="B19" i="8"/>
  <c r="AB17" i="8"/>
  <c r="AB19" i="8" s="1"/>
  <c r="AB19" i="9" s="1"/>
  <c r="W17" i="8"/>
  <c r="V17" i="8"/>
  <c r="V19" i="8" s="1"/>
  <c r="V21" i="8" s="1"/>
  <c r="V30" i="8" s="1"/>
  <c r="U17" i="8"/>
  <c r="U19" i="8" s="1"/>
  <c r="U21" i="8" s="1"/>
  <c r="B17" i="8"/>
  <c r="Z16" i="8"/>
  <c r="Y16" i="8"/>
  <c r="AC16" i="8" s="1"/>
  <c r="X16" i="8"/>
  <c r="AA16" i="8" s="1"/>
  <c r="D16" i="8"/>
  <c r="B16" i="8"/>
  <c r="Y15" i="8"/>
  <c r="AC15" i="8" s="1"/>
  <c r="X15" i="8"/>
  <c r="R15" i="8"/>
  <c r="N15" i="8"/>
  <c r="J15" i="8"/>
  <c r="G15" i="8"/>
  <c r="F15" i="8"/>
  <c r="B15" i="8"/>
  <c r="AC14" i="8"/>
  <c r="Y14" i="8"/>
  <c r="X14" i="8"/>
  <c r="R14" i="8"/>
  <c r="Q14" i="8"/>
  <c r="O14" i="8"/>
  <c r="N14" i="8"/>
  <c r="J14" i="8"/>
  <c r="I14" i="8"/>
  <c r="G14" i="8"/>
  <c r="F14" i="8"/>
  <c r="B14" i="8"/>
  <c r="AC13" i="8"/>
  <c r="Y13" i="8"/>
  <c r="X13" i="8"/>
  <c r="AA13" i="8" s="1"/>
  <c r="R13" i="8"/>
  <c r="Q13" i="8"/>
  <c r="O13" i="8"/>
  <c r="N13" i="8"/>
  <c r="L13" i="8"/>
  <c r="J13" i="8"/>
  <c r="G13" i="8"/>
  <c r="F13" i="8"/>
  <c r="D13" i="8"/>
  <c r="B13" i="8"/>
  <c r="R12" i="8"/>
  <c r="Q12" i="8"/>
  <c r="O12" i="8"/>
  <c r="N12" i="8"/>
  <c r="J12" i="8"/>
  <c r="I12" i="8"/>
  <c r="G12" i="8"/>
  <c r="F12" i="8"/>
  <c r="D12" i="8"/>
  <c r="B12" i="8"/>
  <c r="Y11" i="8"/>
  <c r="AC11" i="8" s="1"/>
  <c r="X11" i="8"/>
  <c r="X11" i="9" s="1"/>
  <c r="AA11" i="9" s="1"/>
  <c r="R11" i="8"/>
  <c r="O11" i="8"/>
  <c r="N11" i="8"/>
  <c r="J11" i="8"/>
  <c r="I11" i="8"/>
  <c r="G11" i="8"/>
  <c r="F11" i="8"/>
  <c r="B11" i="8"/>
  <c r="AC10" i="8"/>
  <c r="AA10" i="8"/>
  <c r="Z10" i="8"/>
  <c r="R10" i="8"/>
  <c r="Q10" i="8"/>
  <c r="O10" i="8"/>
  <c r="N10" i="8"/>
  <c r="J10" i="8"/>
  <c r="I10" i="8"/>
  <c r="G10" i="8"/>
  <c r="F10" i="8"/>
  <c r="D10" i="8"/>
  <c r="B10" i="8"/>
  <c r="W7" i="8"/>
  <c r="AB7" i="8" s="1"/>
  <c r="P7" i="8"/>
  <c r="M7" i="8"/>
  <c r="V7" i="8" s="1"/>
  <c r="Y7" i="8" s="1"/>
  <c r="W39" i="7"/>
  <c r="V39" i="7"/>
  <c r="Z28" i="7"/>
  <c r="AD28" i="7" s="1"/>
  <c r="Y28" i="7"/>
  <c r="AB28" i="7" s="1"/>
  <c r="AD27" i="7"/>
  <c r="Z27" i="7"/>
  <c r="Y27" i="7"/>
  <c r="AB27" i="7" s="1"/>
  <c r="AA25" i="7"/>
  <c r="Z25" i="7"/>
  <c r="AD25" i="7" s="1"/>
  <c r="Y25" i="7"/>
  <c r="AD23" i="7"/>
  <c r="AA23" i="7"/>
  <c r="Z23" i="7"/>
  <c r="Y23" i="7"/>
  <c r="AB23" i="7" s="1"/>
  <c r="W19" i="7"/>
  <c r="W21" i="7" s="1"/>
  <c r="W30" i="7" s="1"/>
  <c r="W38" i="7" s="1"/>
  <c r="B19" i="7"/>
  <c r="AC17" i="7"/>
  <c r="AC19" i="7" s="1"/>
  <c r="X17" i="7"/>
  <c r="X19" i="7" s="1"/>
  <c r="X21" i="7" s="1"/>
  <c r="X30" i="7" s="1"/>
  <c r="W17" i="7"/>
  <c r="V17" i="7"/>
  <c r="V19" i="7" s="1"/>
  <c r="V21" i="7" s="1"/>
  <c r="V30" i="7" s="1"/>
  <c r="R17" i="7"/>
  <c r="O17" i="7"/>
  <c r="K17" i="7"/>
  <c r="J17" i="7"/>
  <c r="G17" i="7"/>
  <c r="B17" i="7"/>
  <c r="Z16" i="7"/>
  <c r="AD16" i="7" s="1"/>
  <c r="Y16" i="7"/>
  <c r="AB16" i="7" s="1"/>
  <c r="R16" i="7"/>
  <c r="K16" i="7"/>
  <c r="B16" i="7"/>
  <c r="Z15" i="7"/>
  <c r="AD15" i="7" s="1"/>
  <c r="Y15" i="7"/>
  <c r="AB15" i="7" s="1"/>
  <c r="B15" i="7"/>
  <c r="AD14" i="7"/>
  <c r="Z14" i="7"/>
  <c r="Y14" i="7"/>
  <c r="AB14" i="7" s="1"/>
  <c r="R14" i="7"/>
  <c r="B14" i="7"/>
  <c r="Z13" i="7"/>
  <c r="Y13" i="7"/>
  <c r="B13" i="7"/>
  <c r="B12" i="7"/>
  <c r="Z11" i="7"/>
  <c r="AD11" i="7" s="1"/>
  <c r="Y11" i="7"/>
  <c r="AB11" i="7" s="1"/>
  <c r="B11" i="7"/>
  <c r="AD10" i="7"/>
  <c r="AB10" i="7"/>
  <c r="AA10" i="7"/>
  <c r="B10" i="7"/>
  <c r="V7" i="7"/>
  <c r="Y7" i="7" s="1"/>
  <c r="H7" i="7"/>
  <c r="P7" i="7" s="1"/>
  <c r="E7" i="7"/>
  <c r="M7" i="7" s="1"/>
  <c r="W7" i="7" s="1"/>
  <c r="Z7" i="7" s="1"/>
  <c r="C7" i="7"/>
  <c r="K7" i="7" s="1"/>
  <c r="U3" i="7"/>
  <c r="AE20" i="6"/>
  <c r="B19" i="6"/>
  <c r="B17" i="6"/>
  <c r="B16" i="6"/>
  <c r="B15" i="6"/>
  <c r="B14" i="6"/>
  <c r="B13" i="6"/>
  <c r="B12" i="6"/>
  <c r="B11" i="6"/>
  <c r="AD10" i="6"/>
  <c r="Z10" i="6"/>
  <c r="Y10" i="6"/>
  <c r="X10" i="6"/>
  <c r="B10" i="6"/>
  <c r="Y7" i="6"/>
  <c r="AD7" i="6" s="1"/>
  <c r="H7" i="6"/>
  <c r="P7" i="6" s="1"/>
  <c r="E7" i="6"/>
  <c r="M7" i="6" s="1"/>
  <c r="X7" i="6" s="1"/>
  <c r="AA7" i="6" s="1"/>
  <c r="C7" i="6"/>
  <c r="K7" i="6" s="1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A8" i="5"/>
  <c r="K7" i="5"/>
  <c r="H7" i="5"/>
  <c r="P7" i="5" s="1"/>
  <c r="E7" i="5"/>
  <c r="M7" i="5" s="1"/>
  <c r="C7" i="5"/>
  <c r="A7" i="5"/>
  <c r="B6" i="5"/>
  <c r="A6" i="5"/>
  <c r="A5" i="5"/>
  <c r="AC20" i="4"/>
  <c r="AC10" i="4"/>
  <c r="AA10" i="4"/>
  <c r="Z10" i="4"/>
  <c r="AB7" i="4"/>
  <c r="X7" i="4"/>
  <c r="W7" i="4"/>
  <c r="U7" i="4"/>
  <c r="P7" i="4"/>
  <c r="N7" i="4"/>
  <c r="V7" i="4" s="1"/>
  <c r="Y7" i="4" s="1"/>
  <c r="L7" i="4"/>
  <c r="T6" i="4"/>
  <c r="T3" i="4"/>
  <c r="AC20" i="3"/>
  <c r="B19" i="3"/>
  <c r="B18" i="3"/>
  <c r="B18" i="6" s="1"/>
  <c r="B17" i="3"/>
  <c r="B16" i="3"/>
  <c r="B15" i="3"/>
  <c r="B14" i="3"/>
  <c r="B13" i="3"/>
  <c r="B12" i="3"/>
  <c r="B11" i="3"/>
  <c r="AB10" i="3"/>
  <c r="Y10" i="3"/>
  <c r="AA10" i="6" s="1"/>
  <c r="X10" i="3"/>
  <c r="W10" i="3"/>
  <c r="AC10" i="3" s="1"/>
  <c r="V10" i="3"/>
  <c r="U10" i="3"/>
  <c r="B10" i="3"/>
  <c r="W7" i="3"/>
  <c r="AB7" i="3" s="1"/>
  <c r="V7" i="3"/>
  <c r="Y7" i="3" s="1"/>
  <c r="H7" i="3"/>
  <c r="P7" i="3" s="1"/>
  <c r="E7" i="3"/>
  <c r="M7" i="3" s="1"/>
  <c r="C7" i="3"/>
  <c r="C7" i="8" s="1"/>
  <c r="B6" i="3"/>
  <c r="B6" i="11" s="1"/>
  <c r="T3" i="3"/>
  <c r="B9" i="2"/>
  <c r="B5" i="2"/>
  <c r="X13" i="6" l="1"/>
  <c r="V13" i="3"/>
  <c r="P18" i="3"/>
  <c r="X27" i="3"/>
  <c r="AA27" i="3" s="1"/>
  <c r="Z27" i="6"/>
  <c r="K38" i="3"/>
  <c r="K38" i="6" s="1"/>
  <c r="K46" i="3"/>
  <c r="K46" i="6" s="1"/>
  <c r="Z11" i="6"/>
  <c r="X11" i="3"/>
  <c r="AA11" i="3" s="1"/>
  <c r="E12" i="3"/>
  <c r="E12" i="6" s="1"/>
  <c r="M12" i="3"/>
  <c r="M12" i="6" s="1"/>
  <c r="M12" i="11" s="1"/>
  <c r="E13" i="3"/>
  <c r="E13" i="6" s="1"/>
  <c r="M13" i="3"/>
  <c r="M13" i="6" s="1"/>
  <c r="Y13" i="6"/>
  <c r="W13" i="3"/>
  <c r="V14" i="3"/>
  <c r="X14" i="6"/>
  <c r="C15" i="3"/>
  <c r="C15" i="6" s="1"/>
  <c r="K15" i="3"/>
  <c r="K15" i="6" s="1"/>
  <c r="U15" i="3"/>
  <c r="W15" i="6"/>
  <c r="K16" i="3"/>
  <c r="K16" i="6" s="1"/>
  <c r="W16" i="6"/>
  <c r="U16" i="3"/>
  <c r="AA27" i="6"/>
  <c r="Y27" i="3"/>
  <c r="X28" i="3"/>
  <c r="Z28" i="6"/>
  <c r="E30" i="3"/>
  <c r="M30" i="3"/>
  <c r="M30" i="6" s="1"/>
  <c r="H10" i="3"/>
  <c r="AD15" i="6"/>
  <c r="AB15" i="3"/>
  <c r="P22" i="3"/>
  <c r="P22" i="6" s="1"/>
  <c r="K31" i="3"/>
  <c r="K32" i="6" s="1"/>
  <c r="O32" i="6" s="1"/>
  <c r="C38" i="3"/>
  <c r="C38" i="6" s="1"/>
  <c r="C46" i="3"/>
  <c r="AA11" i="6"/>
  <c r="Y11" i="3"/>
  <c r="X13" i="3"/>
  <c r="Z13" i="6"/>
  <c r="E14" i="3"/>
  <c r="E14" i="6" s="1"/>
  <c r="M14" i="3"/>
  <c r="M14" i="6" s="1"/>
  <c r="Y14" i="6"/>
  <c r="W14" i="3"/>
  <c r="X15" i="6"/>
  <c r="V15" i="3"/>
  <c r="C16" i="3"/>
  <c r="C16" i="6" s="1"/>
  <c r="X16" i="6"/>
  <c r="V16" i="3"/>
  <c r="C17" i="3"/>
  <c r="C17" i="6" s="1"/>
  <c r="K17" i="3"/>
  <c r="K17" i="6" s="1"/>
  <c r="K19" i="3"/>
  <c r="AD23" i="6"/>
  <c r="AB23" i="3"/>
  <c r="H26" i="3"/>
  <c r="H26" i="6" s="1"/>
  <c r="P26" i="3"/>
  <c r="P26" i="6" s="1"/>
  <c r="H27" i="3"/>
  <c r="P27" i="3"/>
  <c r="P27" i="6" s="1"/>
  <c r="Y28" i="3"/>
  <c r="Z28" i="3" s="1"/>
  <c r="AA28" i="6"/>
  <c r="E31" i="3"/>
  <c r="E32" i="6" s="1"/>
  <c r="M31" i="3"/>
  <c r="M32" i="6" s="1"/>
  <c r="M33" i="6" s="1"/>
  <c r="E38" i="3"/>
  <c r="E38" i="6" s="1"/>
  <c r="M38" i="3"/>
  <c r="M38" i="6" s="1"/>
  <c r="E39" i="3"/>
  <c r="E39" i="6" s="1"/>
  <c r="M39" i="3"/>
  <c r="M39" i="6" s="1"/>
  <c r="E42" i="3"/>
  <c r="E42" i="6" s="1"/>
  <c r="M42" i="3"/>
  <c r="M42" i="6" s="1"/>
  <c r="E46" i="3"/>
  <c r="E46" i="6" s="1"/>
  <c r="M46" i="3"/>
  <c r="M46" i="6" s="1"/>
  <c r="E11" i="3"/>
  <c r="E11" i="6" s="1"/>
  <c r="K14" i="3"/>
  <c r="C31" i="3"/>
  <c r="C32" i="6" s="1"/>
  <c r="G32" i="6" s="1"/>
  <c r="C42" i="3"/>
  <c r="C42" i="6" s="1"/>
  <c r="C10" i="3"/>
  <c r="C10" i="6" s="1"/>
  <c r="K10" i="3"/>
  <c r="K10" i="6" s="1"/>
  <c r="H11" i="3"/>
  <c r="P11" i="3"/>
  <c r="Y13" i="3"/>
  <c r="AA13" i="6"/>
  <c r="X14" i="3"/>
  <c r="Z14" i="6"/>
  <c r="E15" i="3"/>
  <c r="M15" i="3"/>
  <c r="M15" i="6" s="1"/>
  <c r="M15" i="11" s="1"/>
  <c r="Y15" i="6"/>
  <c r="W15" i="3"/>
  <c r="E16" i="3"/>
  <c r="E16" i="6" s="1"/>
  <c r="M16" i="3"/>
  <c r="M16" i="6" s="1"/>
  <c r="W16" i="3"/>
  <c r="Y16" i="6"/>
  <c r="C18" i="3"/>
  <c r="K18" i="3"/>
  <c r="C19" i="3"/>
  <c r="C22" i="3"/>
  <c r="C22" i="6" s="1"/>
  <c r="K22" i="3"/>
  <c r="K22" i="6" s="1"/>
  <c r="U23" i="3"/>
  <c r="W23" i="6"/>
  <c r="W19" i="11" s="1"/>
  <c r="AD25" i="6"/>
  <c r="AB25" i="3"/>
  <c r="AC25" i="3" s="1"/>
  <c r="M11" i="3"/>
  <c r="M11" i="6" s="1"/>
  <c r="H18" i="3"/>
  <c r="Y25" i="3"/>
  <c r="AA25" i="6"/>
  <c r="W28" i="3"/>
  <c r="Y28" i="6"/>
  <c r="K39" i="3"/>
  <c r="K42" i="3"/>
  <c r="H12" i="3"/>
  <c r="P12" i="3"/>
  <c r="H13" i="3"/>
  <c r="P13" i="3"/>
  <c r="AA14" i="6"/>
  <c r="Y14" i="3"/>
  <c r="X15" i="3"/>
  <c r="Z15" i="6"/>
  <c r="Z16" i="6"/>
  <c r="X16" i="3"/>
  <c r="E17" i="3"/>
  <c r="E17" i="6" s="1"/>
  <c r="M17" i="3"/>
  <c r="M17" i="6" s="1"/>
  <c r="M17" i="11" s="1"/>
  <c r="M19" i="3"/>
  <c r="X23" i="6"/>
  <c r="V23" i="3"/>
  <c r="U25" i="3"/>
  <c r="W25" i="6"/>
  <c r="AB27" i="3"/>
  <c r="AC27" i="3" s="1"/>
  <c r="AD27" i="6"/>
  <c r="H30" i="3"/>
  <c r="P30" i="3"/>
  <c r="P10" i="3"/>
  <c r="P10" i="6" s="1"/>
  <c r="C14" i="3"/>
  <c r="C39" i="3"/>
  <c r="C39" i="6" s="1"/>
  <c r="E10" i="3"/>
  <c r="E10" i="6" s="1"/>
  <c r="M10" i="3"/>
  <c r="AB11" i="3"/>
  <c r="AD11" i="6"/>
  <c r="H14" i="3"/>
  <c r="P14" i="3"/>
  <c r="Y15" i="3"/>
  <c r="AA15" i="3" s="1"/>
  <c r="AA15" i="6"/>
  <c r="AA16" i="6"/>
  <c r="Y16" i="3"/>
  <c r="AA16" i="3" s="1"/>
  <c r="E18" i="3"/>
  <c r="E18" i="6" s="1"/>
  <c r="M18" i="3"/>
  <c r="M18" i="6" s="1"/>
  <c r="M18" i="11" s="1"/>
  <c r="E19" i="3"/>
  <c r="E22" i="3"/>
  <c r="E22" i="6" s="1"/>
  <c r="M22" i="3"/>
  <c r="M22" i="6" s="1"/>
  <c r="Y23" i="6"/>
  <c r="W23" i="3"/>
  <c r="V25" i="3"/>
  <c r="X25" i="6"/>
  <c r="C26" i="3"/>
  <c r="K26" i="3"/>
  <c r="C27" i="3"/>
  <c r="C27" i="6" s="1"/>
  <c r="K27" i="3"/>
  <c r="K27" i="6" s="1"/>
  <c r="W27" i="6"/>
  <c r="W21" i="11" s="1"/>
  <c r="U27" i="3"/>
  <c r="AB28" i="3"/>
  <c r="AC28" i="3" s="1"/>
  <c r="AD28" i="6"/>
  <c r="H31" i="3"/>
  <c r="H32" i="6" s="1"/>
  <c r="J32" i="6" s="1"/>
  <c r="P31" i="3"/>
  <c r="P32" i="6" s="1"/>
  <c r="R32" i="6" s="1"/>
  <c r="H38" i="3"/>
  <c r="H38" i="6" s="1"/>
  <c r="P38" i="3"/>
  <c r="P38" i="6" s="1"/>
  <c r="P38" i="11" s="1"/>
  <c r="H39" i="3"/>
  <c r="H39" i="6" s="1"/>
  <c r="P39" i="3"/>
  <c r="P39" i="6" s="1"/>
  <c r="H42" i="3"/>
  <c r="H42" i="6" s="1"/>
  <c r="P42" i="3"/>
  <c r="P42" i="6" s="1"/>
  <c r="P42" i="11" s="1"/>
  <c r="H46" i="3"/>
  <c r="H46" i="6" s="1"/>
  <c r="P46" i="3"/>
  <c r="U14" i="3"/>
  <c r="W14" i="6"/>
  <c r="W11" i="11" s="1"/>
  <c r="H19" i="3"/>
  <c r="C11" i="3"/>
  <c r="K11" i="3"/>
  <c r="W11" i="6"/>
  <c r="U11" i="3"/>
  <c r="AD13" i="6"/>
  <c r="AB13" i="3"/>
  <c r="AC13" i="3" s="1"/>
  <c r="H15" i="3"/>
  <c r="H15" i="6" s="1"/>
  <c r="P15" i="3"/>
  <c r="H16" i="3"/>
  <c r="P16" i="3"/>
  <c r="P19" i="3"/>
  <c r="X23" i="3"/>
  <c r="Z23" i="6"/>
  <c r="Y25" i="6"/>
  <c r="W25" i="3"/>
  <c r="V27" i="3"/>
  <c r="X27" i="6"/>
  <c r="U28" i="3"/>
  <c r="W28" i="6"/>
  <c r="Y11" i="6"/>
  <c r="W11" i="3"/>
  <c r="AD16" i="6"/>
  <c r="AB16" i="3"/>
  <c r="AC16" i="3" s="1"/>
  <c r="H22" i="3"/>
  <c r="X11" i="6"/>
  <c r="V11" i="3"/>
  <c r="C12" i="3"/>
  <c r="K12" i="3"/>
  <c r="C13" i="3"/>
  <c r="C13" i="6" s="1"/>
  <c r="K13" i="3"/>
  <c r="K13" i="6" s="1"/>
  <c r="K13" i="11" s="1"/>
  <c r="U13" i="3"/>
  <c r="U17" i="3" s="1"/>
  <c r="W13" i="6"/>
  <c r="AD14" i="6"/>
  <c r="AB14" i="3"/>
  <c r="H17" i="3"/>
  <c r="P17" i="3"/>
  <c r="Y23" i="3"/>
  <c r="Z23" i="3" s="1"/>
  <c r="AA23" i="6"/>
  <c r="Z25" i="6"/>
  <c r="X25" i="3"/>
  <c r="AA25" i="3" s="1"/>
  <c r="E26" i="3"/>
  <c r="M26" i="3"/>
  <c r="E27" i="3"/>
  <c r="E27" i="6" s="1"/>
  <c r="M27" i="3"/>
  <c r="M27" i="6" s="1"/>
  <c r="W27" i="3"/>
  <c r="Y27" i="6"/>
  <c r="X28" i="6"/>
  <c r="V28" i="3"/>
  <c r="C30" i="3"/>
  <c r="K30" i="3"/>
  <c r="E31" i="11"/>
  <c r="C438" i="12"/>
  <c r="U7" i="8"/>
  <c r="X7" i="8" s="1"/>
  <c r="C7" i="9"/>
  <c r="AC10" i="6"/>
  <c r="AB8" i="11"/>
  <c r="AK8" i="11"/>
  <c r="AE10" i="6"/>
  <c r="AJ8" i="11"/>
  <c r="AA8" i="11"/>
  <c r="AA14" i="7"/>
  <c r="AA27" i="7"/>
  <c r="T6" i="3"/>
  <c r="B6" i="8"/>
  <c r="L11" i="8"/>
  <c r="AA14" i="8"/>
  <c r="X14" i="9"/>
  <c r="AA14" i="9" s="1"/>
  <c r="Y17" i="7"/>
  <c r="Z14" i="8"/>
  <c r="Y14" i="9"/>
  <c r="L31" i="8"/>
  <c r="K20" i="9"/>
  <c r="L20" i="8"/>
  <c r="L16" i="8"/>
  <c r="L18" i="8"/>
  <c r="L14" i="8"/>
  <c r="R28" i="8"/>
  <c r="P28" i="9"/>
  <c r="R12" i="9"/>
  <c r="W10" i="6"/>
  <c r="L19" i="8"/>
  <c r="L24" i="8"/>
  <c r="L42" i="8"/>
  <c r="Q10" i="9"/>
  <c r="Q12" i="9"/>
  <c r="L10" i="8"/>
  <c r="D39" i="8"/>
  <c r="D20" i="8"/>
  <c r="D17" i="8"/>
  <c r="D11" i="8"/>
  <c r="C20" i="9"/>
  <c r="G20" i="9" s="1"/>
  <c r="O22" i="8"/>
  <c r="K24" i="9"/>
  <c r="O24" i="9" s="1"/>
  <c r="X13" i="9"/>
  <c r="Z17" i="7"/>
  <c r="Y8" i="11"/>
  <c r="AH8" i="11"/>
  <c r="B6" i="7"/>
  <c r="U6" i="7" s="1"/>
  <c r="B18" i="7"/>
  <c r="AA15" i="8"/>
  <c r="X15" i="9"/>
  <c r="Z15" i="8"/>
  <c r="L17" i="8"/>
  <c r="G19" i="9"/>
  <c r="B8" i="2"/>
  <c r="X8" i="11"/>
  <c r="AE8" i="11" s="1"/>
  <c r="AG8" i="11"/>
  <c r="L12" i="8"/>
  <c r="D15" i="8"/>
  <c r="U30" i="8"/>
  <c r="U21" i="9"/>
  <c r="O20" i="8"/>
  <c r="Y11" i="9"/>
  <c r="Z11" i="9" s="1"/>
  <c r="P7" i="9"/>
  <c r="W7" i="9"/>
  <c r="AB7" i="9" s="1"/>
  <c r="Q19" i="9"/>
  <c r="P19" i="11"/>
  <c r="D14" i="8"/>
  <c r="I13" i="8"/>
  <c r="Y17" i="8"/>
  <c r="Y17" i="9" s="1"/>
  <c r="AC17" i="9" s="1"/>
  <c r="W19" i="8"/>
  <c r="W17" i="9"/>
  <c r="E24" i="8"/>
  <c r="E24" i="9" s="1"/>
  <c r="E20" i="9"/>
  <c r="F20" i="9" s="1"/>
  <c r="N32" i="8"/>
  <c r="M20" i="9"/>
  <c r="N20" i="9" s="1"/>
  <c r="N31" i="8"/>
  <c r="N26" i="8"/>
  <c r="N34" i="8"/>
  <c r="M34" i="9"/>
  <c r="K10" i="9"/>
  <c r="O10" i="9" s="1"/>
  <c r="AB10" i="9"/>
  <c r="M11" i="9"/>
  <c r="C12" i="9"/>
  <c r="G12" i="9" s="1"/>
  <c r="U13" i="9"/>
  <c r="K15" i="9"/>
  <c r="O15" i="9" s="1"/>
  <c r="Y15" i="9"/>
  <c r="X16" i="9"/>
  <c r="Z16" i="9" s="1"/>
  <c r="M31" i="9"/>
  <c r="N31" i="9" s="1"/>
  <c r="C34" i="9"/>
  <c r="G34" i="9" s="1"/>
  <c r="E38" i="9"/>
  <c r="J38" i="9" s="1"/>
  <c r="K7" i="10"/>
  <c r="X7" i="10" s="1"/>
  <c r="Q30" i="8"/>
  <c r="Q39" i="8"/>
  <c r="C46" i="9"/>
  <c r="G46" i="9" s="1"/>
  <c r="M40" i="9"/>
  <c r="C38" i="9"/>
  <c r="G38" i="9" s="1"/>
  <c r="K36" i="9"/>
  <c r="U29" i="9"/>
  <c r="U28" i="9"/>
  <c r="C28" i="9"/>
  <c r="G28" i="9" s="1"/>
  <c r="M26" i="9"/>
  <c r="U24" i="9"/>
  <c r="U22" i="9"/>
  <c r="U20" i="9"/>
  <c r="M19" i="9"/>
  <c r="C18" i="9"/>
  <c r="G18" i="9" s="1"/>
  <c r="AB16" i="9"/>
  <c r="AC16" i="9" s="1"/>
  <c r="M16" i="9"/>
  <c r="R16" i="9" s="1"/>
  <c r="M46" i="9"/>
  <c r="R46" i="9" s="1"/>
  <c r="E44" i="9"/>
  <c r="E42" i="9"/>
  <c r="F42" i="9" s="1"/>
  <c r="M38" i="9"/>
  <c r="R38" i="9" s="1"/>
  <c r="M33" i="9"/>
  <c r="K30" i="9"/>
  <c r="O30" i="9" s="1"/>
  <c r="E27" i="9"/>
  <c r="U25" i="9"/>
  <c r="U23" i="9"/>
  <c r="C22" i="9"/>
  <c r="G22" i="9" s="1"/>
  <c r="M21" i="9"/>
  <c r="R21" i="9" s="1"/>
  <c r="K18" i="9"/>
  <c r="O18" i="9" s="1"/>
  <c r="W16" i="9"/>
  <c r="V15" i="9"/>
  <c r="M13" i="9"/>
  <c r="K11" i="9"/>
  <c r="O11" i="9" s="1"/>
  <c r="M10" i="9"/>
  <c r="R10" i="9" s="1"/>
  <c r="K46" i="9"/>
  <c r="O46" i="9" s="1"/>
  <c r="C43" i="9"/>
  <c r="K38" i="9"/>
  <c r="O38" i="9" s="1"/>
  <c r="E37" i="9"/>
  <c r="E29" i="9"/>
  <c r="K28" i="9"/>
  <c r="O28" i="9" s="1"/>
  <c r="U27" i="9"/>
  <c r="E26" i="9"/>
  <c r="M22" i="9"/>
  <c r="E19" i="9"/>
  <c r="V16" i="9"/>
  <c r="K43" i="9"/>
  <c r="O43" i="9" s="1"/>
  <c r="M42" i="9"/>
  <c r="N42" i="9" s="1"/>
  <c r="E39" i="9"/>
  <c r="J39" i="9" s="1"/>
  <c r="M35" i="9"/>
  <c r="C31" i="9"/>
  <c r="G31" i="9" s="1"/>
  <c r="C30" i="9"/>
  <c r="G30" i="9" s="1"/>
  <c r="M27" i="9"/>
  <c r="AB25" i="9"/>
  <c r="E25" i="9"/>
  <c r="C24" i="9"/>
  <c r="G24" i="9" s="1"/>
  <c r="E23" i="9"/>
  <c r="U18" i="9"/>
  <c r="C17" i="9"/>
  <c r="G17" i="9" s="1"/>
  <c r="AB15" i="9"/>
  <c r="AC15" i="9" s="1"/>
  <c r="U14" i="9"/>
  <c r="E14" i="9"/>
  <c r="F14" i="9" s="1"/>
  <c r="W13" i="9"/>
  <c r="E13" i="9"/>
  <c r="V10" i="9"/>
  <c r="V11" i="9"/>
  <c r="Y13" i="9"/>
  <c r="M14" i="9"/>
  <c r="N14" i="9" s="1"/>
  <c r="C15" i="9"/>
  <c r="G15" i="9" s="1"/>
  <c r="E16" i="9"/>
  <c r="F16" i="9" s="1"/>
  <c r="E17" i="9"/>
  <c r="F17" i="9" s="1"/>
  <c r="E18" i="9"/>
  <c r="F18" i="9" s="1"/>
  <c r="H20" i="9"/>
  <c r="C26" i="9"/>
  <c r="G26" i="9" s="1"/>
  <c r="M28" i="9"/>
  <c r="R28" i="9" s="1"/>
  <c r="M30" i="9"/>
  <c r="R30" i="9" s="1"/>
  <c r="H32" i="9"/>
  <c r="K34" i="9"/>
  <c r="O34" i="9" s="1"/>
  <c r="C39" i="9"/>
  <c r="G39" i="9" s="1"/>
  <c r="Q11" i="8"/>
  <c r="I15" i="8"/>
  <c r="I20" i="8"/>
  <c r="Q20" i="8"/>
  <c r="Q22" i="8"/>
  <c r="Z25" i="8"/>
  <c r="Y25" i="9"/>
  <c r="Z25" i="9" s="1"/>
  <c r="F34" i="8"/>
  <c r="E34" i="9"/>
  <c r="Z28" i="8"/>
  <c r="K34" i="8"/>
  <c r="F39" i="8"/>
  <c r="C10" i="9"/>
  <c r="G10" i="9" s="1"/>
  <c r="U10" i="9"/>
  <c r="E11" i="9"/>
  <c r="W11" i="9"/>
  <c r="J13" i="9"/>
  <c r="R15" i="9"/>
  <c r="I16" i="9"/>
  <c r="K17" i="9"/>
  <c r="O17" i="9" s="1"/>
  <c r="K19" i="9"/>
  <c r="K41" i="9"/>
  <c r="O41" i="9" s="1"/>
  <c r="C28" i="10"/>
  <c r="G26" i="10"/>
  <c r="AA27" i="8"/>
  <c r="X27" i="9"/>
  <c r="AA27" i="9" s="1"/>
  <c r="Y10" i="9"/>
  <c r="AC10" i="9" s="1"/>
  <c r="AB11" i="9"/>
  <c r="AC11" i="9" s="1"/>
  <c r="R13" i="9"/>
  <c r="W14" i="9"/>
  <c r="U16" i="9"/>
  <c r="V17" i="9"/>
  <c r="E21" i="9"/>
  <c r="E22" i="9"/>
  <c r="M25" i="9"/>
  <c r="U26" i="9"/>
  <c r="AB27" i="9"/>
  <c r="M29" i="9"/>
  <c r="K31" i="9"/>
  <c r="O31" i="9" s="1"/>
  <c r="C36" i="9"/>
  <c r="E40" i="9"/>
  <c r="H10" i="9"/>
  <c r="J10" i="9" s="1"/>
  <c r="P17" i="9"/>
  <c r="Q17" i="9" s="1"/>
  <c r="P26" i="9"/>
  <c r="P31" i="9"/>
  <c r="P31" i="11" s="1"/>
  <c r="P40" i="9"/>
  <c r="P47" i="9"/>
  <c r="H30" i="9"/>
  <c r="J30" i="9" s="1"/>
  <c r="E32" i="9"/>
  <c r="F32" i="9" s="1"/>
  <c r="H33" i="9"/>
  <c r="H45" i="9"/>
  <c r="J28" i="8"/>
  <c r="H12" i="9"/>
  <c r="J12" i="9" s="1"/>
  <c r="H15" i="9"/>
  <c r="J15" i="9" s="1"/>
  <c r="H17" i="9"/>
  <c r="I17" i="9" s="1"/>
  <c r="P22" i="9"/>
  <c r="Q22" i="9" s="1"/>
  <c r="H26" i="9"/>
  <c r="H29" i="9"/>
  <c r="H31" i="9"/>
  <c r="H31" i="11" s="1"/>
  <c r="H37" i="9"/>
  <c r="P39" i="9"/>
  <c r="R39" i="9" s="1"/>
  <c r="Q18" i="9"/>
  <c r="H22" i="9"/>
  <c r="H35" i="9"/>
  <c r="P44" i="9"/>
  <c r="E20" i="10"/>
  <c r="C10" i="10"/>
  <c r="I10" i="10"/>
  <c r="K10" i="10"/>
  <c r="M20" i="10"/>
  <c r="K19" i="10"/>
  <c r="K24" i="10" s="1"/>
  <c r="M24" i="10"/>
  <c r="J31" i="10"/>
  <c r="H32" i="10"/>
  <c r="J32" i="10" s="1"/>
  <c r="R31" i="10"/>
  <c r="P32" i="10"/>
  <c r="J38" i="10"/>
  <c r="R38" i="10"/>
  <c r="J39" i="10"/>
  <c r="R39" i="10"/>
  <c r="Q39" i="10"/>
  <c r="AC10" i="10"/>
  <c r="X10" i="10"/>
  <c r="Z10" i="10" s="1"/>
  <c r="V19" i="10"/>
  <c r="V21" i="10" s="1"/>
  <c r="V30" i="10" s="1"/>
  <c r="W40" i="7" s="1"/>
  <c r="U11" i="10"/>
  <c r="C19" i="10"/>
  <c r="C19" i="11" s="1"/>
  <c r="I19" i="10"/>
  <c r="E24" i="10"/>
  <c r="AC28" i="10"/>
  <c r="Z28" i="10"/>
  <c r="X28" i="10"/>
  <c r="AA28" i="10" s="1"/>
  <c r="P24" i="10"/>
  <c r="R19" i="10"/>
  <c r="R10" i="10"/>
  <c r="Q10" i="10"/>
  <c r="P20" i="10"/>
  <c r="Q38" i="10" s="1"/>
  <c r="AC11" i="10"/>
  <c r="X11" i="10"/>
  <c r="Y19" i="10"/>
  <c r="U16" i="10"/>
  <c r="U17" i="10" s="1"/>
  <c r="V17" i="10"/>
  <c r="H24" i="10"/>
  <c r="E32" i="10"/>
  <c r="E34" i="10" s="1"/>
  <c r="C31" i="10"/>
  <c r="G31" i="10" s="1"/>
  <c r="I31" i="10" s="1"/>
  <c r="M32" i="10"/>
  <c r="M34" i="10" s="1"/>
  <c r="C39" i="10"/>
  <c r="G39" i="10" s="1"/>
  <c r="I39" i="10" s="1"/>
  <c r="X16" i="10"/>
  <c r="Y17" i="10"/>
  <c r="AC16" i="10"/>
  <c r="U10" i="10"/>
  <c r="U28" i="10"/>
  <c r="G28" i="10"/>
  <c r="C32" i="10"/>
  <c r="AA23" i="10"/>
  <c r="AA25" i="10"/>
  <c r="W7" i="10"/>
  <c r="AB7" i="10" s="1"/>
  <c r="G30" i="10"/>
  <c r="K31" i="10"/>
  <c r="F10" i="9"/>
  <c r="N10" i="9"/>
  <c r="J14" i="9"/>
  <c r="R14" i="9"/>
  <c r="I15" i="9"/>
  <c r="Q15" i="9"/>
  <c r="AA15" i="9"/>
  <c r="AA16" i="9"/>
  <c r="L21" i="9"/>
  <c r="L22" i="9"/>
  <c r="F26" i="9"/>
  <c r="N26" i="9"/>
  <c r="F28" i="9"/>
  <c r="N28" i="9"/>
  <c r="J31" i="9"/>
  <c r="R31" i="9"/>
  <c r="J32" i="9"/>
  <c r="R32" i="9"/>
  <c r="F34" i="9"/>
  <c r="N34" i="9"/>
  <c r="F38" i="9"/>
  <c r="N38" i="9"/>
  <c r="F39" i="9"/>
  <c r="N39" i="9"/>
  <c r="J42" i="9"/>
  <c r="R42" i="9"/>
  <c r="F46" i="9"/>
  <c r="N46" i="9"/>
  <c r="I18" i="9"/>
  <c r="I19" i="9"/>
  <c r="I20" i="9"/>
  <c r="Q20" i="9"/>
  <c r="L24" i="9"/>
  <c r="L30" i="9"/>
  <c r="AI7" i="9"/>
  <c r="AI8" i="9" s="1"/>
  <c r="Z10" i="9"/>
  <c r="J16" i="9"/>
  <c r="J17" i="9"/>
  <c r="J18" i="9"/>
  <c r="J19" i="9"/>
  <c r="J20" i="9"/>
  <c r="R20" i="9"/>
  <c r="L31" i="9"/>
  <c r="L32" i="9"/>
  <c r="L36" i="9"/>
  <c r="L41" i="9"/>
  <c r="L42" i="9"/>
  <c r="L43" i="9"/>
  <c r="F13" i="9"/>
  <c r="N13" i="9"/>
  <c r="F24" i="9"/>
  <c r="I26" i="9"/>
  <c r="Q26" i="9"/>
  <c r="I28" i="9"/>
  <c r="Q28" i="9"/>
  <c r="F30" i="9"/>
  <c r="N30" i="9"/>
  <c r="Q34" i="9"/>
  <c r="I38" i="9"/>
  <c r="Q38" i="9"/>
  <c r="I39" i="9"/>
  <c r="Q39" i="9"/>
  <c r="I45" i="9"/>
  <c r="Q45" i="9"/>
  <c r="I46" i="9"/>
  <c r="Q46" i="9"/>
  <c r="L16" i="9"/>
  <c r="L17" i="9"/>
  <c r="L18" i="9"/>
  <c r="L19" i="9"/>
  <c r="L20" i="9"/>
  <c r="Q21" i="9"/>
  <c r="I27" i="9"/>
  <c r="Q27" i="9"/>
  <c r="I13" i="9"/>
  <c r="Q13" i="9"/>
  <c r="Y19" i="9"/>
  <c r="I30" i="9"/>
  <c r="Q30" i="9"/>
  <c r="L38" i="9"/>
  <c r="L39" i="9"/>
  <c r="L45" i="9"/>
  <c r="L46" i="9"/>
  <c r="I31" i="9"/>
  <c r="Q31" i="9"/>
  <c r="I32" i="9"/>
  <c r="Q32" i="9"/>
  <c r="I42" i="9"/>
  <c r="Q42" i="9"/>
  <c r="AC17" i="8"/>
  <c r="Y19" i="8"/>
  <c r="E36" i="8"/>
  <c r="E36" i="9" s="1"/>
  <c r="F24" i="8"/>
  <c r="AB21" i="8"/>
  <c r="AB21" i="9" s="1"/>
  <c r="AB30" i="9" s="1"/>
  <c r="AC19" i="8"/>
  <c r="Z13" i="8"/>
  <c r="X17" i="8"/>
  <c r="AC25" i="8"/>
  <c r="L27" i="8"/>
  <c r="I28" i="8"/>
  <c r="Q28" i="8"/>
  <c r="H34" i="8"/>
  <c r="H34" i="9" s="1"/>
  <c r="I34" i="9" s="1"/>
  <c r="P34" i="8"/>
  <c r="P34" i="9" s="1"/>
  <c r="N42" i="8"/>
  <c r="Q45" i="8"/>
  <c r="K7" i="8"/>
  <c r="D19" i="8"/>
  <c r="I22" i="8"/>
  <c r="H24" i="8"/>
  <c r="H24" i="9" s="1"/>
  <c r="J24" i="9" s="1"/>
  <c r="P24" i="8"/>
  <c r="P24" i="9" s="1"/>
  <c r="Q24" i="9" s="1"/>
  <c r="D26" i="8"/>
  <c r="Q26" i="8"/>
  <c r="N27" i="8"/>
  <c r="I30" i="8"/>
  <c r="D31" i="8"/>
  <c r="Q31" i="8"/>
  <c r="I32" i="8"/>
  <c r="Q32" i="8"/>
  <c r="L38" i="8"/>
  <c r="I39" i="8"/>
  <c r="D42" i="8"/>
  <c r="I45" i="8"/>
  <c r="F26" i="8"/>
  <c r="F31" i="8"/>
  <c r="N38" i="8"/>
  <c r="D41" i="8"/>
  <c r="L41" i="8"/>
  <c r="F42" i="8"/>
  <c r="Q42" i="8"/>
  <c r="F46" i="8"/>
  <c r="D27" i="8"/>
  <c r="Q27" i="8"/>
  <c r="D28" i="8"/>
  <c r="L28" i="8"/>
  <c r="L30" i="8"/>
  <c r="D38" i="8"/>
  <c r="L39" i="8"/>
  <c r="I46" i="8"/>
  <c r="L22" i="8"/>
  <c r="C24" i="8"/>
  <c r="C27" i="9" s="1"/>
  <c r="G27" i="9" s="1"/>
  <c r="K24" i="8"/>
  <c r="K27" i="9" s="1"/>
  <c r="O27" i="9" s="1"/>
  <c r="I26" i="8"/>
  <c r="F27" i="8"/>
  <c r="N30" i="8"/>
  <c r="I31" i="8"/>
  <c r="D32" i="8"/>
  <c r="L32" i="8"/>
  <c r="D34" i="8"/>
  <c r="L34" i="8"/>
  <c r="D36" i="8"/>
  <c r="L36" i="8"/>
  <c r="F38" i="8"/>
  <c r="Q38" i="8"/>
  <c r="I42" i="8"/>
  <c r="L45" i="8"/>
  <c r="N46" i="8"/>
  <c r="Z11" i="8"/>
  <c r="F28" i="8"/>
  <c r="N28" i="8"/>
  <c r="N39" i="8"/>
  <c r="D43" i="8"/>
  <c r="L43" i="8"/>
  <c r="D45" i="8"/>
  <c r="AA11" i="8"/>
  <c r="D22" i="8"/>
  <c r="M24" i="8"/>
  <c r="M24" i="9" s="1"/>
  <c r="N24" i="9" s="1"/>
  <c r="L26" i="8"/>
  <c r="I27" i="8"/>
  <c r="D30" i="8"/>
  <c r="J27" i="7"/>
  <c r="E20" i="7"/>
  <c r="F10" i="7" s="1"/>
  <c r="M20" i="7"/>
  <c r="N10" i="7" s="1"/>
  <c r="G12" i="7"/>
  <c r="O12" i="7"/>
  <c r="G22" i="7"/>
  <c r="O22" i="7"/>
  <c r="G39" i="7"/>
  <c r="O39" i="7"/>
  <c r="F42" i="7"/>
  <c r="F31" i="7"/>
  <c r="G13" i="7"/>
  <c r="O15" i="7"/>
  <c r="J30" i="7"/>
  <c r="H32" i="7"/>
  <c r="R30" i="7"/>
  <c r="P32" i="7"/>
  <c r="G46" i="7"/>
  <c r="O46" i="7"/>
  <c r="R11" i="7"/>
  <c r="R27" i="7"/>
  <c r="Q27" i="7"/>
  <c r="G11" i="7"/>
  <c r="O11" i="7"/>
  <c r="F12" i="7"/>
  <c r="F22" i="7"/>
  <c r="G26" i="7"/>
  <c r="C28" i="7"/>
  <c r="O26" i="7"/>
  <c r="K28" i="7"/>
  <c r="G27" i="7"/>
  <c r="O27" i="7"/>
  <c r="J31" i="7"/>
  <c r="R31" i="7"/>
  <c r="J38" i="7"/>
  <c r="R38" i="7"/>
  <c r="F39" i="7"/>
  <c r="O13" i="7"/>
  <c r="J10" i="7"/>
  <c r="H20" i="7"/>
  <c r="I38" i="7" s="1"/>
  <c r="R10" i="7"/>
  <c r="P20" i="7"/>
  <c r="Q11" i="7" s="1"/>
  <c r="Q10" i="7"/>
  <c r="G15" i="7"/>
  <c r="J42" i="7"/>
  <c r="R42" i="7"/>
  <c r="F46" i="7"/>
  <c r="N46" i="7"/>
  <c r="J15" i="7"/>
  <c r="F38" i="7"/>
  <c r="F11" i="7"/>
  <c r="R13" i="7"/>
  <c r="R15" i="7"/>
  <c r="F26" i="7"/>
  <c r="E28" i="7"/>
  <c r="N26" i="7"/>
  <c r="M28" i="7"/>
  <c r="F27" i="7"/>
  <c r="C32" i="7"/>
  <c r="G30" i="7"/>
  <c r="K32" i="7"/>
  <c r="O30" i="7"/>
  <c r="H28" i="7"/>
  <c r="J26" i="7"/>
  <c r="N31" i="7"/>
  <c r="J12" i="7"/>
  <c r="Q12" i="7"/>
  <c r="R12" i="7"/>
  <c r="J13" i="7"/>
  <c r="I22" i="7"/>
  <c r="J22" i="7"/>
  <c r="Q22" i="7"/>
  <c r="R22" i="7"/>
  <c r="G31" i="7"/>
  <c r="O31" i="7"/>
  <c r="G38" i="7"/>
  <c r="O38" i="7"/>
  <c r="J39" i="7"/>
  <c r="Q39" i="7"/>
  <c r="R39" i="7"/>
  <c r="J11" i="7"/>
  <c r="P28" i="7"/>
  <c r="R26" i="7"/>
  <c r="Q26" i="7"/>
  <c r="G10" i="7"/>
  <c r="C20" i="7"/>
  <c r="D39" i="7" s="1"/>
  <c r="K20" i="7"/>
  <c r="O10" i="7"/>
  <c r="E32" i="7"/>
  <c r="F32" i="7" s="1"/>
  <c r="F30" i="7"/>
  <c r="N30" i="7"/>
  <c r="M32" i="7"/>
  <c r="N32" i="7" s="1"/>
  <c r="D42" i="7"/>
  <c r="G42" i="7"/>
  <c r="O42" i="7"/>
  <c r="J46" i="7"/>
  <c r="Q46" i="7"/>
  <c r="R46" i="7"/>
  <c r="W41" i="7"/>
  <c r="W42" i="7" s="1"/>
  <c r="V38" i="7"/>
  <c r="X38" i="7" s="1"/>
  <c r="AB30" i="7"/>
  <c r="AA17" i="7"/>
  <c r="AC21" i="7"/>
  <c r="AA13" i="7"/>
  <c r="AA15" i="7"/>
  <c r="AA16" i="7"/>
  <c r="AB25" i="7"/>
  <c r="X7" i="7"/>
  <c r="AC7" i="7" s="1"/>
  <c r="AB13" i="7"/>
  <c r="AD17" i="7"/>
  <c r="Y19" i="7"/>
  <c r="AA28" i="7"/>
  <c r="AD13" i="7"/>
  <c r="Z19" i="7"/>
  <c r="AD19" i="7" s="1"/>
  <c r="AA11" i="7"/>
  <c r="W7" i="6"/>
  <c r="Z7" i="6" s="1"/>
  <c r="AC11" i="6"/>
  <c r="AB15" i="6"/>
  <c r="AI12" i="11" s="1"/>
  <c r="T19" i="6"/>
  <c r="AB25" i="6"/>
  <c r="T11" i="6"/>
  <c r="AB16" i="6"/>
  <c r="T29" i="6"/>
  <c r="AB11" i="6"/>
  <c r="AE11" i="6"/>
  <c r="O13" i="6"/>
  <c r="G39" i="6"/>
  <c r="AB10" i="6"/>
  <c r="T26" i="6"/>
  <c r="H32" i="5"/>
  <c r="J30" i="5"/>
  <c r="J13" i="5"/>
  <c r="H20" i="5"/>
  <c r="R13" i="5"/>
  <c r="G26" i="5"/>
  <c r="C28" i="5"/>
  <c r="O26" i="5"/>
  <c r="K28" i="5"/>
  <c r="G27" i="5"/>
  <c r="O27" i="5"/>
  <c r="R31" i="5"/>
  <c r="J39" i="5"/>
  <c r="O46" i="5"/>
  <c r="M32" i="5"/>
  <c r="O42" i="5"/>
  <c r="J22" i="5"/>
  <c r="I22" i="5"/>
  <c r="I20" i="5"/>
  <c r="R22" i="5"/>
  <c r="E28" i="5"/>
  <c r="M28" i="5"/>
  <c r="M34" i="5" s="1"/>
  <c r="J31" i="5"/>
  <c r="R38" i="5"/>
  <c r="G46" i="5"/>
  <c r="R39" i="5"/>
  <c r="G13" i="5"/>
  <c r="K20" i="5"/>
  <c r="L26" i="5" s="1"/>
  <c r="O13" i="5"/>
  <c r="E32" i="5"/>
  <c r="J38" i="5"/>
  <c r="I38" i="5"/>
  <c r="G42" i="5"/>
  <c r="M20" i="5"/>
  <c r="P32" i="5"/>
  <c r="R30" i="5"/>
  <c r="C20" i="5"/>
  <c r="D27" i="5" s="1"/>
  <c r="G10" i="5"/>
  <c r="E20" i="5"/>
  <c r="G22" i="5"/>
  <c r="O22" i="5"/>
  <c r="H28" i="5"/>
  <c r="I26" i="5"/>
  <c r="J26" i="5"/>
  <c r="P28" i="5"/>
  <c r="R26" i="5"/>
  <c r="I27" i="5"/>
  <c r="J27" i="5"/>
  <c r="Q27" i="5"/>
  <c r="R27" i="5"/>
  <c r="L32" i="5"/>
  <c r="G32" i="5"/>
  <c r="O32" i="5"/>
  <c r="P20" i="5"/>
  <c r="Q13" i="5" s="1"/>
  <c r="V17" i="4"/>
  <c r="X17" i="6" s="1"/>
  <c r="AH14" i="11" s="1"/>
  <c r="R18" i="4"/>
  <c r="AA27" i="4"/>
  <c r="O38" i="4"/>
  <c r="O46" i="4"/>
  <c r="AA11" i="4"/>
  <c r="W17" i="4"/>
  <c r="Y17" i="6" s="1"/>
  <c r="G15" i="4"/>
  <c r="O15" i="4"/>
  <c r="O16" i="4"/>
  <c r="Z27" i="4"/>
  <c r="AA28" i="4"/>
  <c r="E32" i="4"/>
  <c r="M32" i="4"/>
  <c r="H20" i="4"/>
  <c r="I10" i="4" s="1"/>
  <c r="J10" i="4"/>
  <c r="AC15" i="4"/>
  <c r="R22" i="4"/>
  <c r="O31" i="4"/>
  <c r="G38" i="4"/>
  <c r="G46" i="4"/>
  <c r="Z11" i="4"/>
  <c r="X17" i="4"/>
  <c r="AA13" i="4"/>
  <c r="Z13" i="4"/>
  <c r="G16" i="4"/>
  <c r="G17" i="4"/>
  <c r="O17" i="4"/>
  <c r="AC23" i="4"/>
  <c r="J26" i="4"/>
  <c r="H28" i="4"/>
  <c r="R26" i="4"/>
  <c r="P28" i="4"/>
  <c r="J27" i="4"/>
  <c r="I27" i="4"/>
  <c r="R27" i="4"/>
  <c r="Z28" i="4"/>
  <c r="O14" i="4"/>
  <c r="G31" i="4"/>
  <c r="G42" i="4"/>
  <c r="G10" i="4"/>
  <c r="C20" i="4"/>
  <c r="D46" i="4" s="1"/>
  <c r="O10" i="4"/>
  <c r="K20" i="4"/>
  <c r="L46" i="4" s="1"/>
  <c r="J11" i="4"/>
  <c r="I11" i="4"/>
  <c r="R11" i="4"/>
  <c r="Y17" i="4"/>
  <c r="AA14" i="4"/>
  <c r="Z14" i="4"/>
  <c r="G18" i="4"/>
  <c r="D18" i="4"/>
  <c r="O18" i="4"/>
  <c r="G19" i="4"/>
  <c r="G22" i="4"/>
  <c r="D22" i="4"/>
  <c r="O22" i="4"/>
  <c r="AC25" i="4"/>
  <c r="J18" i="4"/>
  <c r="I18" i="4"/>
  <c r="Z25" i="4"/>
  <c r="O39" i="4"/>
  <c r="O42" i="4"/>
  <c r="J12" i="4"/>
  <c r="I12" i="4"/>
  <c r="R12" i="4"/>
  <c r="J13" i="4"/>
  <c r="I13" i="4"/>
  <c r="R13" i="4"/>
  <c r="AA15" i="4"/>
  <c r="Z15" i="4"/>
  <c r="AA16" i="4"/>
  <c r="Z16" i="4"/>
  <c r="AC27" i="4"/>
  <c r="J30" i="4"/>
  <c r="H32" i="4"/>
  <c r="I30" i="4"/>
  <c r="R30" i="4"/>
  <c r="P32" i="4"/>
  <c r="P20" i="4"/>
  <c r="Q10" i="4" s="1"/>
  <c r="R10" i="4"/>
  <c r="G14" i="4"/>
  <c r="D14" i="4"/>
  <c r="G39" i="4"/>
  <c r="D39" i="4"/>
  <c r="E20" i="4"/>
  <c r="F13" i="4" s="1"/>
  <c r="M20" i="4"/>
  <c r="N42" i="4" s="1"/>
  <c r="AC11" i="4"/>
  <c r="J14" i="4"/>
  <c r="I14" i="4"/>
  <c r="R14" i="4"/>
  <c r="Q14" i="4"/>
  <c r="N18" i="4"/>
  <c r="C28" i="4"/>
  <c r="D26" i="4"/>
  <c r="G26" i="4"/>
  <c r="K28" i="4"/>
  <c r="L26" i="4"/>
  <c r="O26" i="4"/>
  <c r="D27" i="4"/>
  <c r="G27" i="4"/>
  <c r="L27" i="4"/>
  <c r="O27" i="4"/>
  <c r="AC28" i="4"/>
  <c r="J31" i="4"/>
  <c r="I31" i="4"/>
  <c r="R31" i="4"/>
  <c r="J38" i="4"/>
  <c r="I38" i="4"/>
  <c r="R38" i="4"/>
  <c r="J39" i="4"/>
  <c r="I39" i="4"/>
  <c r="R39" i="4"/>
  <c r="J42" i="4"/>
  <c r="I42" i="4"/>
  <c r="R42" i="4"/>
  <c r="J46" i="4"/>
  <c r="I46" i="4"/>
  <c r="R46" i="4"/>
  <c r="J19" i="4"/>
  <c r="D11" i="4"/>
  <c r="G11" i="4"/>
  <c r="L11" i="4"/>
  <c r="O11" i="4"/>
  <c r="AC13" i="4"/>
  <c r="AB17" i="4"/>
  <c r="I15" i="4"/>
  <c r="J15" i="4"/>
  <c r="R15" i="4"/>
  <c r="I16" i="4"/>
  <c r="J16" i="4"/>
  <c r="Q16" i="4"/>
  <c r="R16" i="4"/>
  <c r="Q19" i="4"/>
  <c r="AA23" i="4"/>
  <c r="W19" i="4"/>
  <c r="W21" i="4" s="1"/>
  <c r="AC16" i="4"/>
  <c r="I20" i="4"/>
  <c r="J22" i="4"/>
  <c r="I22" i="4"/>
  <c r="V19" i="4"/>
  <c r="V21" i="4" s="1"/>
  <c r="V30" i="4" s="1"/>
  <c r="D12" i="4"/>
  <c r="G12" i="4"/>
  <c r="O12" i="4"/>
  <c r="L12" i="4"/>
  <c r="D13" i="4"/>
  <c r="G13" i="4"/>
  <c r="L13" i="4"/>
  <c r="O13" i="4"/>
  <c r="U17" i="4"/>
  <c r="AC14" i="4"/>
  <c r="I17" i="4"/>
  <c r="J17" i="4"/>
  <c r="Q17" i="4"/>
  <c r="R17" i="4"/>
  <c r="Z23" i="4"/>
  <c r="AA25" i="4"/>
  <c r="F26" i="4"/>
  <c r="E28" i="4"/>
  <c r="N26" i="4"/>
  <c r="M28" i="4"/>
  <c r="F27" i="4"/>
  <c r="N27" i="4"/>
  <c r="C32" i="4"/>
  <c r="G30" i="4"/>
  <c r="D30" i="4"/>
  <c r="L30" i="4"/>
  <c r="O30" i="4"/>
  <c r="K32" i="4"/>
  <c r="O31" i="3"/>
  <c r="O10" i="3"/>
  <c r="K20" i="3"/>
  <c r="L10" i="3"/>
  <c r="O22" i="3"/>
  <c r="O16" i="3"/>
  <c r="R10" i="3"/>
  <c r="Z13" i="3"/>
  <c r="G19" i="3"/>
  <c r="D19" i="3"/>
  <c r="R22" i="3"/>
  <c r="R27" i="3"/>
  <c r="G10" i="3"/>
  <c r="C20" i="3"/>
  <c r="D13" i="3" s="1"/>
  <c r="D10" i="3"/>
  <c r="AA13" i="3"/>
  <c r="O15" i="3"/>
  <c r="G22" i="3"/>
  <c r="D22" i="3"/>
  <c r="H28" i="3"/>
  <c r="H28" i="6" s="1"/>
  <c r="J26" i="3"/>
  <c r="G31" i="3"/>
  <c r="K32" i="3"/>
  <c r="G39" i="3"/>
  <c r="G42" i="3"/>
  <c r="J46" i="3"/>
  <c r="AA10" i="3"/>
  <c r="G15" i="3"/>
  <c r="D17" i="3"/>
  <c r="O19" i="3"/>
  <c r="R42" i="3"/>
  <c r="K7" i="3"/>
  <c r="U7" i="3"/>
  <c r="X7" i="3" s="1"/>
  <c r="D11" i="3"/>
  <c r="M32" i="3"/>
  <c r="O46" i="3"/>
  <c r="J38" i="3"/>
  <c r="L13" i="3"/>
  <c r="AA14" i="3"/>
  <c r="Z14" i="3"/>
  <c r="J15" i="3"/>
  <c r="P28" i="3"/>
  <c r="R26" i="3"/>
  <c r="Z27" i="3"/>
  <c r="R31" i="3"/>
  <c r="O38" i="3"/>
  <c r="R39" i="3"/>
  <c r="R19" i="3"/>
  <c r="R38" i="3"/>
  <c r="G16" i="3"/>
  <c r="I20" i="3"/>
  <c r="J31" i="3"/>
  <c r="G38" i="3"/>
  <c r="J39" i="3"/>
  <c r="J42" i="3"/>
  <c r="G13" i="3"/>
  <c r="O13" i="3"/>
  <c r="G17" i="3"/>
  <c r="O17" i="3"/>
  <c r="G26" i="3"/>
  <c r="O26" i="3"/>
  <c r="G27" i="3"/>
  <c r="O27" i="3"/>
  <c r="D39" i="3"/>
  <c r="L39" i="3"/>
  <c r="D42" i="3"/>
  <c r="Z10" i="3"/>
  <c r="H32" i="3"/>
  <c r="P32" i="3"/>
  <c r="H20" i="3"/>
  <c r="P20" i="3"/>
  <c r="D26" i="3"/>
  <c r="I39" i="3"/>
  <c r="Q39" i="3"/>
  <c r="J31" i="11" l="1"/>
  <c r="G19" i="11"/>
  <c r="U19" i="4"/>
  <c r="U21" i="4" s="1"/>
  <c r="U30" i="4" s="1"/>
  <c r="AA30" i="4" s="1"/>
  <c r="W17" i="6"/>
  <c r="W19" i="6" s="1"/>
  <c r="L22" i="4"/>
  <c r="N16" i="4"/>
  <c r="N31" i="4"/>
  <c r="Q31" i="7"/>
  <c r="Z8" i="11"/>
  <c r="I22" i="9"/>
  <c r="I10" i="9"/>
  <c r="I12" i="9"/>
  <c r="F27" i="9"/>
  <c r="J27" i="9"/>
  <c r="I14" i="9"/>
  <c r="AA10" i="9"/>
  <c r="L27" i="9"/>
  <c r="L28" i="9"/>
  <c r="L14" i="9"/>
  <c r="L34" i="9"/>
  <c r="L12" i="9"/>
  <c r="L11" i="9"/>
  <c r="O20" i="9"/>
  <c r="L26" i="9"/>
  <c r="L10" i="9"/>
  <c r="L15" i="9"/>
  <c r="L13" i="9"/>
  <c r="U7" i="9"/>
  <c r="X7" i="9" s="1"/>
  <c r="K7" i="9"/>
  <c r="M27" i="11"/>
  <c r="R17" i="3"/>
  <c r="P17" i="6"/>
  <c r="K12" i="6"/>
  <c r="O12" i="3"/>
  <c r="X9" i="11"/>
  <c r="AG9" i="11"/>
  <c r="AA23" i="3"/>
  <c r="U19" i="3"/>
  <c r="U21" i="3" s="1"/>
  <c r="H46" i="11"/>
  <c r="C28" i="3"/>
  <c r="C26" i="6"/>
  <c r="AA9" i="11"/>
  <c r="J30" i="3"/>
  <c r="H30" i="6"/>
  <c r="R13" i="3"/>
  <c r="P13" i="6"/>
  <c r="AE25" i="6"/>
  <c r="AK20" i="11"/>
  <c r="AB20" i="11"/>
  <c r="O22" i="6"/>
  <c r="K22" i="11"/>
  <c r="E16" i="11"/>
  <c r="Y17" i="3"/>
  <c r="E11" i="11"/>
  <c r="J38" i="6"/>
  <c r="E38" i="11"/>
  <c r="H26" i="11"/>
  <c r="G16" i="6"/>
  <c r="C16" i="11"/>
  <c r="G16" i="11" s="1"/>
  <c r="X17" i="3"/>
  <c r="Z9" i="11"/>
  <c r="AC17" i="4"/>
  <c r="AB17" i="3"/>
  <c r="AD17" i="6"/>
  <c r="L42" i="4"/>
  <c r="N32" i="4"/>
  <c r="Y19" i="6"/>
  <c r="AG15" i="11" s="1"/>
  <c r="AG14" i="11"/>
  <c r="Q26" i="5"/>
  <c r="D38" i="7"/>
  <c r="Q42" i="7"/>
  <c r="N22" i="7"/>
  <c r="Q19" i="10"/>
  <c r="AC27" i="9"/>
  <c r="AK26" i="11"/>
  <c r="F11" i="9"/>
  <c r="J11" i="9"/>
  <c r="AI8" i="11"/>
  <c r="N11" i="9"/>
  <c r="R11" i="9"/>
  <c r="N12" i="9"/>
  <c r="E27" i="11"/>
  <c r="J17" i="3"/>
  <c r="H17" i="6"/>
  <c r="C12" i="6"/>
  <c r="G12" i="3"/>
  <c r="W22" i="11"/>
  <c r="W9" i="11"/>
  <c r="R42" i="11"/>
  <c r="AE28" i="6"/>
  <c r="AA22" i="11"/>
  <c r="AE22" i="11" s="1"/>
  <c r="E18" i="11"/>
  <c r="AB19" i="3"/>
  <c r="AC11" i="3"/>
  <c r="AA21" i="11"/>
  <c r="AE27" i="6"/>
  <c r="E17" i="11"/>
  <c r="J13" i="3"/>
  <c r="H13" i="6"/>
  <c r="Z25" i="3"/>
  <c r="G22" i="6"/>
  <c r="C22" i="11"/>
  <c r="R11" i="3"/>
  <c r="P11" i="6"/>
  <c r="M46" i="11"/>
  <c r="AC23" i="3"/>
  <c r="Z11" i="3"/>
  <c r="J10" i="3"/>
  <c r="H10" i="6"/>
  <c r="W13" i="11"/>
  <c r="W17" i="3"/>
  <c r="W19" i="3" s="1"/>
  <c r="O46" i="6"/>
  <c r="Q38" i="4"/>
  <c r="Q13" i="4"/>
  <c r="D38" i="4"/>
  <c r="N38" i="7"/>
  <c r="N13" i="7"/>
  <c r="AA17" i="8"/>
  <c r="X17" i="9"/>
  <c r="AA17" i="9" s="1"/>
  <c r="U19" i="10"/>
  <c r="R19" i="9"/>
  <c r="M19" i="11"/>
  <c r="O36" i="9"/>
  <c r="R58" i="7" s="1"/>
  <c r="N58" i="7"/>
  <c r="Z14" i="9"/>
  <c r="T6" i="8"/>
  <c r="B6" i="9"/>
  <c r="F15" i="9"/>
  <c r="O30" i="3"/>
  <c r="K30" i="6"/>
  <c r="M26" i="6"/>
  <c r="M28" i="3"/>
  <c r="R16" i="3"/>
  <c r="P16" i="6"/>
  <c r="O11" i="3"/>
  <c r="K11" i="6"/>
  <c r="H42" i="11"/>
  <c r="M20" i="3"/>
  <c r="M10" i="6"/>
  <c r="O10" i="6" s="1"/>
  <c r="Z16" i="3"/>
  <c r="R12" i="3"/>
  <c r="P12" i="6"/>
  <c r="J18" i="3"/>
  <c r="H18" i="6"/>
  <c r="X12" i="11"/>
  <c r="AG12" i="11"/>
  <c r="J11" i="3"/>
  <c r="H11" i="6"/>
  <c r="J46" i="6"/>
  <c r="E46" i="11"/>
  <c r="T22" i="6"/>
  <c r="AE23" i="6"/>
  <c r="AA19" i="11"/>
  <c r="Y12" i="11"/>
  <c r="AH12" i="11"/>
  <c r="AA19" i="6"/>
  <c r="AB9" i="11"/>
  <c r="AK9" i="11"/>
  <c r="M30" i="11"/>
  <c r="K16" i="11"/>
  <c r="O16" i="6"/>
  <c r="X10" i="11"/>
  <c r="AG10" i="11"/>
  <c r="O38" i="6"/>
  <c r="I17" i="3"/>
  <c r="H20" i="6"/>
  <c r="Q42" i="4"/>
  <c r="Y19" i="4"/>
  <c r="AA17" i="6"/>
  <c r="N27" i="7"/>
  <c r="N11" i="7"/>
  <c r="N12" i="7"/>
  <c r="I24" i="9"/>
  <c r="G32" i="10"/>
  <c r="K19" i="11"/>
  <c r="O19" i="9"/>
  <c r="AC25" i="9"/>
  <c r="AK24" i="11"/>
  <c r="AA30" i="8"/>
  <c r="U30" i="9"/>
  <c r="C30" i="6"/>
  <c r="C32" i="3"/>
  <c r="G30" i="3"/>
  <c r="E26" i="6"/>
  <c r="E28" i="3"/>
  <c r="AE14" i="6"/>
  <c r="AA11" i="11"/>
  <c r="X19" i="6"/>
  <c r="Y9" i="11"/>
  <c r="AH9" i="11"/>
  <c r="Y21" i="11"/>
  <c r="AH21" i="11"/>
  <c r="J16" i="3"/>
  <c r="H16" i="6"/>
  <c r="G11" i="3"/>
  <c r="C11" i="6"/>
  <c r="G11" i="6" s="1"/>
  <c r="P39" i="11"/>
  <c r="AK13" i="11"/>
  <c r="AB13" i="11"/>
  <c r="AD13" i="11" s="1"/>
  <c r="E10" i="11"/>
  <c r="AC16" i="6"/>
  <c r="Z13" i="11"/>
  <c r="AC13" i="11" s="1"/>
  <c r="H12" i="6"/>
  <c r="J12" i="3"/>
  <c r="O11" i="6"/>
  <c r="M11" i="11"/>
  <c r="K18" i="6"/>
  <c r="O18" i="3"/>
  <c r="K10" i="11"/>
  <c r="R42" i="6"/>
  <c r="M42" i="11"/>
  <c r="AK22" i="11"/>
  <c r="AB22" i="11"/>
  <c r="G46" i="3"/>
  <c r="C46" i="6"/>
  <c r="E32" i="3"/>
  <c r="E30" i="6"/>
  <c r="W12" i="11"/>
  <c r="M13" i="11"/>
  <c r="AC27" i="6"/>
  <c r="Z21" i="11"/>
  <c r="N22" i="4"/>
  <c r="AB19" i="4"/>
  <c r="N19" i="4"/>
  <c r="N39" i="7"/>
  <c r="Q30" i="7"/>
  <c r="D12" i="7"/>
  <c r="F22" i="9"/>
  <c r="J22" i="9"/>
  <c r="N27" i="9"/>
  <c r="R27" i="9"/>
  <c r="F19" i="9"/>
  <c r="E19" i="11"/>
  <c r="C64" i="7"/>
  <c r="G43" i="9"/>
  <c r="R34" i="9"/>
  <c r="N32" i="9"/>
  <c r="AB17" i="7"/>
  <c r="Z27" i="9"/>
  <c r="K31" i="11"/>
  <c r="W10" i="11"/>
  <c r="J22" i="3"/>
  <c r="H22" i="6"/>
  <c r="P15" i="6"/>
  <c r="R15" i="3"/>
  <c r="J19" i="3"/>
  <c r="H19" i="6"/>
  <c r="H19" i="11" s="1"/>
  <c r="J19" i="11" s="1"/>
  <c r="I39" i="6"/>
  <c r="H39" i="11"/>
  <c r="AG19" i="11"/>
  <c r="X19" i="11"/>
  <c r="AE15" i="6"/>
  <c r="AK12" i="11"/>
  <c r="AB12" i="11"/>
  <c r="T27" i="6"/>
  <c r="C39" i="11"/>
  <c r="AC15" i="6"/>
  <c r="O42" i="3"/>
  <c r="K42" i="6"/>
  <c r="G18" i="3"/>
  <c r="C18" i="6"/>
  <c r="E20" i="3"/>
  <c r="E15" i="6"/>
  <c r="J15" i="6" s="1"/>
  <c r="G10" i="6"/>
  <c r="C10" i="11"/>
  <c r="J42" i="6"/>
  <c r="E42" i="11"/>
  <c r="O17" i="6"/>
  <c r="K17" i="11"/>
  <c r="X11" i="11"/>
  <c r="AG11" i="11"/>
  <c r="G38" i="6"/>
  <c r="C38" i="11"/>
  <c r="AB28" i="6"/>
  <c r="AI22" i="11" s="1"/>
  <c r="Z22" i="11"/>
  <c r="AD22" i="11" s="1"/>
  <c r="AC28" i="6"/>
  <c r="E13" i="11"/>
  <c r="F17" i="4"/>
  <c r="L14" i="4"/>
  <c r="L16" i="4"/>
  <c r="R24" i="9"/>
  <c r="H34" i="10"/>
  <c r="J34" i="10" s="1"/>
  <c r="O34" i="8"/>
  <c r="K42" i="9"/>
  <c r="O42" i="9" s="1"/>
  <c r="N22" i="9"/>
  <c r="R22" i="9"/>
  <c r="W21" i="8"/>
  <c r="W19" i="9"/>
  <c r="I11" i="9"/>
  <c r="C31" i="11"/>
  <c r="Y22" i="11"/>
  <c r="AH22" i="11"/>
  <c r="AC25" i="6"/>
  <c r="H15" i="11"/>
  <c r="O27" i="6"/>
  <c r="K27" i="11"/>
  <c r="M22" i="11"/>
  <c r="C14" i="6"/>
  <c r="G14" i="3"/>
  <c r="Z15" i="3"/>
  <c r="O39" i="3"/>
  <c r="K39" i="6"/>
  <c r="X13" i="11"/>
  <c r="AG13" i="11"/>
  <c r="Z11" i="11"/>
  <c r="AC14" i="6"/>
  <c r="AB14" i="6"/>
  <c r="AI11" i="11" s="1"/>
  <c r="G42" i="6"/>
  <c r="C42" i="11"/>
  <c r="R39" i="6"/>
  <c r="M39" i="11"/>
  <c r="R27" i="6"/>
  <c r="P27" i="11"/>
  <c r="G17" i="6"/>
  <c r="C17" i="11"/>
  <c r="M14" i="11"/>
  <c r="AA28" i="3"/>
  <c r="K15" i="11"/>
  <c r="O15" i="6"/>
  <c r="R18" i="3"/>
  <c r="P18" i="6"/>
  <c r="I42" i="3"/>
  <c r="W30" i="4"/>
  <c r="W21" i="3"/>
  <c r="W30" i="3" s="1"/>
  <c r="Y21" i="6"/>
  <c r="Q15" i="4"/>
  <c r="F18" i="4"/>
  <c r="N10" i="4"/>
  <c r="C34" i="10"/>
  <c r="G36" i="9"/>
  <c r="C58" i="7"/>
  <c r="J26" i="9"/>
  <c r="R26" i="9"/>
  <c r="Z17" i="9"/>
  <c r="AA13" i="9"/>
  <c r="AA12" i="11" s="1"/>
  <c r="AE12" i="11" s="1"/>
  <c r="Z13" i="9"/>
  <c r="Z12" i="11" s="1"/>
  <c r="W8" i="11"/>
  <c r="F12" i="9"/>
  <c r="AC8" i="11"/>
  <c r="M31" i="11"/>
  <c r="R31" i="11" s="1"/>
  <c r="AG21" i="11"/>
  <c r="X21" i="11"/>
  <c r="AB19" i="11"/>
  <c r="AK19" i="11"/>
  <c r="AE16" i="6"/>
  <c r="AA13" i="11"/>
  <c r="AE13" i="11" s="1"/>
  <c r="I38" i="6"/>
  <c r="H38" i="11"/>
  <c r="G27" i="6"/>
  <c r="C27" i="11"/>
  <c r="E22" i="11"/>
  <c r="P14" i="6"/>
  <c r="R14" i="3"/>
  <c r="P10" i="11"/>
  <c r="R10" i="6"/>
  <c r="AH19" i="11"/>
  <c r="Y19" i="11"/>
  <c r="AC14" i="3"/>
  <c r="X22" i="11"/>
  <c r="AG22" i="11"/>
  <c r="J39" i="6"/>
  <c r="E39" i="11"/>
  <c r="J27" i="3"/>
  <c r="H27" i="6"/>
  <c r="E14" i="11"/>
  <c r="R22" i="6"/>
  <c r="P22" i="11"/>
  <c r="C15" i="11"/>
  <c r="G15" i="6"/>
  <c r="J12" i="6"/>
  <c r="E12" i="11"/>
  <c r="V17" i="3"/>
  <c r="V19" i="3" s="1"/>
  <c r="V21" i="3" s="1"/>
  <c r="V30" i="3" s="1"/>
  <c r="N46" i="4"/>
  <c r="AA17" i="4"/>
  <c r="Z17" i="6"/>
  <c r="F36" i="9"/>
  <c r="E58" i="7"/>
  <c r="J34" i="9"/>
  <c r="V19" i="9"/>
  <c r="V21" i="9" s="1"/>
  <c r="V30" i="9" s="1"/>
  <c r="AA30" i="9" s="1"/>
  <c r="Z15" i="9"/>
  <c r="F31" i="9"/>
  <c r="N15" i="9"/>
  <c r="G13" i="6"/>
  <c r="C13" i="11"/>
  <c r="AB23" i="6"/>
  <c r="AI19" i="11" s="1"/>
  <c r="Z19" i="11"/>
  <c r="AD19" i="11" s="1"/>
  <c r="AC23" i="6"/>
  <c r="AE13" i="6"/>
  <c r="AA10" i="11"/>
  <c r="AE10" i="11" s="1"/>
  <c r="R46" i="3"/>
  <c r="P46" i="6"/>
  <c r="P46" i="11" s="1"/>
  <c r="K28" i="3"/>
  <c r="O28" i="3" s="1"/>
  <c r="K26" i="6"/>
  <c r="J14" i="3"/>
  <c r="H14" i="6"/>
  <c r="R30" i="3"/>
  <c r="P30" i="6"/>
  <c r="N19" i="3"/>
  <c r="AB11" i="11"/>
  <c r="AK11" i="11"/>
  <c r="M16" i="11"/>
  <c r="AC13" i="6"/>
  <c r="AK10" i="11"/>
  <c r="AB10" i="11"/>
  <c r="O14" i="3"/>
  <c r="K14" i="6"/>
  <c r="R38" i="6"/>
  <c r="M38" i="11"/>
  <c r="R38" i="11" s="1"/>
  <c r="P28" i="6"/>
  <c r="P26" i="11"/>
  <c r="Y13" i="11"/>
  <c r="AH13" i="11"/>
  <c r="AB13" i="6"/>
  <c r="AI10" i="11" s="1"/>
  <c r="Z10" i="11"/>
  <c r="AC15" i="3"/>
  <c r="AB21" i="11"/>
  <c r="AC21" i="11" s="1"/>
  <c r="AK21" i="11"/>
  <c r="AB27" i="6"/>
  <c r="AI21" i="11" s="1"/>
  <c r="Y11" i="11"/>
  <c r="AH11" i="11"/>
  <c r="Y10" i="11"/>
  <c r="AH10" i="11"/>
  <c r="AC30" i="10"/>
  <c r="O31" i="10"/>
  <c r="K36" i="10"/>
  <c r="N59" i="7" s="1"/>
  <c r="G34" i="10"/>
  <c r="AC19" i="10"/>
  <c r="X19" i="10"/>
  <c r="AA19" i="10" s="1"/>
  <c r="AA11" i="10"/>
  <c r="R24" i="10"/>
  <c r="Q24" i="10"/>
  <c r="M36" i="10"/>
  <c r="R59" i="7" s="1"/>
  <c r="Z11" i="10"/>
  <c r="AI9" i="11" s="1"/>
  <c r="AA10" i="10"/>
  <c r="K28" i="10"/>
  <c r="O24" i="10"/>
  <c r="U21" i="10"/>
  <c r="U30" i="10" s="1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I32" i="10"/>
  <c r="Q22" i="10"/>
  <c r="Q15" i="10"/>
  <c r="Q46" i="10"/>
  <c r="Q11" i="10"/>
  <c r="Q28" i="10"/>
  <c r="Q26" i="10"/>
  <c r="Q13" i="10"/>
  <c r="Q30" i="10"/>
  <c r="R20" i="10"/>
  <c r="Q20" i="10"/>
  <c r="Q14" i="10"/>
  <c r="Q42" i="10"/>
  <c r="Q27" i="10"/>
  <c r="Q12" i="10"/>
  <c r="Y21" i="10"/>
  <c r="P34" i="10"/>
  <c r="R32" i="10"/>
  <c r="Q32" i="10"/>
  <c r="K20" i="10"/>
  <c r="O10" i="10"/>
  <c r="AC17" i="10"/>
  <c r="H36" i="10"/>
  <c r="J24" i="10"/>
  <c r="E36" i="10"/>
  <c r="E59" i="7" s="1"/>
  <c r="I24" i="10"/>
  <c r="Q31" i="10"/>
  <c r="I34" i="10"/>
  <c r="Z16" i="10"/>
  <c r="AI13" i="11" s="1"/>
  <c r="X17" i="10"/>
  <c r="AA17" i="10" s="1"/>
  <c r="AA16" i="10"/>
  <c r="C20" i="10"/>
  <c r="G10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Y21" i="9"/>
  <c r="Y20" i="11" s="1"/>
  <c r="AC19" i="9"/>
  <c r="M36" i="8"/>
  <c r="M36" i="9" s="1"/>
  <c r="N24" i="8"/>
  <c r="R24" i="8"/>
  <c r="Q24" i="8"/>
  <c r="P36" i="8"/>
  <c r="P36" i="9" s="1"/>
  <c r="Q36" i="9" s="1"/>
  <c r="J34" i="8"/>
  <c r="I34" i="8"/>
  <c r="AB30" i="8"/>
  <c r="K36" i="8"/>
  <c r="K45" i="9" s="1"/>
  <c r="O45" i="9" s="1"/>
  <c r="O24" i="8"/>
  <c r="J24" i="8"/>
  <c r="I24" i="8"/>
  <c r="H36" i="8"/>
  <c r="H36" i="9" s="1"/>
  <c r="I36" i="9" s="1"/>
  <c r="C36" i="8"/>
  <c r="C45" i="9" s="1"/>
  <c r="G45" i="9" s="1"/>
  <c r="G24" i="8"/>
  <c r="F36" i="8"/>
  <c r="E41" i="8"/>
  <c r="E41" i="9" s="1"/>
  <c r="Z17" i="8"/>
  <c r="R34" i="8"/>
  <c r="Q34" i="8"/>
  <c r="Y21" i="8"/>
  <c r="AC21" i="8" s="1"/>
  <c r="X19" i="8"/>
  <c r="K24" i="7"/>
  <c r="O20" i="7"/>
  <c r="L20" i="7"/>
  <c r="I42" i="7"/>
  <c r="C24" i="7"/>
  <c r="G20" i="7"/>
  <c r="D20" i="7"/>
  <c r="J28" i="7"/>
  <c r="I28" i="7"/>
  <c r="H34" i="7"/>
  <c r="D27" i="7"/>
  <c r="D13" i="7"/>
  <c r="J20" i="7"/>
  <c r="I20" i="7"/>
  <c r="H24" i="7"/>
  <c r="L31" i="7"/>
  <c r="M34" i="7"/>
  <c r="N34" i="7" s="1"/>
  <c r="N28" i="7"/>
  <c r="D15" i="7"/>
  <c r="R32" i="7"/>
  <c r="Q32" i="7"/>
  <c r="L22" i="7"/>
  <c r="AB19" i="7"/>
  <c r="Y21" i="7"/>
  <c r="D10" i="7"/>
  <c r="L30" i="7"/>
  <c r="L13" i="7"/>
  <c r="L26" i="7"/>
  <c r="M24" i="7"/>
  <c r="N20" i="7"/>
  <c r="AC30" i="7"/>
  <c r="I39" i="7"/>
  <c r="D31" i="7"/>
  <c r="L32" i="7"/>
  <c r="O32" i="7"/>
  <c r="F28" i="7"/>
  <c r="E34" i="7"/>
  <c r="F34" i="7" s="1"/>
  <c r="K34" i="7"/>
  <c r="O28" i="7"/>
  <c r="L28" i="7"/>
  <c r="I30" i="7"/>
  <c r="N42" i="7"/>
  <c r="D22" i="7"/>
  <c r="I46" i="7"/>
  <c r="I12" i="7"/>
  <c r="R20" i="7"/>
  <c r="Q20" i="7"/>
  <c r="P24" i="7"/>
  <c r="I31" i="7"/>
  <c r="L11" i="7"/>
  <c r="L46" i="7"/>
  <c r="J32" i="7"/>
  <c r="I32" i="7"/>
  <c r="E24" i="7"/>
  <c r="F20" i="7"/>
  <c r="Z21" i="7"/>
  <c r="AA19" i="7"/>
  <c r="L10" i="7"/>
  <c r="R28" i="7"/>
  <c r="Q28" i="7"/>
  <c r="P34" i="7"/>
  <c r="L38" i="7"/>
  <c r="D30" i="7"/>
  <c r="C34" i="7"/>
  <c r="G28" i="7"/>
  <c r="D28" i="7"/>
  <c r="L39" i="7"/>
  <c r="L12" i="7"/>
  <c r="I27" i="7"/>
  <c r="L42" i="7"/>
  <c r="I11" i="7"/>
  <c r="I26" i="7"/>
  <c r="D32" i="7"/>
  <c r="G32" i="7"/>
  <c r="I10" i="7"/>
  <c r="Q38" i="7"/>
  <c r="L27" i="7"/>
  <c r="D26" i="7"/>
  <c r="D11" i="7"/>
  <c r="D46" i="7"/>
  <c r="D42" i="5"/>
  <c r="D13" i="5"/>
  <c r="L18" i="5"/>
  <c r="I28" i="5"/>
  <c r="J28" i="5"/>
  <c r="D16" i="5"/>
  <c r="C24" i="5"/>
  <c r="D20" i="5"/>
  <c r="D14" i="5"/>
  <c r="D30" i="5"/>
  <c r="D11" i="5"/>
  <c r="D17" i="5"/>
  <c r="D15" i="5"/>
  <c r="D38" i="5"/>
  <c r="G20" i="5"/>
  <c r="D12" i="5"/>
  <c r="Q39" i="5"/>
  <c r="E34" i="5"/>
  <c r="F34" i="5" s="1"/>
  <c r="L46" i="5"/>
  <c r="O28" i="5"/>
  <c r="K34" i="5"/>
  <c r="L28" i="5"/>
  <c r="Q46" i="5"/>
  <c r="P24" i="5"/>
  <c r="Q11" i="5"/>
  <c r="Q16" i="5"/>
  <c r="R20" i="5"/>
  <c r="Q15" i="5"/>
  <c r="Q20" i="5"/>
  <c r="Q17" i="5"/>
  <c r="Q12" i="5"/>
  <c r="Q10" i="5"/>
  <c r="Q42" i="5"/>
  <c r="Q14" i="5"/>
  <c r="L22" i="5"/>
  <c r="R32" i="5"/>
  <c r="Q32" i="5"/>
  <c r="Q31" i="5"/>
  <c r="I11" i="5"/>
  <c r="I15" i="5"/>
  <c r="H24" i="5"/>
  <c r="J20" i="5"/>
  <c r="I12" i="5"/>
  <c r="I10" i="5"/>
  <c r="I16" i="5"/>
  <c r="I14" i="5"/>
  <c r="I46" i="5"/>
  <c r="Q30" i="5"/>
  <c r="D46" i="5"/>
  <c r="I13" i="5"/>
  <c r="D22" i="5"/>
  <c r="D18" i="5"/>
  <c r="L17" i="5"/>
  <c r="L38" i="5"/>
  <c r="L31" i="5"/>
  <c r="L20" i="5"/>
  <c r="L15" i="5"/>
  <c r="L12" i="5"/>
  <c r="L10" i="5"/>
  <c r="L39" i="5"/>
  <c r="L16" i="5"/>
  <c r="L14" i="5"/>
  <c r="K24" i="5"/>
  <c r="L30" i="5"/>
  <c r="L19" i="5"/>
  <c r="O20" i="5"/>
  <c r="L11" i="5"/>
  <c r="G28" i="5"/>
  <c r="C34" i="5"/>
  <c r="D28" i="5"/>
  <c r="Q28" i="5"/>
  <c r="P34" i="5"/>
  <c r="R28" i="5"/>
  <c r="F42" i="5"/>
  <c r="F14" i="5"/>
  <c r="F20" i="5"/>
  <c r="F18" i="5"/>
  <c r="F46" i="5"/>
  <c r="F30" i="5"/>
  <c r="F28" i="5"/>
  <c r="F27" i="5"/>
  <c r="F26" i="5"/>
  <c r="F11" i="5"/>
  <c r="F17" i="5"/>
  <c r="F15" i="5"/>
  <c r="F38" i="5"/>
  <c r="F19" i="5"/>
  <c r="F16" i="5"/>
  <c r="F13" i="5"/>
  <c r="F31" i="5"/>
  <c r="E24" i="5"/>
  <c r="F22" i="5"/>
  <c r="F12" i="5"/>
  <c r="F10" i="5"/>
  <c r="F39" i="5"/>
  <c r="F32" i="5"/>
  <c r="N12" i="5"/>
  <c r="N10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M36" i="5" s="1"/>
  <c r="N22" i="5"/>
  <c r="N15" i="5"/>
  <c r="N13" i="5"/>
  <c r="N17" i="5"/>
  <c r="N34" i="5"/>
  <c r="N32" i="5"/>
  <c r="N31" i="5"/>
  <c r="N20" i="5"/>
  <c r="L13" i="5"/>
  <c r="Q38" i="5"/>
  <c r="L27" i="5"/>
  <c r="D26" i="5"/>
  <c r="D32" i="5"/>
  <c r="D10" i="5"/>
  <c r="L42" i="5"/>
  <c r="J32" i="5"/>
  <c r="I32" i="5"/>
  <c r="H34" i="5"/>
  <c r="Y21" i="4"/>
  <c r="Q46" i="4"/>
  <c r="Q39" i="4"/>
  <c r="Q31" i="4"/>
  <c r="F22" i="4"/>
  <c r="D19" i="4"/>
  <c r="N15" i="4"/>
  <c r="I26" i="4"/>
  <c r="F32" i="4"/>
  <c r="G32" i="4"/>
  <c r="D32" i="4"/>
  <c r="F19" i="4"/>
  <c r="AC19" i="4"/>
  <c r="AB21" i="4"/>
  <c r="J32" i="4"/>
  <c r="I32" i="4"/>
  <c r="F15" i="4"/>
  <c r="O20" i="4"/>
  <c r="K24" i="4"/>
  <c r="L20" i="4"/>
  <c r="D31" i="4"/>
  <c r="F42" i="4"/>
  <c r="Q27" i="4"/>
  <c r="H34" i="4"/>
  <c r="J28" i="4"/>
  <c r="I28" i="4"/>
  <c r="M24" i="4"/>
  <c r="N20" i="4"/>
  <c r="N11" i="4"/>
  <c r="L18" i="4"/>
  <c r="L10" i="4"/>
  <c r="N39" i="4"/>
  <c r="N14" i="4"/>
  <c r="N13" i="4"/>
  <c r="L38" i="4"/>
  <c r="L28" i="4"/>
  <c r="K34" i="4"/>
  <c r="O28" i="4"/>
  <c r="F39" i="4"/>
  <c r="F14" i="4"/>
  <c r="O32" i="4"/>
  <c r="L32" i="4"/>
  <c r="M34" i="4"/>
  <c r="N34" i="4" s="1"/>
  <c r="N28" i="4"/>
  <c r="E24" i="4"/>
  <c r="F20" i="4"/>
  <c r="Q20" i="4"/>
  <c r="R20" i="4"/>
  <c r="P24" i="4"/>
  <c r="Z17" i="4"/>
  <c r="G20" i="4"/>
  <c r="C24" i="4"/>
  <c r="D20" i="4"/>
  <c r="N38" i="4"/>
  <c r="L19" i="4"/>
  <c r="J20" i="4"/>
  <c r="H24" i="4"/>
  <c r="N12" i="4"/>
  <c r="F10" i="4"/>
  <c r="Q30" i="4"/>
  <c r="N17" i="4"/>
  <c r="L39" i="4"/>
  <c r="Q11" i="4"/>
  <c r="D10" i="4"/>
  <c r="F11" i="4"/>
  <c r="F38" i="4"/>
  <c r="Q26" i="4"/>
  <c r="L17" i="4"/>
  <c r="L31" i="4"/>
  <c r="N30" i="4"/>
  <c r="L15" i="4"/>
  <c r="F12" i="4"/>
  <c r="Q18" i="4"/>
  <c r="E34" i="4"/>
  <c r="F34" i="4" s="1"/>
  <c r="F28" i="4"/>
  <c r="D28" i="4"/>
  <c r="C34" i="4"/>
  <c r="G28" i="4"/>
  <c r="R32" i="4"/>
  <c r="Q32" i="4"/>
  <c r="P34" i="4"/>
  <c r="R28" i="4"/>
  <c r="Q28" i="4"/>
  <c r="X19" i="4"/>
  <c r="Z19" i="4" s="1"/>
  <c r="Q12" i="4"/>
  <c r="F16" i="4"/>
  <c r="D42" i="4"/>
  <c r="F46" i="4"/>
  <c r="F31" i="4"/>
  <c r="D17" i="4"/>
  <c r="Q22" i="4"/>
  <c r="F30" i="4"/>
  <c r="D15" i="4"/>
  <c r="Q20" i="3"/>
  <c r="Q15" i="3"/>
  <c r="Q30" i="3"/>
  <c r="Q18" i="3"/>
  <c r="Q14" i="3"/>
  <c r="P24" i="3"/>
  <c r="Q12" i="3"/>
  <c r="Q11" i="3"/>
  <c r="R20" i="3"/>
  <c r="Q26" i="3"/>
  <c r="G20" i="3"/>
  <c r="D12" i="3"/>
  <c r="C24" i="3"/>
  <c r="D15" i="3"/>
  <c r="D20" i="3"/>
  <c r="D14" i="3"/>
  <c r="D30" i="3"/>
  <c r="D18" i="3"/>
  <c r="O20" i="3"/>
  <c r="L12" i="3"/>
  <c r="K24" i="3"/>
  <c r="L15" i="3"/>
  <c r="L30" i="3"/>
  <c r="L18" i="3"/>
  <c r="L20" i="3"/>
  <c r="L14" i="3"/>
  <c r="Q46" i="3"/>
  <c r="Q38" i="3"/>
  <c r="Q19" i="3"/>
  <c r="L11" i="3"/>
  <c r="P34" i="3"/>
  <c r="R28" i="3"/>
  <c r="Q28" i="3"/>
  <c r="N32" i="3"/>
  <c r="M34" i="3"/>
  <c r="N34" i="3" s="1"/>
  <c r="D27" i="3"/>
  <c r="O32" i="3"/>
  <c r="L32" i="3"/>
  <c r="K34" i="3"/>
  <c r="L17" i="3"/>
  <c r="L28" i="3"/>
  <c r="L27" i="3"/>
  <c r="D31" i="3"/>
  <c r="Q16" i="3"/>
  <c r="H34" i="3"/>
  <c r="J28" i="3"/>
  <c r="I28" i="3"/>
  <c r="D28" i="3"/>
  <c r="L46" i="3"/>
  <c r="I46" i="3"/>
  <c r="I38" i="3"/>
  <c r="I19" i="3"/>
  <c r="D46" i="3"/>
  <c r="Q31" i="3"/>
  <c r="Q10" i="3"/>
  <c r="I22" i="3"/>
  <c r="Q17" i="3"/>
  <c r="L22" i="3"/>
  <c r="J32" i="3"/>
  <c r="I32" i="3"/>
  <c r="I15" i="3"/>
  <c r="I30" i="3"/>
  <c r="I18" i="3"/>
  <c r="I14" i="3"/>
  <c r="H24" i="3"/>
  <c r="H24" i="6" s="1"/>
  <c r="J20" i="3"/>
  <c r="I11" i="3"/>
  <c r="I26" i="3"/>
  <c r="I12" i="3"/>
  <c r="I27" i="3"/>
  <c r="I31" i="3"/>
  <c r="I10" i="3"/>
  <c r="D32" i="3"/>
  <c r="L38" i="3"/>
  <c r="I16" i="3"/>
  <c r="Q27" i="3"/>
  <c r="Q22" i="3"/>
  <c r="L31" i="3"/>
  <c r="Q42" i="3"/>
  <c r="L26" i="3"/>
  <c r="R32" i="3"/>
  <c r="Q32" i="3"/>
  <c r="L42" i="3"/>
  <c r="D38" i="3"/>
  <c r="D16" i="3"/>
  <c r="Q13" i="3"/>
  <c r="L19" i="3"/>
  <c r="L16" i="3"/>
  <c r="I13" i="3"/>
  <c r="AC12" i="11" l="1"/>
  <c r="AD12" i="11"/>
  <c r="F22" i="11"/>
  <c r="AA30" i="10"/>
  <c r="V40" i="7"/>
  <c r="V41" i="7" s="1"/>
  <c r="V42" i="7" s="1"/>
  <c r="X42" i="7" s="1"/>
  <c r="AD10" i="11"/>
  <c r="AC10" i="11"/>
  <c r="K14" i="11"/>
  <c r="O14" i="6"/>
  <c r="P14" i="11"/>
  <c r="R14" i="6"/>
  <c r="G17" i="11"/>
  <c r="W30" i="8"/>
  <c r="W21" i="9"/>
  <c r="J39" i="11"/>
  <c r="W14" i="11"/>
  <c r="W15" i="11" s="1"/>
  <c r="O13" i="11"/>
  <c r="G32" i="3"/>
  <c r="O16" i="11"/>
  <c r="J42" i="11"/>
  <c r="R26" i="6"/>
  <c r="M26" i="11"/>
  <c r="M28" i="6"/>
  <c r="X19" i="3"/>
  <c r="AA17" i="3"/>
  <c r="R13" i="6"/>
  <c r="P13" i="11"/>
  <c r="G28" i="3"/>
  <c r="C34" i="3"/>
  <c r="K12" i="11"/>
  <c r="O12" i="6"/>
  <c r="Z19" i="8"/>
  <c r="X19" i="9"/>
  <c r="P33" i="6"/>
  <c r="P30" i="11"/>
  <c r="R30" i="6"/>
  <c r="Z14" i="11"/>
  <c r="AC17" i="6"/>
  <c r="R22" i="11"/>
  <c r="W18" i="11"/>
  <c r="R18" i="6"/>
  <c r="P18" i="11"/>
  <c r="Q18" i="6"/>
  <c r="E15" i="11"/>
  <c r="G39" i="11"/>
  <c r="O31" i="11"/>
  <c r="H12" i="11"/>
  <c r="I12" i="6"/>
  <c r="R39" i="11"/>
  <c r="Y15" i="11"/>
  <c r="Y18" i="11" s="1"/>
  <c r="Y23" i="11" s="1"/>
  <c r="C30" i="11"/>
  <c r="G30" i="6"/>
  <c r="C33" i="6"/>
  <c r="I28" i="6"/>
  <c r="I15" i="6"/>
  <c r="I20" i="6"/>
  <c r="I32" i="6"/>
  <c r="M32" i="11"/>
  <c r="J18" i="6"/>
  <c r="H18" i="11"/>
  <c r="I18" i="6"/>
  <c r="I42" i="6"/>
  <c r="O30" i="6"/>
  <c r="K33" i="6"/>
  <c r="G18" i="11"/>
  <c r="F18" i="11"/>
  <c r="AC17" i="3"/>
  <c r="Z17" i="3"/>
  <c r="Y19" i="3"/>
  <c r="J46" i="11"/>
  <c r="R17" i="6"/>
  <c r="P17" i="11"/>
  <c r="AD8" i="11"/>
  <c r="G27" i="11"/>
  <c r="R27" i="11"/>
  <c r="AD11" i="11"/>
  <c r="AC11" i="11"/>
  <c r="C14" i="11"/>
  <c r="G14" i="6"/>
  <c r="G13" i="11"/>
  <c r="F13" i="11"/>
  <c r="F27" i="3"/>
  <c r="F39" i="3"/>
  <c r="F19" i="3"/>
  <c r="F42" i="3"/>
  <c r="F11" i="3"/>
  <c r="F26" i="3"/>
  <c r="E24" i="3"/>
  <c r="F14" i="3"/>
  <c r="F38" i="3"/>
  <c r="F15" i="3"/>
  <c r="F20" i="3"/>
  <c r="F17" i="3"/>
  <c r="F16" i="3"/>
  <c r="F22" i="3"/>
  <c r="F13" i="3"/>
  <c r="F10" i="3"/>
  <c r="F46" i="3"/>
  <c r="F30" i="3"/>
  <c r="F31" i="3"/>
  <c r="F18" i="3"/>
  <c r="F12" i="3"/>
  <c r="E30" i="11"/>
  <c r="T21" i="6"/>
  <c r="C11" i="11"/>
  <c r="C20" i="6"/>
  <c r="X21" i="6"/>
  <c r="AH15" i="11"/>
  <c r="E33" i="6"/>
  <c r="K11" i="11"/>
  <c r="K20" i="6"/>
  <c r="J13" i="6"/>
  <c r="H13" i="11"/>
  <c r="I13" i="6"/>
  <c r="AH20" i="11"/>
  <c r="AA14" i="11"/>
  <c r="AE14" i="11" s="1"/>
  <c r="AE17" i="6"/>
  <c r="H33" i="6"/>
  <c r="H30" i="11"/>
  <c r="J30" i="6"/>
  <c r="I30" i="6"/>
  <c r="I46" i="6"/>
  <c r="N24" i="5"/>
  <c r="X21" i="10"/>
  <c r="Z19" i="10"/>
  <c r="I14" i="6"/>
  <c r="H14" i="11"/>
  <c r="J14" i="6"/>
  <c r="AE19" i="11"/>
  <c r="AC19" i="11"/>
  <c r="O17" i="11"/>
  <c r="G18" i="6"/>
  <c r="C18" i="11"/>
  <c r="F32" i="3"/>
  <c r="AE11" i="11"/>
  <c r="AC9" i="11"/>
  <c r="P12" i="11"/>
  <c r="R12" i="6"/>
  <c r="C12" i="11"/>
  <c r="G12" i="6"/>
  <c r="J26" i="11"/>
  <c r="H28" i="11"/>
  <c r="O22" i="11"/>
  <c r="U30" i="3"/>
  <c r="AA30" i="3" s="1"/>
  <c r="W21" i="6"/>
  <c r="W30" i="6" s="1"/>
  <c r="I24" i="6"/>
  <c r="R26" i="11"/>
  <c r="P28" i="11"/>
  <c r="J27" i="6"/>
  <c r="H27" i="11"/>
  <c r="I27" i="6"/>
  <c r="J38" i="11"/>
  <c r="O27" i="11"/>
  <c r="T32" i="6"/>
  <c r="C46" i="11"/>
  <c r="G46" i="6"/>
  <c r="H16" i="11"/>
  <c r="J16" i="6"/>
  <c r="I16" i="6"/>
  <c r="AK15" i="11"/>
  <c r="P16" i="11"/>
  <c r="R16" i="6"/>
  <c r="AF3" i="9"/>
  <c r="T6" i="9"/>
  <c r="R46" i="6"/>
  <c r="J17" i="6"/>
  <c r="H17" i="11"/>
  <c r="I17" i="6"/>
  <c r="I26" i="6"/>
  <c r="AA15" i="11"/>
  <c r="AE9" i="11"/>
  <c r="AD21" i="6"/>
  <c r="AB21" i="3"/>
  <c r="AB30" i="3" s="1"/>
  <c r="P34" i="6"/>
  <c r="Q34" i="6" s="1"/>
  <c r="K28" i="6"/>
  <c r="O26" i="6"/>
  <c r="J36" i="9"/>
  <c r="J12" i="11"/>
  <c r="F12" i="11"/>
  <c r="Y30" i="6"/>
  <c r="AG18" i="11"/>
  <c r="X18" i="11"/>
  <c r="O15" i="11"/>
  <c r="G31" i="11"/>
  <c r="F42" i="11"/>
  <c r="O42" i="6"/>
  <c r="R15" i="6"/>
  <c r="P15" i="11"/>
  <c r="Q15" i="6"/>
  <c r="O18" i="6"/>
  <c r="K18" i="11"/>
  <c r="L18" i="6"/>
  <c r="E20" i="11"/>
  <c r="E34" i="3"/>
  <c r="F34" i="3" s="1"/>
  <c r="F28" i="3"/>
  <c r="I11" i="6"/>
  <c r="H11" i="11"/>
  <c r="J11" i="6"/>
  <c r="P11" i="11"/>
  <c r="R11" i="6"/>
  <c r="P20" i="6"/>
  <c r="AD9" i="11"/>
  <c r="Z15" i="11"/>
  <c r="F38" i="11"/>
  <c r="AD19" i="6"/>
  <c r="AE19" i="6" s="1"/>
  <c r="F41" i="9"/>
  <c r="P20" i="11"/>
  <c r="Q26" i="11" s="1"/>
  <c r="G42" i="11"/>
  <c r="O39" i="6"/>
  <c r="J22" i="6"/>
  <c r="H22" i="11"/>
  <c r="I22" i="6"/>
  <c r="AD21" i="11"/>
  <c r="AC22" i="11"/>
  <c r="E20" i="6"/>
  <c r="F30" i="6" s="1"/>
  <c r="J26" i="6"/>
  <c r="E26" i="11"/>
  <c r="T13" i="6"/>
  <c r="E28" i="6"/>
  <c r="AB17" i="6"/>
  <c r="AK14" i="11"/>
  <c r="AB14" i="11"/>
  <c r="AB15" i="11" s="1"/>
  <c r="X14" i="11"/>
  <c r="Y14" i="11"/>
  <c r="M20" i="6"/>
  <c r="N10" i="6" s="1"/>
  <c r="M10" i="11"/>
  <c r="R10" i="11" s="1"/>
  <c r="AE21" i="11"/>
  <c r="Z19" i="6"/>
  <c r="AC19" i="6" s="1"/>
  <c r="X15" i="11"/>
  <c r="N36" i="9"/>
  <c r="R36" i="9"/>
  <c r="R46" i="11"/>
  <c r="J15" i="11"/>
  <c r="G38" i="11"/>
  <c r="C20" i="11"/>
  <c r="D13" i="11" s="1"/>
  <c r="G10" i="11"/>
  <c r="M24" i="3"/>
  <c r="N24" i="3" s="1"/>
  <c r="N18" i="3"/>
  <c r="N16" i="3"/>
  <c r="N11" i="3"/>
  <c r="N20" i="3"/>
  <c r="N31" i="3"/>
  <c r="N17" i="3"/>
  <c r="N12" i="3"/>
  <c r="N14" i="3"/>
  <c r="N10" i="3"/>
  <c r="N22" i="3"/>
  <c r="N26" i="3"/>
  <c r="N15" i="3"/>
  <c r="N46" i="3"/>
  <c r="N13" i="3"/>
  <c r="N38" i="3"/>
  <c r="N39" i="3"/>
  <c r="N27" i="3"/>
  <c r="N42" i="3"/>
  <c r="N30" i="3"/>
  <c r="N28" i="3"/>
  <c r="H10" i="11"/>
  <c r="J10" i="6"/>
  <c r="I10" i="6"/>
  <c r="G22" i="11"/>
  <c r="C26" i="11"/>
  <c r="C28" i="6"/>
  <c r="G26" i="6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H41" i="10"/>
  <c r="H45" i="10"/>
  <c r="J36" i="10"/>
  <c r="Y30" i="10"/>
  <c r="AC21" i="10"/>
  <c r="Z21" i="10"/>
  <c r="K32" i="10"/>
  <c r="O28" i="10"/>
  <c r="Z17" i="10"/>
  <c r="X30" i="10"/>
  <c r="AA21" i="10"/>
  <c r="G24" i="10"/>
  <c r="C36" i="10"/>
  <c r="C59" i="7" s="1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M45" i="10"/>
  <c r="M41" i="10"/>
  <c r="M43" i="10" s="1"/>
  <c r="K41" i="10"/>
  <c r="O36" i="10"/>
  <c r="E45" i="10"/>
  <c r="E41" i="10"/>
  <c r="R34" i="10"/>
  <c r="Q34" i="10"/>
  <c r="P36" i="10"/>
  <c r="Z30" i="10"/>
  <c r="Y30" i="9"/>
  <c r="AA21" i="9"/>
  <c r="AA20" i="11" s="1"/>
  <c r="AE20" i="11" s="1"/>
  <c r="AC21" i="9"/>
  <c r="AI20" i="11" s="1"/>
  <c r="G36" i="8"/>
  <c r="C41" i="8"/>
  <c r="Y30" i="8"/>
  <c r="H41" i="8"/>
  <c r="H41" i="9" s="1"/>
  <c r="I41" i="9" s="1"/>
  <c r="J36" i="8"/>
  <c r="I36" i="8"/>
  <c r="P41" i="8"/>
  <c r="P41" i="9" s="1"/>
  <c r="Q41" i="9" s="1"/>
  <c r="R36" i="8"/>
  <c r="Q36" i="8"/>
  <c r="AA19" i="8"/>
  <c r="X21" i="8"/>
  <c r="X21" i="9" s="1"/>
  <c r="Z21" i="9" s="1"/>
  <c r="Z20" i="11" s="1"/>
  <c r="E43" i="8"/>
  <c r="E43" i="9" s="1"/>
  <c r="F41" i="8"/>
  <c r="K41" i="8"/>
  <c r="O36" i="8"/>
  <c r="N36" i="8"/>
  <c r="M41" i="8"/>
  <c r="M41" i="9" s="1"/>
  <c r="AA21" i="7"/>
  <c r="Z30" i="7"/>
  <c r="AD30" i="7" s="1"/>
  <c r="L24" i="7"/>
  <c r="K36" i="7"/>
  <c r="O24" i="7"/>
  <c r="Y30" i="7"/>
  <c r="AB21" i="7"/>
  <c r="E36" i="7"/>
  <c r="F24" i="7"/>
  <c r="L34" i="7"/>
  <c r="O34" i="7"/>
  <c r="J24" i="7"/>
  <c r="I24" i="7"/>
  <c r="H36" i="7"/>
  <c r="D34" i="7"/>
  <c r="G34" i="7"/>
  <c r="R34" i="7"/>
  <c r="Q34" i="7"/>
  <c r="R24" i="7"/>
  <c r="Q24" i="7"/>
  <c r="P36" i="7"/>
  <c r="M36" i="7"/>
  <c r="N24" i="7"/>
  <c r="D24" i="7"/>
  <c r="C36" i="7"/>
  <c r="G24" i="7"/>
  <c r="AD21" i="7"/>
  <c r="J34" i="7"/>
  <c r="I34" i="7"/>
  <c r="E36" i="5"/>
  <c r="R34" i="5"/>
  <c r="Q34" i="5"/>
  <c r="R24" i="5"/>
  <c r="Q24" i="5"/>
  <c r="P36" i="5"/>
  <c r="K36" i="5"/>
  <c r="O24" i="5"/>
  <c r="L24" i="5"/>
  <c r="C36" i="5"/>
  <c r="G24" i="5"/>
  <c r="D24" i="5"/>
  <c r="J34" i="5"/>
  <c r="I34" i="5"/>
  <c r="D34" i="5"/>
  <c r="G34" i="5"/>
  <c r="L34" i="5"/>
  <c r="O34" i="5"/>
  <c r="M41" i="5"/>
  <c r="N36" i="5"/>
  <c r="F24" i="5"/>
  <c r="J24" i="5"/>
  <c r="I24" i="5"/>
  <c r="H36" i="5"/>
  <c r="H36" i="4"/>
  <c r="J24" i="4"/>
  <c r="I24" i="4"/>
  <c r="P36" i="4"/>
  <c r="R24" i="4"/>
  <c r="Q24" i="4"/>
  <c r="J34" i="4"/>
  <c r="I34" i="4"/>
  <c r="Y30" i="4"/>
  <c r="AB30" i="4"/>
  <c r="AC30" i="4" s="1"/>
  <c r="AC21" i="4"/>
  <c r="G34" i="4"/>
  <c r="D34" i="4"/>
  <c r="F24" i="4"/>
  <c r="E36" i="4"/>
  <c r="O34" i="4"/>
  <c r="L34" i="4"/>
  <c r="AA19" i="4"/>
  <c r="X21" i="4"/>
  <c r="Z21" i="6" s="1"/>
  <c r="D24" i="4"/>
  <c r="C36" i="4"/>
  <c r="G24" i="4"/>
  <c r="N24" i="4"/>
  <c r="M36" i="4"/>
  <c r="O24" i="4"/>
  <c r="L24" i="4"/>
  <c r="K36" i="4"/>
  <c r="R34" i="4"/>
  <c r="Q34" i="4"/>
  <c r="P36" i="3"/>
  <c r="Q24" i="3"/>
  <c r="R24" i="3"/>
  <c r="H36" i="3"/>
  <c r="J24" i="3"/>
  <c r="I24" i="3"/>
  <c r="I34" i="3"/>
  <c r="O34" i="3"/>
  <c r="L34" i="3"/>
  <c r="R34" i="3"/>
  <c r="Q34" i="3"/>
  <c r="M36" i="3"/>
  <c r="L24" i="3"/>
  <c r="K36" i="3"/>
  <c r="O24" i="3"/>
  <c r="D24" i="3"/>
  <c r="C36" i="3"/>
  <c r="G24" i="3"/>
  <c r="AD20" i="11" l="1"/>
  <c r="AC20" i="11"/>
  <c r="O26" i="11"/>
  <c r="K28" i="11"/>
  <c r="AC15" i="11"/>
  <c r="AB18" i="11"/>
  <c r="Z21" i="4"/>
  <c r="D22" i="11"/>
  <c r="F26" i="6"/>
  <c r="R15" i="11"/>
  <c r="Q15" i="11"/>
  <c r="O28" i="6"/>
  <c r="L28" i="6"/>
  <c r="R16" i="11"/>
  <c r="Q16" i="11"/>
  <c r="G46" i="11"/>
  <c r="D46" i="11"/>
  <c r="J27" i="11"/>
  <c r="I27" i="11"/>
  <c r="D18" i="11"/>
  <c r="J33" i="6"/>
  <c r="I33" i="6"/>
  <c r="H34" i="6"/>
  <c r="O11" i="11"/>
  <c r="K20" i="11"/>
  <c r="F15" i="11"/>
  <c r="G34" i="3"/>
  <c r="D34" i="3"/>
  <c r="M28" i="11"/>
  <c r="Q46" i="11"/>
  <c r="M20" i="11"/>
  <c r="N10" i="11"/>
  <c r="J28" i="6"/>
  <c r="E34" i="6"/>
  <c r="F28" i="6"/>
  <c r="T20" i="6"/>
  <c r="J22" i="11"/>
  <c r="I20" i="11"/>
  <c r="Q10" i="11"/>
  <c r="AD15" i="11"/>
  <c r="F33" i="6"/>
  <c r="T23" i="6"/>
  <c r="D27" i="11"/>
  <c r="Z19" i="3"/>
  <c r="AC19" i="3"/>
  <c r="Y21" i="3"/>
  <c r="R14" i="11"/>
  <c r="Q14" i="11"/>
  <c r="F43" i="9"/>
  <c r="E64" i="7"/>
  <c r="N16" i="6"/>
  <c r="N27" i="6"/>
  <c r="N33" i="6"/>
  <c r="N11" i="6"/>
  <c r="N13" i="6"/>
  <c r="N15" i="6"/>
  <c r="N18" i="6"/>
  <c r="N17" i="6"/>
  <c r="N32" i="6"/>
  <c r="N38" i="6"/>
  <c r="N46" i="6"/>
  <c r="N14" i="6"/>
  <c r="N22" i="6"/>
  <c r="N30" i="6"/>
  <c r="N39" i="6"/>
  <c r="N20" i="6"/>
  <c r="N12" i="6"/>
  <c r="M24" i="6"/>
  <c r="N42" i="6"/>
  <c r="J17" i="11"/>
  <c r="AB19" i="6"/>
  <c r="AI15" i="11" s="1"/>
  <c r="F24" i="3"/>
  <c r="E36" i="3"/>
  <c r="I12" i="11"/>
  <c r="R18" i="11"/>
  <c r="Q18" i="11"/>
  <c r="R30" i="11"/>
  <c r="Q30" i="11"/>
  <c r="P32" i="11"/>
  <c r="R13" i="11"/>
  <c r="Q13" i="11"/>
  <c r="D15" i="11"/>
  <c r="D10" i="11"/>
  <c r="Q19" i="11"/>
  <c r="R20" i="11"/>
  <c r="Q20" i="11"/>
  <c r="Q42" i="11"/>
  <c r="Q38" i="11"/>
  <c r="P24" i="11"/>
  <c r="Q31" i="11"/>
  <c r="Q12" i="11"/>
  <c r="R12" i="11"/>
  <c r="J34" i="3"/>
  <c r="X30" i="9"/>
  <c r="X20" i="11"/>
  <c r="X23" i="11" s="1"/>
  <c r="AE23" i="11" s="1"/>
  <c r="AG20" i="11"/>
  <c r="H20" i="11"/>
  <c r="I22" i="11" s="1"/>
  <c r="I10" i="11"/>
  <c r="J10" i="11"/>
  <c r="E28" i="11"/>
  <c r="F26" i="11"/>
  <c r="Q39" i="6"/>
  <c r="Q22" i="6"/>
  <c r="R20" i="6"/>
  <c r="Q26" i="6"/>
  <c r="Q20" i="6"/>
  <c r="Q46" i="6"/>
  <c r="Q10" i="6"/>
  <c r="P24" i="6"/>
  <c r="Q11" i="6"/>
  <c r="Q32" i="6"/>
  <c r="Q27" i="6"/>
  <c r="Q42" i="6"/>
  <c r="Q17" i="6"/>
  <c r="Q14" i="6"/>
  <c r="Q16" i="6"/>
  <c r="Q30" i="6"/>
  <c r="Q12" i="6"/>
  <c r="Q38" i="6"/>
  <c r="Q13" i="6"/>
  <c r="F19" i="11"/>
  <c r="F20" i="11"/>
  <c r="F39" i="11"/>
  <c r="F16" i="11"/>
  <c r="F27" i="11"/>
  <c r="F11" i="11"/>
  <c r="E24" i="11"/>
  <c r="F14" i="11"/>
  <c r="F17" i="11"/>
  <c r="F10" i="11"/>
  <c r="F31" i="11"/>
  <c r="AG23" i="11"/>
  <c r="X24" i="11"/>
  <c r="Q28" i="6"/>
  <c r="R28" i="11"/>
  <c r="Q28" i="11"/>
  <c r="F46" i="11"/>
  <c r="X30" i="6"/>
  <c r="AH18" i="11"/>
  <c r="F30" i="11"/>
  <c r="E32" i="11"/>
  <c r="F32" i="11" s="1"/>
  <c r="J18" i="11"/>
  <c r="I18" i="11"/>
  <c r="C34" i="6"/>
  <c r="G33" i="6"/>
  <c r="D33" i="6"/>
  <c r="R33" i="6"/>
  <c r="Q33" i="6"/>
  <c r="G15" i="11"/>
  <c r="D20" i="11"/>
  <c r="C24" i="11"/>
  <c r="D19" i="11"/>
  <c r="G20" i="11"/>
  <c r="J41" i="9"/>
  <c r="J28" i="11"/>
  <c r="I28" i="11"/>
  <c r="D42" i="6"/>
  <c r="D14" i="6"/>
  <c r="D22" i="6"/>
  <c r="D11" i="6"/>
  <c r="C24" i="6"/>
  <c r="D39" i="6"/>
  <c r="D10" i="6"/>
  <c r="D26" i="6"/>
  <c r="D27" i="6"/>
  <c r="D38" i="6"/>
  <c r="D12" i="6"/>
  <c r="G20" i="6"/>
  <c r="D15" i="6"/>
  <c r="D13" i="6"/>
  <c r="D32" i="6"/>
  <c r="D30" i="6"/>
  <c r="D20" i="6"/>
  <c r="G14" i="11"/>
  <c r="D14" i="11"/>
  <c r="Z18" i="11"/>
  <c r="AA19" i="9"/>
  <c r="Z19" i="9"/>
  <c r="W30" i="9"/>
  <c r="W20" i="11"/>
  <c r="W23" i="11" s="1"/>
  <c r="N41" i="9"/>
  <c r="R41" i="9"/>
  <c r="D28" i="6"/>
  <c r="G28" i="6"/>
  <c r="D38" i="11"/>
  <c r="AD14" i="11"/>
  <c r="AC14" i="11"/>
  <c r="F14" i="6"/>
  <c r="F32" i="6"/>
  <c r="F38" i="6"/>
  <c r="F46" i="6"/>
  <c r="F20" i="6"/>
  <c r="F16" i="6"/>
  <c r="F17" i="6"/>
  <c r="F12" i="6"/>
  <c r="F39" i="6"/>
  <c r="E24" i="6"/>
  <c r="F10" i="6"/>
  <c r="F42" i="6"/>
  <c r="F18" i="6"/>
  <c r="F22" i="6"/>
  <c r="F11" i="6"/>
  <c r="F27" i="6"/>
  <c r="F13" i="6"/>
  <c r="D42" i="11"/>
  <c r="R11" i="11"/>
  <c r="Q11" i="11"/>
  <c r="L18" i="11"/>
  <c r="O18" i="11"/>
  <c r="D31" i="11"/>
  <c r="AD30" i="6"/>
  <c r="J16" i="11"/>
  <c r="I16" i="11"/>
  <c r="J13" i="11"/>
  <c r="I13" i="11"/>
  <c r="G11" i="11"/>
  <c r="D11" i="11"/>
  <c r="R17" i="11"/>
  <c r="Q17" i="11"/>
  <c r="N32" i="11"/>
  <c r="C32" i="11"/>
  <c r="D30" i="11"/>
  <c r="G30" i="11"/>
  <c r="D39" i="11"/>
  <c r="Q22" i="11"/>
  <c r="X21" i="3"/>
  <c r="AA19" i="3"/>
  <c r="O14" i="11"/>
  <c r="L14" i="11"/>
  <c r="G26" i="11"/>
  <c r="D26" i="11"/>
  <c r="C28" i="11"/>
  <c r="D46" i="6"/>
  <c r="K34" i="6"/>
  <c r="O33" i="6"/>
  <c r="L33" i="6"/>
  <c r="N28" i="6"/>
  <c r="M34" i="6"/>
  <c r="N34" i="6" s="1"/>
  <c r="R28" i="6"/>
  <c r="D17" i="11"/>
  <c r="AI14" i="11"/>
  <c r="J11" i="11"/>
  <c r="I11" i="11"/>
  <c r="AE15" i="11"/>
  <c r="AA18" i="11"/>
  <c r="W24" i="11"/>
  <c r="AC30" i="6"/>
  <c r="G12" i="11"/>
  <c r="D12" i="11"/>
  <c r="J14" i="11"/>
  <c r="I14" i="11"/>
  <c r="J30" i="11"/>
  <c r="I30" i="11"/>
  <c r="H32" i="11"/>
  <c r="H34" i="11" s="1"/>
  <c r="L42" i="6"/>
  <c r="L46" i="6"/>
  <c r="L13" i="6"/>
  <c r="L22" i="6"/>
  <c r="L12" i="6"/>
  <c r="K24" i="6"/>
  <c r="L27" i="6"/>
  <c r="O20" i="6"/>
  <c r="L10" i="6"/>
  <c r="L17" i="6"/>
  <c r="L30" i="6"/>
  <c r="L39" i="6"/>
  <c r="L20" i="6"/>
  <c r="L38" i="6"/>
  <c r="L14" i="6"/>
  <c r="L26" i="6"/>
  <c r="L11" i="6"/>
  <c r="L16" i="6"/>
  <c r="L32" i="6"/>
  <c r="L15" i="6"/>
  <c r="O10" i="11"/>
  <c r="Q27" i="11"/>
  <c r="J20" i="6"/>
  <c r="Q39" i="11"/>
  <c r="F15" i="6"/>
  <c r="O12" i="11"/>
  <c r="L12" i="11"/>
  <c r="N26" i="6"/>
  <c r="E43" i="10"/>
  <c r="E65" i="7" s="1"/>
  <c r="J45" i="10"/>
  <c r="K30" i="10"/>
  <c r="K30" i="11" s="1"/>
  <c r="O26" i="10"/>
  <c r="H43" i="10"/>
  <c r="J41" i="10"/>
  <c r="O32" i="10"/>
  <c r="K38" i="10"/>
  <c r="K38" i="11" s="1"/>
  <c r="K45" i="10"/>
  <c r="O45" i="10" s="1"/>
  <c r="O41" i="10"/>
  <c r="Q36" i="10"/>
  <c r="P41" i="10"/>
  <c r="P45" i="10"/>
  <c r="R36" i="10"/>
  <c r="C41" i="10"/>
  <c r="C45" i="10"/>
  <c r="G45" i="10" s="1"/>
  <c r="I45" i="10" s="1"/>
  <c r="G36" i="10"/>
  <c r="I36" i="10" s="1"/>
  <c r="Z30" i="9"/>
  <c r="AC30" i="9"/>
  <c r="I41" i="8"/>
  <c r="H43" i="8"/>
  <c r="H43" i="9" s="1"/>
  <c r="I43" i="9" s="1"/>
  <c r="J41" i="8"/>
  <c r="X30" i="8"/>
  <c r="Z30" i="8" s="1"/>
  <c r="AA21" i="8"/>
  <c r="Z21" i="8"/>
  <c r="O41" i="8"/>
  <c r="K43" i="8"/>
  <c r="E45" i="8"/>
  <c r="E45" i="9" s="1"/>
  <c r="F43" i="8"/>
  <c r="Q41" i="8"/>
  <c r="P43" i="8"/>
  <c r="P43" i="9" s="1"/>
  <c r="Q43" i="9" s="1"/>
  <c r="R41" i="8"/>
  <c r="G41" i="8"/>
  <c r="C43" i="8"/>
  <c r="M43" i="8"/>
  <c r="M43" i="9" s="1"/>
  <c r="N41" i="8"/>
  <c r="AC30" i="8"/>
  <c r="M41" i="7"/>
  <c r="R57" i="7"/>
  <c r="R60" i="7" s="1"/>
  <c r="N36" i="7"/>
  <c r="J36" i="7"/>
  <c r="I36" i="7"/>
  <c r="H41" i="7"/>
  <c r="E41" i="7"/>
  <c r="E57" i="7"/>
  <c r="E60" i="7" s="1"/>
  <c r="E61" i="7" s="1"/>
  <c r="F36" i="7"/>
  <c r="R36" i="7"/>
  <c r="Q36" i="7"/>
  <c r="P41" i="7"/>
  <c r="L36" i="7"/>
  <c r="K41" i="7"/>
  <c r="N57" i="7"/>
  <c r="N60" i="7" s="1"/>
  <c r="O36" i="7"/>
  <c r="D36" i="7"/>
  <c r="C41" i="7"/>
  <c r="C57" i="7"/>
  <c r="C60" i="7" s="1"/>
  <c r="C61" i="7" s="1"/>
  <c r="G36" i="7"/>
  <c r="AA30" i="7"/>
  <c r="N45" i="5"/>
  <c r="K41" i="5"/>
  <c r="O36" i="5"/>
  <c r="L36" i="5"/>
  <c r="R36" i="5"/>
  <c r="Q36" i="5"/>
  <c r="P41" i="5"/>
  <c r="M43" i="5"/>
  <c r="N43" i="5" s="1"/>
  <c r="N41" i="5"/>
  <c r="C41" i="5"/>
  <c r="G36" i="5"/>
  <c r="D36" i="5"/>
  <c r="J36" i="5"/>
  <c r="I36" i="5"/>
  <c r="H41" i="5"/>
  <c r="E41" i="5"/>
  <c r="F36" i="5"/>
  <c r="N36" i="4"/>
  <c r="M41" i="4"/>
  <c r="J36" i="4"/>
  <c r="I36" i="4"/>
  <c r="H41" i="4"/>
  <c r="F36" i="4"/>
  <c r="E41" i="4"/>
  <c r="C41" i="4"/>
  <c r="G36" i="4"/>
  <c r="D36" i="4"/>
  <c r="O36" i="4"/>
  <c r="K41" i="4"/>
  <c r="L36" i="4"/>
  <c r="AA21" i="4"/>
  <c r="X30" i="4"/>
  <c r="Z30" i="6" s="1"/>
  <c r="Z24" i="11" s="1"/>
  <c r="R36" i="4"/>
  <c r="Q36" i="4"/>
  <c r="P41" i="4"/>
  <c r="G36" i="3"/>
  <c r="D36" i="3"/>
  <c r="C41" i="3"/>
  <c r="N36" i="3"/>
  <c r="M41" i="3"/>
  <c r="O36" i="3"/>
  <c r="L36" i="3"/>
  <c r="K41" i="3"/>
  <c r="J36" i="3"/>
  <c r="I36" i="3"/>
  <c r="H41" i="3"/>
  <c r="R36" i="3"/>
  <c r="Q36" i="3"/>
  <c r="P41" i="3"/>
  <c r="M45" i="3" l="1"/>
  <c r="E45" i="3"/>
  <c r="K45" i="3"/>
  <c r="P45" i="3"/>
  <c r="C45" i="3"/>
  <c r="I34" i="11"/>
  <c r="AD23" i="11"/>
  <c r="AC23" i="11"/>
  <c r="N43" i="9"/>
  <c r="R43" i="9"/>
  <c r="O30" i="11"/>
  <c r="L30" i="11"/>
  <c r="K32" i="11"/>
  <c r="F24" i="11"/>
  <c r="R32" i="11"/>
  <c r="Q32" i="11"/>
  <c r="F34" i="6"/>
  <c r="T24" i="6"/>
  <c r="L34" i="6"/>
  <c r="O34" i="6"/>
  <c r="X30" i="3"/>
  <c r="AA21" i="3"/>
  <c r="AA24" i="11"/>
  <c r="I17" i="11"/>
  <c r="AB23" i="11"/>
  <c r="AC18" i="11"/>
  <c r="P36" i="6"/>
  <c r="Q24" i="6"/>
  <c r="R24" i="6"/>
  <c r="O38" i="11"/>
  <c r="L38" i="11"/>
  <c r="G28" i="11"/>
  <c r="C34" i="11"/>
  <c r="D28" i="11"/>
  <c r="E34" i="11"/>
  <c r="F34" i="11" s="1"/>
  <c r="F28" i="11"/>
  <c r="AA21" i="6"/>
  <c r="Z21" i="3"/>
  <c r="Y30" i="3"/>
  <c r="N30" i="11"/>
  <c r="N17" i="11"/>
  <c r="N12" i="11"/>
  <c r="N18" i="11"/>
  <c r="N39" i="11"/>
  <c r="N20" i="11"/>
  <c r="N42" i="11"/>
  <c r="N19" i="11"/>
  <c r="N22" i="11"/>
  <c r="N11" i="11"/>
  <c r="M24" i="11"/>
  <c r="N27" i="11"/>
  <c r="N15" i="11"/>
  <c r="N16" i="11"/>
  <c r="N13" i="11"/>
  <c r="N31" i="11"/>
  <c r="N14" i="11"/>
  <c r="N38" i="11"/>
  <c r="N46" i="11"/>
  <c r="K24" i="11"/>
  <c r="L20" i="11"/>
  <c r="L13" i="11"/>
  <c r="O20" i="11"/>
  <c r="L10" i="11"/>
  <c r="L16" i="11"/>
  <c r="L31" i="11"/>
  <c r="L17" i="11"/>
  <c r="L27" i="11"/>
  <c r="L22" i="11"/>
  <c r="L19" i="11"/>
  <c r="L15" i="11"/>
  <c r="L26" i="11"/>
  <c r="I32" i="11"/>
  <c r="J32" i="11"/>
  <c r="T12" i="6"/>
  <c r="G24" i="6"/>
  <c r="C36" i="6"/>
  <c r="D24" i="6"/>
  <c r="AH23" i="11"/>
  <c r="Y24" i="11"/>
  <c r="N24" i="6"/>
  <c r="M36" i="6"/>
  <c r="L11" i="11"/>
  <c r="K34" i="11"/>
  <c r="O28" i="11"/>
  <c r="L28" i="11"/>
  <c r="AA23" i="11"/>
  <c r="AE18" i="11"/>
  <c r="Z23" i="11"/>
  <c r="AD18" i="11"/>
  <c r="R34" i="6"/>
  <c r="J43" i="10"/>
  <c r="O24" i="6"/>
  <c r="K36" i="6"/>
  <c r="L24" i="6"/>
  <c r="D32" i="11"/>
  <c r="G32" i="11"/>
  <c r="D34" i="6"/>
  <c r="G34" i="6"/>
  <c r="P34" i="11"/>
  <c r="J20" i="11"/>
  <c r="H24" i="11"/>
  <c r="I31" i="11"/>
  <c r="I46" i="11"/>
  <c r="I15" i="11"/>
  <c r="I38" i="11"/>
  <c r="I26" i="11"/>
  <c r="I39" i="11"/>
  <c r="I42" i="11"/>
  <c r="R24" i="11"/>
  <c r="Q24" i="11"/>
  <c r="P36" i="11"/>
  <c r="E41" i="3"/>
  <c r="F36" i="3"/>
  <c r="J43" i="9"/>
  <c r="N26" i="11"/>
  <c r="H36" i="6"/>
  <c r="I34" i="6"/>
  <c r="J34" i="6"/>
  <c r="AC21" i="3"/>
  <c r="Z30" i="4"/>
  <c r="J45" i="9"/>
  <c r="F45" i="9"/>
  <c r="F24" i="6"/>
  <c r="E36" i="6"/>
  <c r="J24" i="6"/>
  <c r="D24" i="11"/>
  <c r="G24" i="11"/>
  <c r="C36" i="11"/>
  <c r="N28" i="11"/>
  <c r="M34" i="11"/>
  <c r="N34" i="11" s="1"/>
  <c r="O38" i="10"/>
  <c r="K42" i="10"/>
  <c r="K42" i="11" s="1"/>
  <c r="C43" i="10"/>
  <c r="G41" i="10"/>
  <c r="I41" i="10" s="1"/>
  <c r="R45" i="10"/>
  <c r="Q45" i="10"/>
  <c r="P43" i="10"/>
  <c r="R41" i="10"/>
  <c r="Q41" i="10"/>
  <c r="K34" i="10"/>
  <c r="O30" i="10"/>
  <c r="K45" i="8"/>
  <c r="O45" i="8" s="1"/>
  <c r="O43" i="8"/>
  <c r="J43" i="8"/>
  <c r="I43" i="8"/>
  <c r="C45" i="8"/>
  <c r="G45" i="8" s="1"/>
  <c r="G43" i="8"/>
  <c r="R43" i="8"/>
  <c r="Q43" i="8"/>
  <c r="M45" i="8"/>
  <c r="M45" i="9" s="1"/>
  <c r="N43" i="8"/>
  <c r="J45" i="8"/>
  <c r="F45" i="8"/>
  <c r="G45" i="7"/>
  <c r="D45" i="7"/>
  <c r="Q45" i="7"/>
  <c r="R45" i="7"/>
  <c r="I45" i="7"/>
  <c r="J45" i="7"/>
  <c r="O45" i="7"/>
  <c r="L45" i="7"/>
  <c r="N45" i="7"/>
  <c r="F45" i="7"/>
  <c r="F41" i="7"/>
  <c r="E43" i="7"/>
  <c r="M43" i="7"/>
  <c r="N43" i="7" s="1"/>
  <c r="N41" i="7"/>
  <c r="P43" i="7"/>
  <c r="R41" i="7"/>
  <c r="Q41" i="7"/>
  <c r="D41" i="7"/>
  <c r="C43" i="7"/>
  <c r="G41" i="7"/>
  <c r="H43" i="7"/>
  <c r="J41" i="7"/>
  <c r="I41" i="7"/>
  <c r="L41" i="7"/>
  <c r="K43" i="7"/>
  <c r="O41" i="7"/>
  <c r="D45" i="5"/>
  <c r="G45" i="5"/>
  <c r="F45" i="5"/>
  <c r="L45" i="5"/>
  <c r="O45" i="5"/>
  <c r="R45" i="5"/>
  <c r="Q45" i="5"/>
  <c r="P43" i="5"/>
  <c r="R41" i="5"/>
  <c r="Q41" i="5"/>
  <c r="D41" i="5"/>
  <c r="C43" i="5"/>
  <c r="G41" i="5"/>
  <c r="E43" i="5"/>
  <c r="F43" i="5" s="1"/>
  <c r="F41" i="5"/>
  <c r="H43" i="5"/>
  <c r="J41" i="5"/>
  <c r="I41" i="5"/>
  <c r="I42" i="5" s="1"/>
  <c r="L41" i="5"/>
  <c r="K43" i="5"/>
  <c r="O41" i="5"/>
  <c r="N45" i="4"/>
  <c r="F45" i="4"/>
  <c r="O45" i="4"/>
  <c r="L45" i="4"/>
  <c r="R45" i="4"/>
  <c r="Q45" i="4"/>
  <c r="G45" i="4"/>
  <c r="D45" i="4"/>
  <c r="F41" i="4"/>
  <c r="E43" i="4"/>
  <c r="F43" i="4" s="1"/>
  <c r="O41" i="4"/>
  <c r="K43" i="4"/>
  <c r="L41" i="4"/>
  <c r="R41" i="4"/>
  <c r="Q41" i="4"/>
  <c r="P43" i="4"/>
  <c r="G41" i="4"/>
  <c r="C43" i="4"/>
  <c r="D41" i="4"/>
  <c r="J41" i="4"/>
  <c r="I41" i="4"/>
  <c r="H43" i="4"/>
  <c r="N41" i="4"/>
  <c r="M43" i="4"/>
  <c r="N43" i="4" s="1"/>
  <c r="N41" i="3"/>
  <c r="M43" i="3"/>
  <c r="N43" i="3" s="1"/>
  <c r="J41" i="3"/>
  <c r="I41" i="3"/>
  <c r="H43" i="3"/>
  <c r="G41" i="3"/>
  <c r="D41" i="3"/>
  <c r="C43" i="3"/>
  <c r="R41" i="3"/>
  <c r="Q41" i="3"/>
  <c r="P43" i="3"/>
  <c r="O41" i="3"/>
  <c r="L41" i="3"/>
  <c r="K43" i="3"/>
  <c r="H36" i="11" l="1"/>
  <c r="I24" i="11"/>
  <c r="J24" i="11"/>
  <c r="O36" i="6"/>
  <c r="K41" i="6"/>
  <c r="L36" i="6"/>
  <c r="AB21" i="6"/>
  <c r="AI18" i="11" s="1"/>
  <c r="AK18" i="11"/>
  <c r="AC21" i="6"/>
  <c r="AE21" i="6"/>
  <c r="G43" i="10"/>
  <c r="I43" i="10" s="1"/>
  <c r="C65" i="7"/>
  <c r="F36" i="6"/>
  <c r="E41" i="6"/>
  <c r="T25" i="6"/>
  <c r="H41" i="6"/>
  <c r="I36" i="6"/>
  <c r="J36" i="6"/>
  <c r="C41" i="6"/>
  <c r="G36" i="6"/>
  <c r="D36" i="6"/>
  <c r="E36" i="11"/>
  <c r="R34" i="11"/>
  <c r="Q34" i="11"/>
  <c r="O34" i="11"/>
  <c r="L34" i="11"/>
  <c r="L24" i="11"/>
  <c r="K36" i="11"/>
  <c r="O24" i="11"/>
  <c r="Q36" i="6"/>
  <c r="P41" i="6"/>
  <c r="R36" i="6"/>
  <c r="O32" i="11"/>
  <c r="L32" i="11"/>
  <c r="J34" i="11"/>
  <c r="M36" i="11"/>
  <c r="N36" i="11" s="1"/>
  <c r="N24" i="11"/>
  <c r="C45" i="6"/>
  <c r="G45" i="3"/>
  <c r="D45" i="3"/>
  <c r="M41" i="6"/>
  <c r="N36" i="6"/>
  <c r="D34" i="11"/>
  <c r="G34" i="11"/>
  <c r="P45" i="6"/>
  <c r="R45" i="3"/>
  <c r="Q45" i="3"/>
  <c r="R45" i="9"/>
  <c r="N45" i="9"/>
  <c r="G36" i="11"/>
  <c r="C41" i="11"/>
  <c r="D36" i="11"/>
  <c r="F41" i="3"/>
  <c r="E43" i="3"/>
  <c r="F43" i="3" s="1"/>
  <c r="O45" i="3"/>
  <c r="K45" i="6"/>
  <c r="L45" i="3"/>
  <c r="R36" i="11"/>
  <c r="Q36" i="11"/>
  <c r="AA30" i="6"/>
  <c r="Z30" i="3"/>
  <c r="AC30" i="3"/>
  <c r="E45" i="6"/>
  <c r="F45" i="3"/>
  <c r="O42" i="11"/>
  <c r="L42" i="11"/>
  <c r="M45" i="6"/>
  <c r="N45" i="3"/>
  <c r="O42" i="10"/>
  <c r="K46" i="10"/>
  <c r="R43" i="10"/>
  <c r="Q43" i="10"/>
  <c r="K39" i="10"/>
  <c r="K39" i="11" s="1"/>
  <c r="O34" i="10"/>
  <c r="N45" i="8"/>
  <c r="R45" i="8"/>
  <c r="Q43" i="7"/>
  <c r="R43" i="7"/>
  <c r="O43" i="7"/>
  <c r="L43" i="7"/>
  <c r="I43" i="7"/>
  <c r="J43" i="7"/>
  <c r="G43" i="7"/>
  <c r="C63" i="7"/>
  <c r="D43" i="7"/>
  <c r="E63" i="7"/>
  <c r="F43" i="7"/>
  <c r="J43" i="5"/>
  <c r="I43" i="5"/>
  <c r="R43" i="5"/>
  <c r="Q43" i="5"/>
  <c r="O43" i="5"/>
  <c r="L43" i="5"/>
  <c r="G43" i="5"/>
  <c r="D43" i="5"/>
  <c r="G43" i="4"/>
  <c r="D43" i="4"/>
  <c r="O43" i="4"/>
  <c r="L43" i="4"/>
  <c r="J43" i="4"/>
  <c r="I43" i="4"/>
  <c r="R43" i="4"/>
  <c r="Q43" i="4"/>
  <c r="D43" i="3"/>
  <c r="O43" i="3"/>
  <c r="L43" i="3"/>
  <c r="I43" i="3"/>
  <c r="R43" i="3"/>
  <c r="Q43" i="3"/>
  <c r="H45" i="3" l="1"/>
  <c r="O39" i="11"/>
  <c r="L39" i="11"/>
  <c r="R45" i="6"/>
  <c r="M45" i="11"/>
  <c r="N45" i="11" s="1"/>
  <c r="N45" i="6"/>
  <c r="D41" i="11"/>
  <c r="C43" i="11"/>
  <c r="G41" i="6"/>
  <c r="D41" i="6"/>
  <c r="C43" i="6"/>
  <c r="G43" i="3"/>
  <c r="M41" i="11"/>
  <c r="N41" i="6"/>
  <c r="M43" i="6"/>
  <c r="N43" i="6" s="1"/>
  <c r="H41" i="11"/>
  <c r="J36" i="11"/>
  <c r="I36" i="11"/>
  <c r="O46" i="10"/>
  <c r="K46" i="11"/>
  <c r="O45" i="6"/>
  <c r="K45" i="11"/>
  <c r="L45" i="6"/>
  <c r="J41" i="6"/>
  <c r="I41" i="6"/>
  <c r="H43" i="6"/>
  <c r="E45" i="11"/>
  <c r="F45" i="11" s="1"/>
  <c r="F45" i="6"/>
  <c r="T31" i="6"/>
  <c r="P41" i="11"/>
  <c r="R41" i="6"/>
  <c r="Q41" i="6"/>
  <c r="P43" i="6"/>
  <c r="G45" i="6"/>
  <c r="C45" i="11"/>
  <c r="D45" i="6"/>
  <c r="F36" i="11"/>
  <c r="E41" i="11"/>
  <c r="G41" i="11" s="1"/>
  <c r="F41" i="6"/>
  <c r="T28" i="6"/>
  <c r="E43" i="6"/>
  <c r="J43" i="3"/>
  <c r="P45" i="11"/>
  <c r="Q45" i="6"/>
  <c r="K43" i="6"/>
  <c r="O41" i="6"/>
  <c r="L41" i="6"/>
  <c r="AB30" i="6"/>
  <c r="AB24" i="11"/>
  <c r="AK23" i="11"/>
  <c r="AE30" i="6"/>
  <c r="K41" i="11"/>
  <c r="L36" i="11"/>
  <c r="O36" i="11"/>
  <c r="O39" i="10"/>
  <c r="K43" i="10"/>
  <c r="O43" i="10" s="1"/>
  <c r="C68" i="7"/>
  <c r="C66" i="7"/>
  <c r="E68" i="7"/>
  <c r="K63" i="7"/>
  <c r="E66" i="7"/>
  <c r="J45" i="5"/>
  <c r="I45" i="5"/>
  <c r="J45" i="4"/>
  <c r="I45" i="4"/>
  <c r="R41" i="11" l="1"/>
  <c r="Q41" i="11"/>
  <c r="P43" i="11"/>
  <c r="D43" i="11"/>
  <c r="O43" i="6"/>
  <c r="L43" i="6"/>
  <c r="O45" i="11"/>
  <c r="L45" i="11"/>
  <c r="F41" i="11"/>
  <c r="E43" i="11"/>
  <c r="F43" i="11" s="1"/>
  <c r="O41" i="11"/>
  <c r="K43" i="11"/>
  <c r="L41" i="11"/>
  <c r="N41" i="11"/>
  <c r="M43" i="11"/>
  <c r="N43" i="11" s="1"/>
  <c r="R45" i="11"/>
  <c r="Q45" i="11"/>
  <c r="G45" i="11"/>
  <c r="D45" i="11"/>
  <c r="O46" i="11"/>
  <c r="L46" i="11"/>
  <c r="I41" i="11"/>
  <c r="H43" i="11"/>
  <c r="J41" i="11"/>
  <c r="G43" i="6"/>
  <c r="D43" i="6"/>
  <c r="I43" i="6"/>
  <c r="J43" i="6"/>
  <c r="F43" i="6"/>
  <c r="T30" i="6"/>
  <c r="R43" i="6"/>
  <c r="Q43" i="6"/>
  <c r="AC24" i="11"/>
  <c r="AI23" i="11"/>
  <c r="H45" i="6"/>
  <c r="J45" i="3"/>
  <c r="I45" i="3"/>
  <c r="F68" i="7"/>
  <c r="J43" i="11" l="1"/>
  <c r="I43" i="11"/>
  <c r="R43" i="11"/>
  <c r="Q43" i="11"/>
  <c r="O43" i="11"/>
  <c r="L43" i="11"/>
  <c r="I45" i="6"/>
  <c r="H45" i="11"/>
  <c r="J45" i="6"/>
  <c r="G43" i="11"/>
  <c r="J45" i="11" l="1"/>
  <c r="I45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G.</author>
  </authors>
  <commentList>
    <comment ref="H38" authorId="0" shapeId="0" xr:uid="{776FFE59-0828-4B36-A94D-02E06F32A755}">
      <text>
        <r>
          <rPr>
            <b/>
            <sz val="9"/>
            <color indexed="81"/>
            <rFont val="Tahoma"/>
            <family val="2"/>
          </rPr>
          <t>Robert G.:</t>
        </r>
        <r>
          <rPr>
            <sz val="9"/>
            <color indexed="81"/>
            <rFont val="Tahoma"/>
            <family val="2"/>
          </rPr>
          <t xml:space="preserve">
se resta el metodo de participacion para efectos comparables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6B877D3B-6F34-48FD-870B-3EC1AC94A8A8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6"/>
</connections>
</file>

<file path=xl/sharedStrings.xml><?xml version="1.0" encoding="utf-8"?>
<sst xmlns="http://schemas.openxmlformats.org/spreadsheetml/2006/main" count="1411" uniqueCount="589">
  <si>
    <t>Periodo ant</t>
  </si>
  <si>
    <t>Periodo Act</t>
  </si>
  <si>
    <t>TRM</t>
  </si>
  <si>
    <t>TRM presupuesto 2021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</si>
  <si>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</si>
  <si>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</si>
  <si>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</si>
  <si>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</si>
  <si>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</si>
  <si>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</si>
  <si>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</si>
  <si>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</si>
  <si>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</si>
  <si>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</si>
  <si>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</si>
  <si>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</si>
  <si>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</si>
  <si>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</si>
  <si>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</si>
  <si>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</si>
  <si>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</si>
  <si>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</si>
  <si>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</si>
  <si>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</si>
  <si>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</si>
  <si>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</si>
  <si>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</si>
  <si>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</si>
  <si>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</si>
  <si>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</si>
  <si>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</si>
  <si>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</si>
  <si>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</si>
  <si>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</si>
  <si>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</si>
  <si>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</si>
  <si>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</si>
  <si>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</si>
  <si>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</si>
  <si>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</si>
  <si>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</si>
  <si>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</si>
  <si>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</si>
  <si>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</si>
  <si>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</si>
  <si>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</si>
  <si>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</si>
  <si>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ok</t>
  </si>
  <si>
    <t>MUSICAR COLOMBIA</t>
  </si>
  <si>
    <t>OCTUBRE de 2022</t>
  </si>
  <si>
    <t>Ppto 2022</t>
  </si>
  <si>
    <t>Real 2022</t>
  </si>
  <si>
    <t>Real 2021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</si>
  <si>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</si>
  <si>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</si>
  <si>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</si>
  <si>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</si>
  <si>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</si>
  <si>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</si>
  <si>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</si>
  <si>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</si>
  <si>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</si>
  <si>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</si>
  <si>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</si>
  <si>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</si>
  <si>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</si>
  <si>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</si>
  <si>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</si>
  <si>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</si>
  <si>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</si>
  <si>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</si>
  <si>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</si>
  <si>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</si>
  <si>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</si>
  <si>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</si>
  <si>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</si>
  <si>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</si>
  <si>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</si>
  <si>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</si>
  <si>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</si>
  <si>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</si>
  <si>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</si>
  <si>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</si>
  <si>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</si>
  <si>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</si>
  <si>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</si>
  <si>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</si>
  <si>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</si>
  <si>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</si>
  <si>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</si>
  <si>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</si>
  <si>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</si>
  <si>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</si>
  <si>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</si>
  <si>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real 2022</t>
  </si>
  <si>
    <t>FLUJO DE CAJA LIBRE</t>
  </si>
  <si>
    <t>PPTO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</si>
  <si>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</si>
  <si>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</si>
  <si>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</si>
  <si>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</si>
  <si>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</si>
  <si>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</si>
  <si>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</si>
  <si>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</si>
  <si>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</si>
  <si>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</si>
  <si>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</si>
  <si>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</si>
  <si>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</si>
  <si>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</si>
  <si>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</si>
  <si>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</si>
  <si>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</si>
  <si>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</si>
  <si>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</si>
  <si>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</si>
  <si>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</si>
  <si>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</si>
  <si>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real 2021</t>
  </si>
  <si>
    <t>Fact.Olfa experience</t>
  </si>
  <si>
    <t>TRM 2022</t>
  </si>
  <si>
    <t>Dólar implicito tomado doalr today</t>
  </si>
  <si>
    <t>TRM 2021</t>
  </si>
  <si>
    <t>Cifras en Dólares Americanos</t>
  </si>
  <si>
    <t>Cifras en Dolares americanos</t>
  </si>
  <si>
    <t>año 2021</t>
  </si>
  <si>
    <t>año 2022</t>
  </si>
  <si>
    <t>Enero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</si>
  <si>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</si>
  <si>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</si>
  <si>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</si>
  <si>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</si>
  <si>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</si>
  <si>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</si>
  <si>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</si>
  <si>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</si>
  <si>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</si>
  <si>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</si>
  <si>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Utild vene en Bolivares</t>
  </si>
  <si>
    <t>utilidad venez en usd</t>
  </si>
  <si>
    <t>Dic</t>
  </si>
  <si>
    <t>Cierre</t>
  </si>
  <si>
    <t>promedio</t>
  </si>
  <si>
    <t>Prom año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</si>
  <si>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</si>
  <si>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</si>
  <si>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</si>
  <si>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</si>
  <si>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</si>
  <si>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acumulado</t>
  </si>
  <si>
    <t>4155900000,4155900100,4155900500,4155900600,4170250000,4170250100,4170250200,4170251500,4170251600,4170251700,4170251900,4170251800,4170252000,4170253000,4170253500,4170252100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</si>
  <si>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</si>
  <si>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</si>
  <si>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</si>
  <si>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</si>
  <si>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</t>
  </si>
  <si>
    <t xml:space="preserve">   Facturación Service &amp; Equipment Experience (Red-Audio)</t>
  </si>
  <si>
    <t>4170250500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</si>
  <si>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</si>
  <si>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</si>
  <si>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</si>
  <si>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</si>
  <si>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</si>
  <si>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>4155951000</t>
  </si>
  <si>
    <t xml:space="preserve">   Facturación Servicio Satelital</t>
  </si>
  <si>
    <t>4155951500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</si>
  <si>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</si>
  <si>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</si>
  <si>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</si>
  <si>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</si>
  <si>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</si>
  <si>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</si>
  <si>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</si>
  <si>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</si>
  <si>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</si>
  <si>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</si>
  <si>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</si>
  <si>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</si>
  <si>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</si>
  <si>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</si>
  <si>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</si>
  <si>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</si>
  <si>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</si>
  <si>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</si>
  <si>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</si>
  <si>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</si>
  <si>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</si>
  <si>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</si>
  <si>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</si>
  <si>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</si>
  <si>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</si>
  <si>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</si>
  <si>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</si>
  <si>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</si>
  <si>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</si>
  <si>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</si>
  <si>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</si>
  <si>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</si>
  <si>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</si>
  <si>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</si>
  <si>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</si>
  <si>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</si>
  <si>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</si>
  <si>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</si>
  <si>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</si>
  <si>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</si>
  <si>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</si>
  <si>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</si>
  <si>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</si>
  <si>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</si>
  <si>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</si>
  <si>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</si>
  <si>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</si>
  <si>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</si>
  <si>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</si>
  <si>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</si>
  <si>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</si>
  <si>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</si>
  <si>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</si>
  <si>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</si>
  <si>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</si>
  <si>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</si>
  <si>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</si>
  <si>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</si>
  <si>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</si>
  <si>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</si>
  <si>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</si>
  <si>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</si>
  <si>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</si>
  <si>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</si>
  <si>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</si>
  <si>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</si>
  <si>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</si>
  <si>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</si>
  <si>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</si>
  <si>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</si>
  <si>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</si>
  <si>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</si>
  <si>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</si>
  <si>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</si>
  <si>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</si>
  <si>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</si>
  <si>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</si>
  <si>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</si>
  <si>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</si>
  <si>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</si>
  <si>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</si>
  <si>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</si>
  <si>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</si>
  <si>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</si>
  <si>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</si>
  <si>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</si>
  <si>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</si>
  <si>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</si>
  <si>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</si>
  <si>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</si>
  <si>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</si>
  <si>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</si>
  <si>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</si>
  <si>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</si>
  <si>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</si>
  <si>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</si>
  <si>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</si>
  <si>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</si>
  <si>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</si>
  <si>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</si>
  <si>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</si>
  <si>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</si>
  <si>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</si>
  <si>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</si>
  <si>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</si>
  <si>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</si>
  <si>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</si>
  <si>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</si>
  <si>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</si>
  <si>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</si>
  <si>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</si>
  <si>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</si>
  <si>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</si>
  <si>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</si>
  <si>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</si>
  <si>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</si>
  <si>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</si>
  <si>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</si>
  <si>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</si>
  <si>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</si>
  <si>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</si>
  <si>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</si>
  <si>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</si>
  <si>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</si>
  <si>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</si>
  <si>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</si>
  <si>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</si>
  <si>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</si>
  <si>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</si>
  <si>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</si>
  <si>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</si>
  <si>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</si>
  <si>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</si>
  <si>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</si>
  <si>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</si>
  <si>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</si>
  <si>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</si>
  <si>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</si>
  <si>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</si>
  <si>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</si>
  <si>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</si>
  <si>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</si>
  <si>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</si>
  <si>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</si>
  <si>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</si>
  <si>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</si>
  <si>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</si>
  <si>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</si>
  <si>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</si>
  <si>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</si>
  <si>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</si>
  <si>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</si>
  <si>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</si>
  <si>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</si>
  <si>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</si>
  <si>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</si>
  <si>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</si>
  <si>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</si>
  <si>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</si>
  <si>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</si>
  <si>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</si>
  <si>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</si>
  <si>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</si>
  <si>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</si>
  <si>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</si>
  <si>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</si>
  <si>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</si>
  <si>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</si>
  <si>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</si>
  <si>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</si>
  <si>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</si>
  <si>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</si>
  <si>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</si>
  <si>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</si>
  <si>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</si>
  <si>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</si>
  <si>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</si>
  <si>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</si>
  <si>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</si>
  <si>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</si>
  <si>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</si>
  <si>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</si>
  <si>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</si>
  <si>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</si>
  <si>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</si>
  <si>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</si>
  <si>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</si>
  <si>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</si>
  <si>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</si>
  <si>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</si>
  <si>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</si>
  <si>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</si>
  <si>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</si>
  <si>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</si>
  <si>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</si>
  <si>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</si>
  <si>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</si>
  <si>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</si>
  <si>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</si>
  <si>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</si>
  <si>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</si>
  <si>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</si>
  <si>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</si>
  <si>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</si>
  <si>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</si>
  <si>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</si>
  <si>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</si>
  <si>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</si>
  <si>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</si>
  <si>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</si>
  <si>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</si>
  <si>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</si>
  <si>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</si>
  <si>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</si>
  <si>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</si>
  <si>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</si>
  <si>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</si>
  <si>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</si>
  <si>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</si>
  <si>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</si>
  <si>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</si>
  <si>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</si>
  <si>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</si>
  <si>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</si>
  <si>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</si>
  <si>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</si>
  <si>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</si>
  <si>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</si>
  <si>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</si>
  <si>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</si>
  <si>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</si>
  <si>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</si>
  <si>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</si>
  <si>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</si>
  <si>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</si>
  <si>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</si>
  <si>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</si>
  <si>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</si>
  <si>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</si>
  <si>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</si>
  <si>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</si>
  <si>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</si>
  <si>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</si>
  <si>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</si>
  <si>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</si>
  <si>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</si>
  <si>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</si>
  <si>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</si>
  <si>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</si>
  <si>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</si>
  <si>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</si>
  <si>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</si>
  <si>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</si>
  <si>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</si>
  <si>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</si>
  <si>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</si>
  <si>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</si>
  <si>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</si>
  <si>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</si>
  <si>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</si>
  <si>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</si>
  <si>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</si>
  <si>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</si>
  <si>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</si>
  <si>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</si>
  <si>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</si>
  <si>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</si>
  <si>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</si>
  <si>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</si>
  <si>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</si>
  <si>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</si>
  <si>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</si>
  <si>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</si>
  <si>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</si>
  <si>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</si>
  <si>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</si>
  <si>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</si>
  <si>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</si>
  <si>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</si>
  <si>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</si>
  <si>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</si>
  <si>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</si>
  <si>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</si>
  <si>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</si>
  <si>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</si>
  <si>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</si>
  <si>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</si>
  <si>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</si>
  <si>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</si>
  <si>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</si>
  <si>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</si>
  <si>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</si>
  <si>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</si>
  <si>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</si>
  <si>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</si>
  <si>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</si>
  <si>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</si>
  <si>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</si>
  <si>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</si>
  <si>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</si>
  <si>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</si>
  <si>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</si>
  <si>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</si>
  <si>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</si>
  <si>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</si>
  <si>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</si>
  <si>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</si>
  <si>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</si>
  <si>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</si>
  <si>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</si>
  <si>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</si>
  <si>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</si>
  <si>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</si>
  <si>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</si>
  <si>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</si>
  <si>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</si>
  <si>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</si>
  <si>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</si>
  <si>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</si>
  <si>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</si>
  <si>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</si>
  <si>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</si>
  <si>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</si>
  <si>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</si>
  <si>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</si>
  <si>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</si>
  <si>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</si>
  <si>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</si>
  <si>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</si>
  <si>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</si>
  <si>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</si>
  <si>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</si>
  <si>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</si>
  <si>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</si>
  <si>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</si>
  <si>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</si>
  <si>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</si>
  <si>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</si>
  <si>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</si>
  <si>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</si>
  <si>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</si>
  <si>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</si>
  <si>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</si>
  <si>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</si>
  <si>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</si>
  <si>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</si>
  <si>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</si>
  <si>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</si>
  <si>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</si>
  <si>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</si>
  <si>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</si>
  <si>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</si>
  <si>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</si>
  <si>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</si>
  <si>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</si>
  <si>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</si>
  <si>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</si>
  <si>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</si>
  <si>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</si>
  <si>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</si>
  <si>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</si>
  <si>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</si>
  <si>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</si>
  <si>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</si>
  <si>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</si>
  <si>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</si>
  <si>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</si>
  <si>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</si>
  <si>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</si>
  <si>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</si>
  <si>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</si>
  <si>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</si>
  <si>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</si>
  <si>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</si>
  <si>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</si>
  <si>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</si>
  <si>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</si>
  <si>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</si>
  <si>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</si>
  <si>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</si>
  <si>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</si>
  <si>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</si>
  <si>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</si>
  <si>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</si>
  <si>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</si>
  <si>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</si>
  <si>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</si>
  <si>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</si>
  <si>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</si>
  <si>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</si>
  <si>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</si>
  <si>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</si>
  <si>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>PRESTAMOS DE ENTIDADES FINANCIERAS CORTO PLAZO (CREDITOS TESORERIA)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</si>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</sst>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(* #,##0_);_(* \(#,##0\);_(* &quot;-&quot;??_);_(@_)"/>
    <numFmt numFmtId="167" formatCode="#,##0;[Red]\-#,##0;&quot;-&quot;"/>
    <numFmt numFmtId="168" formatCode="mmmm/yyyy"/>
    <numFmt numFmtId="169" formatCode="[$-F800]dddd\,\ mmmm\ dd\,\ yyyy"/>
    <numFmt numFmtId="170" formatCode="0.0%"/>
    <numFmt numFmtId="171" formatCode="0_);\(0\)"/>
    <numFmt numFmtId="172" formatCode="_(* #,##0.000000000000_);_(* \(#,##0.000000000000\);_(* &quot;-&quot;??_);_(@_)"/>
    <numFmt numFmtId="173" formatCode="_(* #,##0.00000000_);_(* \(#,##0.00000000\);_(* &quot;-&quot;??_);_(@_)"/>
    <numFmt numFmtId="174" formatCode="_-* #,##0_-;\-* #,##0_-;_-* &quot;-&quot;????????_-;_-@_-"/>
    <numFmt numFmtId="175" formatCode="_(* #,##0.00000_);_(* \(#,##0.00000\);_(* &quot;-&quot;????????_);_(@_)"/>
  </numFmts>
  <fonts count="26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2" tint="-0.74999237037263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8"/>
      <color theme="1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1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43" fontId="2" fillId="0" borderId="0" xfId="3" applyFont="1" applyFill="1" applyBorder="1"/>
    <xf numFmtId="0" fontId="5" fillId="0" borderId="0" xfId="1" applyFont="1" applyAlignment="1">
      <alignment horizontal="center" wrapText="1"/>
    </xf>
    <xf numFmtId="0" fontId="5" fillId="0" borderId="0" xfId="1" applyFont="1" applyAlignment="1">
      <alignment vertical="center"/>
    </xf>
    <xf numFmtId="166" fontId="5" fillId="0" borderId="0" xfId="3" applyNumberFormat="1" applyFont="1" applyFill="1" applyBorder="1" applyAlignment="1">
      <alignment horizontal="center" wrapText="1"/>
    </xf>
    <xf numFmtId="0" fontId="5" fillId="0" borderId="0" xfId="1" applyFont="1"/>
    <xf numFmtId="166" fontId="5" fillId="0" borderId="0" xfId="3" applyNumberFormat="1" applyFont="1" applyFill="1" applyBorder="1"/>
    <xf numFmtId="0" fontId="5" fillId="0" borderId="0" xfId="1" applyFont="1" applyAlignment="1">
      <alignment horizontal="center"/>
    </xf>
    <xf numFmtId="0" fontId="6" fillId="0" borderId="0" xfId="1" applyFont="1"/>
    <xf numFmtId="166" fontId="5" fillId="0" borderId="0" xfId="3" applyNumberFormat="1" applyFont="1" applyFill="1" applyBorder="1" applyAlignment="1">
      <alignment horizontal="center"/>
    </xf>
    <xf numFmtId="0" fontId="7" fillId="0" borderId="0" xfId="1" applyFont="1"/>
    <xf numFmtId="0" fontId="5" fillId="0" borderId="0" xfId="1" applyFont="1" applyAlignment="1">
      <alignment horizontal="left"/>
    </xf>
    <xf numFmtId="0" fontId="8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5" fillId="0" borderId="0" xfId="1" applyFont="1" applyAlignment="1">
      <alignment horizontal="right"/>
    </xf>
    <xf numFmtId="0" fontId="5" fillId="0" borderId="0" xfId="1" applyFont="1" applyAlignment="1">
      <alignment wrapText="1"/>
    </xf>
    <xf numFmtId="166" fontId="5" fillId="0" borderId="0" xfId="3" applyNumberFormat="1" applyFont="1" applyFill="1" applyBorder="1" applyAlignment="1"/>
    <xf numFmtId="0" fontId="5" fillId="0" borderId="1" xfId="1" applyFont="1" applyBorder="1"/>
    <xf numFmtId="0" fontId="5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3" fontId="5" fillId="0" borderId="0" xfId="1" applyNumberFormat="1" applyFont="1" applyAlignment="1">
      <alignment horizontal="right"/>
    </xf>
    <xf numFmtId="9" fontId="5" fillId="0" borderId="0" xfId="4" applyFont="1" applyFill="1" applyBorder="1" applyAlignment="1">
      <alignment horizontal="right"/>
    </xf>
    <xf numFmtId="9" fontId="3" fillId="0" borderId="0" xfId="4" applyFont="1" applyFill="1" applyBorder="1" applyAlignment="1">
      <alignment horizontal="right"/>
    </xf>
    <xf numFmtId="166" fontId="5" fillId="0" borderId="0" xfId="3" applyNumberFormat="1" applyFont="1" applyFill="1" applyBorder="1" applyAlignment="1">
      <alignment horizontal="right"/>
    </xf>
    <xf numFmtId="9" fontId="5" fillId="0" borderId="0" xfId="4" applyFont="1" applyFill="1" applyBorder="1" applyAlignment="1">
      <alignment horizontal="center"/>
    </xf>
    <xf numFmtId="3" fontId="5" fillId="0" borderId="0" xfId="1" applyNumberFormat="1" applyFont="1"/>
    <xf numFmtId="167" fontId="3" fillId="0" borderId="0" xfId="4" applyNumberFormat="1" applyFont="1" applyFill="1" applyBorder="1" applyAlignment="1">
      <alignment horizontal="right"/>
    </xf>
    <xf numFmtId="0" fontId="9" fillId="0" borderId="0" xfId="1" applyFont="1" applyAlignment="1">
      <alignment horizontal="left"/>
    </xf>
    <xf numFmtId="3" fontId="9" fillId="0" borderId="0" xfId="1" applyNumberFormat="1" applyFont="1" applyAlignment="1">
      <alignment horizontal="right"/>
    </xf>
    <xf numFmtId="9" fontId="9" fillId="0" borderId="0" xfId="4" applyFont="1" applyFill="1" applyBorder="1" applyAlignment="1">
      <alignment horizontal="right"/>
    </xf>
    <xf numFmtId="9" fontId="8" fillId="0" borderId="0" xfId="4" applyFont="1" applyFill="1" applyBorder="1" applyAlignment="1">
      <alignment horizontal="right"/>
    </xf>
    <xf numFmtId="167" fontId="5" fillId="0" borderId="0" xfId="1" applyNumberFormat="1" applyFont="1" applyAlignment="1">
      <alignment horizontal="left"/>
    </xf>
    <xf numFmtId="166" fontId="9" fillId="0" borderId="0" xfId="3" applyNumberFormat="1" applyFont="1" applyFill="1" applyBorder="1" applyAlignment="1">
      <alignment horizontal="right"/>
    </xf>
    <xf numFmtId="9" fontId="9" fillId="0" borderId="0" xfId="4" applyFont="1" applyFill="1" applyBorder="1" applyAlignment="1">
      <alignment horizontal="center"/>
    </xf>
    <xf numFmtId="0" fontId="12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6" fontId="3" fillId="0" borderId="0" xfId="3" applyNumberFormat="1" applyFont="1" applyFill="1" applyBorder="1" applyAlignment="1">
      <alignment horizontal="center" wrapText="1"/>
    </xf>
    <xf numFmtId="0" fontId="12" fillId="0" borderId="0" xfId="1" applyFont="1"/>
    <xf numFmtId="166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8" fontId="3" fillId="0" borderId="0" xfId="1" applyNumberFormat="1" applyFont="1" applyAlignment="1">
      <alignment horizontal="centerContinuous"/>
    </xf>
    <xf numFmtId="168" fontId="3" fillId="0" borderId="0" xfId="1" applyNumberFormat="1" applyFont="1" applyAlignment="1">
      <alignment horizontal="center"/>
    </xf>
    <xf numFmtId="166" fontId="3" fillId="0" borderId="0" xfId="3" applyNumberFormat="1" applyFont="1" applyFill="1" applyBorder="1" applyAlignment="1">
      <alignment horizontal="center"/>
    </xf>
    <xf numFmtId="169" fontId="3" fillId="0" borderId="0" xfId="1" applyNumberFormat="1" applyFont="1" applyAlignment="1">
      <alignment horizontal="centerContinuous"/>
    </xf>
    <xf numFmtId="0" fontId="12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6" fontId="3" fillId="0" borderId="0" xfId="3" applyNumberFormat="1" applyFont="1" applyFill="1" applyBorder="1" applyAlignment="1">
      <alignment horizontal="right"/>
    </xf>
    <xf numFmtId="3" fontId="12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3" fontId="3" fillId="0" borderId="0" xfId="1" applyNumberFormat="1" applyFont="1" applyAlignment="1">
      <alignment horizontal="right"/>
    </xf>
    <xf numFmtId="166" fontId="3" fillId="0" borderId="0" xfId="3" applyNumberFormat="1" applyFont="1" applyFill="1" applyBorder="1" applyAlignment="1"/>
    <xf numFmtId="9" fontId="3" fillId="0" borderId="0" xfId="4" applyFont="1" applyFill="1" applyBorder="1" applyAlignment="1">
      <alignment horizontal="center"/>
    </xf>
    <xf numFmtId="49" fontId="12" fillId="0" borderId="0" xfId="1" applyNumberFormat="1" applyFont="1"/>
    <xf numFmtId="3" fontId="8" fillId="0" borderId="0" xfId="1" applyNumberFormat="1" applyFont="1" applyAlignment="1">
      <alignment horizontal="right"/>
    </xf>
    <xf numFmtId="49" fontId="12" fillId="0" borderId="0" xfId="5" applyNumberFormat="1" applyFont="1"/>
    <xf numFmtId="166" fontId="8" fillId="0" borderId="0" xfId="3" applyNumberFormat="1" applyFont="1" applyFill="1" applyBorder="1" applyAlignment="1">
      <alignment horizontal="right"/>
    </xf>
    <xf numFmtId="9" fontId="8" fillId="0" borderId="0" xfId="4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6" fontId="8" fillId="0" borderId="0" xfId="1" applyNumberFormat="1" applyFont="1"/>
    <xf numFmtId="3" fontId="12" fillId="0" borderId="0" xfId="1" applyNumberFormat="1" applyFont="1"/>
    <xf numFmtId="0" fontId="14" fillId="0" borderId="0" xfId="1" applyFont="1" applyAlignment="1">
      <alignment horizontal="center" wrapText="1"/>
    </xf>
    <xf numFmtId="0" fontId="14" fillId="0" borderId="0" xfId="1" applyFont="1"/>
    <xf numFmtId="0" fontId="8" fillId="0" borderId="0" xfId="1" applyFont="1"/>
    <xf numFmtId="49" fontId="14" fillId="0" borderId="0" xfId="1" applyNumberFormat="1" applyFont="1"/>
    <xf numFmtId="166" fontId="8" fillId="0" borderId="0" xfId="3" applyNumberFormat="1" applyFont="1" applyFill="1" applyBorder="1"/>
    <xf numFmtId="0" fontId="7" fillId="0" borderId="0" xfId="1" applyFont="1" applyAlignment="1">
      <alignment horizontal="center" wrapText="1"/>
    </xf>
    <xf numFmtId="43" fontId="5" fillId="0" borderId="0" xfId="1" applyNumberFormat="1" applyFont="1"/>
    <xf numFmtId="170" fontId="5" fillId="0" borderId="0" xfId="4" applyNumberFormat="1" applyFont="1" applyFill="1" applyBorder="1"/>
    <xf numFmtId="17" fontId="5" fillId="0" borderId="0" xfId="1" applyNumberFormat="1" applyFont="1"/>
    <xf numFmtId="0" fontId="5" fillId="0" borderId="2" xfId="1" applyFont="1" applyBorder="1" applyAlignment="1">
      <alignment horizontal="centerContinuous"/>
    </xf>
    <xf numFmtId="0" fontId="5" fillId="0" borderId="2" xfId="1" applyFont="1" applyBorder="1"/>
    <xf numFmtId="0" fontId="5" fillId="0" borderId="2" xfId="1" applyFont="1" applyBorder="1" applyAlignment="1">
      <alignment horizontal="right"/>
    </xf>
    <xf numFmtId="171" fontId="5" fillId="0" borderId="0" xfId="3" applyNumberFormat="1" applyFont="1" applyFill="1" applyBorder="1" applyAlignment="1">
      <alignment horizontal="right"/>
    </xf>
    <xf numFmtId="0" fontId="15" fillId="0" borderId="0" xfId="1" applyFont="1"/>
    <xf numFmtId="17" fontId="3" fillId="0" borderId="0" xfId="1" applyNumberFormat="1" applyFont="1"/>
    <xf numFmtId="0" fontId="5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6" fontId="3" fillId="0" borderId="0" xfId="3" applyNumberFormat="1" applyFont="1" applyFill="1" applyBorder="1" applyAlignment="1">
      <alignment horizontal="left"/>
    </xf>
    <xf numFmtId="0" fontId="5" fillId="0" borderId="1" xfId="1" applyFont="1" applyBorder="1" applyAlignment="1">
      <alignment horizontal="centerContinuous"/>
    </xf>
    <xf numFmtId="43" fontId="3" fillId="0" borderId="0" xfId="1" applyNumberFormat="1" applyFont="1"/>
    <xf numFmtId="172" fontId="3" fillId="0" borderId="0" xfId="3" applyNumberFormat="1" applyFont="1" applyFill="1" applyBorder="1"/>
    <xf numFmtId="1" fontId="3" fillId="0" borderId="0" xfId="1" applyNumberFormat="1" applyFont="1"/>
    <xf numFmtId="0" fontId="16" fillId="0" borderId="0" xfId="1" applyFont="1"/>
    <xf numFmtId="43" fontId="16" fillId="0" borderId="0" xfId="3" applyFont="1"/>
    <xf numFmtId="0" fontId="1" fillId="0" borderId="0" xfId="1"/>
    <xf numFmtId="0" fontId="16" fillId="0" borderId="0" xfId="1" applyFont="1" applyAlignment="1">
      <alignment wrapText="1"/>
    </xf>
    <xf numFmtId="173" fontId="17" fillId="0" borderId="0" xfId="3" applyNumberFormat="1" applyFont="1"/>
    <xf numFmtId="174" fontId="1" fillId="0" borderId="0" xfId="1" applyNumberFormat="1"/>
    <xf numFmtId="43" fontId="17" fillId="0" borderId="0" xfId="3" applyFont="1"/>
    <xf numFmtId="166" fontId="16" fillId="0" borderId="0" xfId="3" applyNumberFormat="1" applyFont="1"/>
    <xf numFmtId="175" fontId="16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0" fontId="5" fillId="0" borderId="1" xfId="1" applyFont="1" applyBorder="1" applyAlignment="1">
      <alignment horizontal="right"/>
    </xf>
    <xf numFmtId="3" fontId="7" fillId="0" borderId="0" xfId="1" applyNumberFormat="1" applyFont="1" applyAlignment="1">
      <alignment horizontal="right"/>
    </xf>
    <xf numFmtId="49" fontId="18" fillId="0" borderId="0" xfId="1" applyNumberFormat="1" applyFont="1"/>
    <xf numFmtId="0" fontId="19" fillId="0" borderId="0" xfId="5" applyFont="1" applyAlignment="1">
      <alignment vertical="center"/>
    </xf>
    <xf numFmtId="0" fontId="18" fillId="0" borderId="0" xfId="1" applyFont="1"/>
    <xf numFmtId="0" fontId="20" fillId="0" borderId="0" xfId="1" applyFont="1"/>
    <xf numFmtId="41" fontId="18" fillId="0" borderId="0" xfId="6" applyFont="1"/>
    <xf numFmtId="49" fontId="21" fillId="0" borderId="0" xfId="5" applyNumberFormat="1" applyFont="1"/>
    <xf numFmtId="49" fontId="19" fillId="0" borderId="0" xfId="5" applyNumberFormat="1" applyFont="1"/>
    <xf numFmtId="0" fontId="22" fillId="0" borderId="0" xfId="5" applyFont="1" applyAlignment="1">
      <alignment vertical="center"/>
    </xf>
    <xf numFmtId="166" fontId="18" fillId="0" borderId="0" xfId="3" applyNumberFormat="1" applyFont="1"/>
    <xf numFmtId="166" fontId="18" fillId="0" borderId="0" xfId="1" applyNumberFormat="1" applyFont="1"/>
    <xf numFmtId="49" fontId="18" fillId="2" borderId="0" xfId="1" applyNumberFormat="1" applyFont="1" applyFill="1"/>
    <xf numFmtId="3" fontId="18" fillId="0" borderId="0" xfId="1" applyNumberFormat="1" applyFont="1"/>
    <xf numFmtId="43" fontId="18" fillId="0" borderId="0" xfId="1" applyNumberFormat="1" applyFont="1"/>
    <xf numFmtId="41" fontId="18" fillId="0" borderId="0" xfId="1" applyNumberFormat="1" applyFont="1"/>
    <xf numFmtId="49" fontId="23" fillId="0" borderId="0" xfId="5" applyNumberFormat="1" applyFont="1"/>
    <xf numFmtId="0" fontId="20" fillId="2" borderId="0" xfId="1" applyFont="1" applyFill="1"/>
    <xf numFmtId="0" fontId="18" fillId="2" borderId="0" xfId="1" applyFont="1" applyFill="1"/>
    <xf numFmtId="0" fontId="21" fillId="0" borderId="0" xfId="1" applyFont="1" applyAlignment="1">
      <alignment vertical="center"/>
    </xf>
    <xf numFmtId="0" fontId="21" fillId="0" borderId="0" xfId="1" applyFont="1" applyAlignment="1">
      <alignment horizontal="left" vertical="center"/>
    </xf>
    <xf numFmtId="0" fontId="24" fillId="0" borderId="0" xfId="1" applyFont="1"/>
    <xf numFmtId="3" fontId="24" fillId="0" borderId="0" xfId="1" applyNumberFormat="1" applyFont="1"/>
    <xf numFmtId="0" fontId="24" fillId="0" borderId="0" xfId="1" applyFont="1" applyAlignment="1">
      <alignment horizontal="center"/>
    </xf>
    <xf numFmtId="9" fontId="24" fillId="0" borderId="0" xfId="4" applyFont="1" applyFill="1" applyBorder="1" applyAlignment="1"/>
    <xf numFmtId="170" fontId="24" fillId="0" borderId="0" xfId="4" applyNumberFormat="1" applyFont="1" applyFill="1" applyBorder="1" applyAlignment="1"/>
    <xf numFmtId="0" fontId="25" fillId="0" borderId="0" xfId="1" applyFont="1"/>
    <xf numFmtId="3" fontId="25" fillId="0" borderId="0" xfId="1" applyNumberFormat="1" applyFont="1"/>
  </cellXfs>
  <cellStyles count="7">
    <cellStyle name="Millares [0] 2" xfId="6" xr:uid="{C73A458A-1D2F-4BF9-AF3D-BBB3BF0E83EB}"/>
    <cellStyle name="Millares 2" xfId="3" xr:uid="{F089CB0A-5964-43F9-A3C0-1ED74DC722A2}"/>
    <cellStyle name="Normal" xfId="0" builtinId="0"/>
    <cellStyle name="Normal 2" xfId="1" xr:uid="{436E5279-AB24-4917-92FA-A720AB0A104D}"/>
    <cellStyle name="Normal 2 2" xfId="5" xr:uid="{C98B0757-96FD-4570-8592-9F37FB33080E}"/>
    <cellStyle name="Normal 3" xfId="2" xr:uid="{F8A3C9F8-ABB7-4DD0-9A43-70B4956E2C3D}"/>
    <cellStyle name="Porcentaje 2" xfId="4" xr:uid="{0325755A-3CD8-4C40-A68B-E3517FB87E32}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533401</xdr:colOff>
      <xdr:row>11</xdr:row>
      <xdr:rowOff>122274</xdr:rowOff>
    </xdr:from>
    <xdr:to>
      <xdr:col>42</xdr:col>
      <xdr:colOff>342900</xdr:colOff>
      <xdr:row>20</xdr:row>
      <xdr:rowOff>65852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641951-0C48-47C3-B7B3-E2C56B95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4676" y="2189199"/>
          <a:ext cx="3619499" cy="1400903"/>
        </a:xfrm>
        <a:prstGeom prst="rect">
          <a:avLst/>
        </a:prstGeom>
      </xdr:spPr>
    </xdr:pic>
    <xdr:clientData/>
  </xdr:twoCellAnchor>
  <xdr:twoCellAnchor editAs="oneCell">
    <xdr:from>
      <xdr:col>42</xdr:col>
      <xdr:colOff>361950</xdr:colOff>
      <xdr:row>12</xdr:row>
      <xdr:rowOff>58624</xdr:rowOff>
    </xdr:from>
    <xdr:to>
      <xdr:col>47</xdr:col>
      <xdr:colOff>447675</xdr:colOff>
      <xdr:row>22</xdr:row>
      <xdr:rowOff>79338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453E4A-3F66-4009-BE84-F3215366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23225" y="2287474"/>
          <a:ext cx="3895725" cy="1639964"/>
        </a:xfrm>
        <a:prstGeom prst="rect">
          <a:avLst/>
        </a:prstGeom>
      </xdr:spPr>
    </xdr:pic>
    <xdr:clientData/>
  </xdr:twoCellAnchor>
  <xdr:twoCellAnchor editAs="oneCell">
    <xdr:from>
      <xdr:col>47</xdr:col>
      <xdr:colOff>219075</xdr:colOff>
      <xdr:row>13</xdr:row>
      <xdr:rowOff>57151</xdr:rowOff>
    </xdr:from>
    <xdr:to>
      <xdr:col>51</xdr:col>
      <xdr:colOff>704850</xdr:colOff>
      <xdr:row>22</xdr:row>
      <xdr:rowOff>68408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5685C3-66D0-42ED-84FE-5EEDB909F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90350" y="2447926"/>
          <a:ext cx="3533775" cy="1468582"/>
        </a:xfrm>
        <a:prstGeom prst="rect">
          <a:avLst/>
        </a:prstGeom>
      </xdr:spPr>
    </xdr:pic>
    <xdr:clientData/>
  </xdr:twoCellAnchor>
  <xdr:twoCellAnchor editAs="oneCell">
    <xdr:from>
      <xdr:col>52</xdr:col>
      <xdr:colOff>419100</xdr:colOff>
      <xdr:row>13</xdr:row>
      <xdr:rowOff>81354</xdr:rowOff>
    </xdr:from>
    <xdr:to>
      <xdr:col>56</xdr:col>
      <xdr:colOff>657225</xdr:colOff>
      <xdr:row>22</xdr:row>
      <xdr:rowOff>14107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E8548D-CFB0-40A2-A3C5-B9362E8F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00375" y="2472129"/>
          <a:ext cx="3286125" cy="1390078"/>
        </a:xfrm>
        <a:prstGeom prst="rect">
          <a:avLst/>
        </a:prstGeom>
      </xdr:spPr>
    </xdr:pic>
    <xdr:clientData/>
  </xdr:twoCellAnchor>
  <xdr:twoCellAnchor editAs="oneCell">
    <xdr:from>
      <xdr:col>52</xdr:col>
      <xdr:colOff>133353</xdr:colOff>
      <xdr:row>1</xdr:row>
      <xdr:rowOff>133351</xdr:rowOff>
    </xdr:from>
    <xdr:to>
      <xdr:col>56</xdr:col>
      <xdr:colOff>476250</xdr:colOff>
      <xdr:row>10</xdr:row>
      <xdr:rowOff>7793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1932FCB-EE8C-4E22-ACCF-8A670F0E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814628" y="371476"/>
          <a:ext cx="3390897" cy="1541317"/>
        </a:xfrm>
        <a:prstGeom prst="rect">
          <a:avLst/>
        </a:prstGeom>
      </xdr:spPr>
    </xdr:pic>
    <xdr:clientData/>
  </xdr:twoCellAnchor>
  <xdr:twoCellAnchor editAs="oneCell">
    <xdr:from>
      <xdr:col>47</xdr:col>
      <xdr:colOff>123825</xdr:colOff>
      <xdr:row>2</xdr:row>
      <xdr:rowOff>57151</xdr:rowOff>
    </xdr:from>
    <xdr:to>
      <xdr:col>51</xdr:col>
      <xdr:colOff>581025</xdr:colOff>
      <xdr:row>11</xdr:row>
      <xdr:rowOff>3740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3EED211-2FF6-4198-A3EA-E530E1A9D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95100" y="533401"/>
          <a:ext cx="3505200" cy="1537264"/>
        </a:xfrm>
        <a:prstGeom prst="rect">
          <a:avLst/>
        </a:prstGeom>
      </xdr:spPr>
    </xdr:pic>
    <xdr:clientData/>
  </xdr:twoCellAnchor>
  <xdr:twoCellAnchor editAs="oneCell">
    <xdr:from>
      <xdr:col>42</xdr:col>
      <xdr:colOff>171451</xdr:colOff>
      <xdr:row>2</xdr:row>
      <xdr:rowOff>47625</xdr:rowOff>
    </xdr:from>
    <xdr:to>
      <xdr:col>46</xdr:col>
      <xdr:colOff>666751</xdr:colOff>
      <xdr:row>10</xdr:row>
      <xdr:rowOff>140790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2EBE9DE-C236-4D00-BF3A-852B0374F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232726" y="523875"/>
          <a:ext cx="3543300" cy="1521915"/>
        </a:xfrm>
        <a:prstGeom prst="rect">
          <a:avLst/>
        </a:prstGeom>
      </xdr:spPr>
    </xdr:pic>
    <xdr:clientData/>
  </xdr:twoCellAnchor>
  <xdr:twoCellAnchor editAs="oneCell">
    <xdr:from>
      <xdr:col>37</xdr:col>
      <xdr:colOff>590551</xdr:colOff>
      <xdr:row>1</xdr:row>
      <xdr:rowOff>133351</xdr:rowOff>
    </xdr:from>
    <xdr:to>
      <xdr:col>42</xdr:col>
      <xdr:colOff>209550</xdr:colOff>
      <xdr:row>9</xdr:row>
      <xdr:rowOff>142581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764ACFD-5594-4290-9B6E-9415AD13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841826" y="371476"/>
          <a:ext cx="3428999" cy="151418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23</xdr:row>
      <xdr:rowOff>0</xdr:rowOff>
    </xdr:from>
    <xdr:to>
      <xdr:col>42</xdr:col>
      <xdr:colOff>276225</xdr:colOff>
      <xdr:row>31</xdr:row>
      <xdr:rowOff>131695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95CD6A0-4881-4834-B5B6-E65CECC6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013275" y="4010025"/>
          <a:ext cx="3324225" cy="1427095"/>
        </a:xfrm>
        <a:prstGeom prst="rect">
          <a:avLst/>
        </a:prstGeom>
      </xdr:spPr>
    </xdr:pic>
    <xdr:clientData/>
  </xdr:twoCellAnchor>
  <xdr:twoCellAnchor editAs="oneCell">
    <xdr:from>
      <xdr:col>42</xdr:col>
      <xdr:colOff>466725</xdr:colOff>
      <xdr:row>22</xdr:row>
      <xdr:rowOff>114301</xdr:rowOff>
    </xdr:from>
    <xdr:to>
      <xdr:col>46</xdr:col>
      <xdr:colOff>651782</xdr:colOff>
      <xdr:row>31</xdr:row>
      <xdr:rowOff>66676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5FA0098-320E-4F79-A880-35C3CC4C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528000" y="3962401"/>
          <a:ext cx="3233057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Vision%20Tecnologica\UnoBiable\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definedNames>
      <definedName name="Consulta"/>
    </defined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17C9DE81-B547-4773-84B5-4151F3D7CE0F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47.442095023151" createdVersion="3" refreshedVersion="6" minRefreshableVersion="3" recordCount="3" xr:uid="{130F1CED-37A4-4416-BA6B-BD57E4E3702E}">
  <cacheSource type="external" connectionId="3"/>
  <cacheFields count="33">
    <cacheField name="PERIODO" numFmtId="0">
      <sharedItems containsSemiMixedTypes="0" containsString="0" containsNumber="1" containsInteger="1" minValue="201909" maxValue="201909" count="1">
        <n v="201909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3">
        <s v="4102"/>
        <s v="7102"/>
        <s v="7105"/>
      </sharedItems>
    </cacheField>
    <cacheField name="Nombre Cpto Flujo Efectivo" numFmtId="0">
      <sharedItems count="3">
        <s v="INTERESES LARGO PLAZO"/>
        <s v="PAGO CUOTA CORRIENTE"/>
        <s v="PRESTAMOS ENTIDADES FINANCIERAS LP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19" maxValue="2019" count="1">
        <n v="2019"/>
      </sharedItems>
    </cacheField>
    <cacheField name="Valor Presupuesto" numFmtId="0">
      <sharedItems containsSemiMixedTypes="0" containsString="0" containsNumber="1" containsInteger="1" minValue="15856000" maxValue="89381000" count="3">
        <n v="15856000"/>
        <n v="89381000"/>
        <n v="42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71B7D7C7-821C-465D-B597-F1B7F7B88D36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23BD0A-A18C-42F8-B8FD-98D7B08B433E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55C345-991A-472F-8461-89945E4F2F83}" name="UnoBiable: SmartZoom 002 en ctas" cacheId="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2">
        <item x="0"/>
        <item t="default"/>
      </items>
    </pivotField>
    <pivotField compact="0" outline="0" showAll="0"/>
    <pivotField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">
        <item x="0"/>
        <item x="1"/>
        <item x="2"/>
      </items>
    </pivotField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ECB491-EE5C-4EF8-92CA-DFC169B8E8A1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FBAB8-6AF2-4CC1-AF05-65F7379CB2D0}">
  <dimension ref="A2:C10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16384" width="11.42578125" style="1"/>
  </cols>
  <sheetData>
    <row r="2" spans="1:3" x14ac:dyDescent="0.2">
      <c r="A2" s="1" t="s">
        <v>0</v>
      </c>
      <c r="B2" s="1" t="s">
        <v>1</v>
      </c>
    </row>
    <row r="3" spans="1:3" x14ac:dyDescent="0.2">
      <c r="A3" s="2">
        <v>202101</v>
      </c>
      <c r="B3" s="3">
        <v>202201</v>
      </c>
    </row>
    <row r="4" spans="1:3" x14ac:dyDescent="0.2">
      <c r="A4" s="2">
        <v>202110</v>
      </c>
      <c r="B4" s="3">
        <v>202210</v>
      </c>
    </row>
    <row r="5" spans="1:3" x14ac:dyDescent="0.2">
      <c r="A5" s="2"/>
      <c r="B5" s="3">
        <f>+B4-1</f>
        <v>202209</v>
      </c>
    </row>
    <row r="8" spans="1:3" x14ac:dyDescent="0.2">
      <c r="A8" s="1" t="s">
        <v>2</v>
      </c>
      <c r="B8" s="4" t="str">
        <f>+'COL. CONS.$'!B6</f>
        <v>OCTUBRE de 2022</v>
      </c>
      <c r="C8" s="5">
        <v>4819.42</v>
      </c>
    </row>
    <row r="9" spans="1:3" x14ac:dyDescent="0.2">
      <c r="A9" s="1" t="s">
        <v>2</v>
      </c>
      <c r="B9" s="1">
        <f>+Paramet!A4</f>
        <v>202110</v>
      </c>
      <c r="C9" s="6">
        <v>3784.44</v>
      </c>
    </row>
    <row r="10" spans="1:3" x14ac:dyDescent="0.2">
      <c r="A10" s="1" t="s">
        <v>3</v>
      </c>
      <c r="C10" s="6">
        <v>3400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29A89-FEF1-456B-81F9-513B62A6831E}">
  <dimension ref="A1:AK46"/>
  <sheetViews>
    <sheetView showGridLines="0" topLeftCell="A4" workbookViewId="0">
      <selection activeCell="T3" sqref="T3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59" bestFit="1" customWidth="1"/>
    <col min="20" max="21" width="11.42578125" style="59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46" customFormat="1" x14ac:dyDescent="0.2">
      <c r="B1" s="41"/>
      <c r="S1" s="59"/>
      <c r="T1" s="59"/>
      <c r="U1" s="59"/>
    </row>
    <row r="2" spans="1:37" x14ac:dyDescent="0.2">
      <c r="A2" s="46"/>
      <c r="Y2" s="46"/>
      <c r="Z2" s="46"/>
      <c r="AA2" s="46"/>
      <c r="AB2" s="46"/>
    </row>
    <row r="3" spans="1:37" ht="18" x14ac:dyDescent="0.25">
      <c r="B3" s="13" t="s">
        <v>149</v>
      </c>
      <c r="T3" s="105"/>
      <c r="V3" s="2" t="str">
        <f>+B3</f>
        <v>MUSICAR S.A. COLOMBIA CONSOLIDADO USD</v>
      </c>
    </row>
    <row r="4" spans="1:37" x14ac:dyDescent="0.2">
      <c r="B4" s="2" t="s">
        <v>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7" x14ac:dyDescent="0.2">
      <c r="B5" s="3" t="s">
        <v>80</v>
      </c>
      <c r="V5" s="46"/>
      <c r="W5" s="2">
        <f>+'COLOMB$ '!U6:W6</f>
        <v>0</v>
      </c>
      <c r="Z5" s="2">
        <f>+'COLOMB$ '!X6:AB6</f>
        <v>0</v>
      </c>
      <c r="AC5" s="2" t="s">
        <v>11</v>
      </c>
      <c r="AD5" s="2" t="s">
        <v>9</v>
      </c>
      <c r="AE5" s="2" t="s">
        <v>10</v>
      </c>
    </row>
    <row r="6" spans="1:37" ht="15.75" customHeight="1" thickBot="1" x14ac:dyDescent="0.25">
      <c r="B6" s="17" t="str">
        <f>+'COL. CONS.$'!B6</f>
        <v>OCTUBRE de 2022</v>
      </c>
      <c r="C6" s="84"/>
      <c r="K6" s="18" t="s">
        <v>8</v>
      </c>
      <c r="L6" s="18"/>
      <c r="M6" s="18"/>
      <c r="N6" s="18"/>
      <c r="O6" s="18"/>
      <c r="P6" s="18"/>
      <c r="Q6" s="18"/>
      <c r="R6" s="18"/>
      <c r="V6" s="3" t="s">
        <v>80</v>
      </c>
      <c r="W6" s="46" t="str">
        <f>+C8</f>
        <v>Valor</v>
      </c>
      <c r="X6" s="46" t="str">
        <f>+E8</f>
        <v>Valor</v>
      </c>
      <c r="Y6" s="46" t="str">
        <f>+O8</f>
        <v>%</v>
      </c>
      <c r="Z6" s="46" t="str">
        <f>+W6</f>
        <v>Valor</v>
      </c>
      <c r="AA6" s="46" t="str">
        <f>+X6</f>
        <v>Valor</v>
      </c>
      <c r="AB6" s="46" t="str">
        <f>+G8</f>
        <v>%</v>
      </c>
      <c r="AC6" s="46" t="s">
        <v>11</v>
      </c>
      <c r="AD6" s="46" t="s">
        <v>9</v>
      </c>
      <c r="AE6" s="46" t="s">
        <v>10</v>
      </c>
    </row>
    <row r="7" spans="1:37" x14ac:dyDescent="0.2">
      <c r="B7" s="53"/>
      <c r="C7" s="53"/>
      <c r="D7" s="53" t="s">
        <v>50</v>
      </c>
      <c r="E7" s="53"/>
      <c r="F7" s="53" t="s">
        <v>51</v>
      </c>
      <c r="G7" s="54" t="s">
        <v>9</v>
      </c>
      <c r="H7" s="53"/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V7" s="3" t="str">
        <f>+'COLOMB$ '!T4</f>
        <v xml:space="preserve">Flujo de Caja </v>
      </c>
      <c r="W7" s="46" t="s">
        <v>13</v>
      </c>
      <c r="X7" s="46" t="s">
        <v>13</v>
      </c>
      <c r="Y7" s="46" t="s">
        <v>13</v>
      </c>
      <c r="Z7" s="2" t="s">
        <v>150</v>
      </c>
      <c r="AC7" s="46" t="s">
        <v>13</v>
      </c>
      <c r="AD7" s="46" t="s">
        <v>15</v>
      </c>
      <c r="AE7" s="46" t="s">
        <v>15</v>
      </c>
    </row>
    <row r="8" spans="1:37" ht="13.5" thickBot="1" x14ac:dyDescent="0.25"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V8" s="3" t="s">
        <v>16</v>
      </c>
      <c r="W8" s="59">
        <f>'COLOMBIA USD'!W10+'EL SALVADOR USD'!V10+'VENEZUELA USD'!W9+'PANAMA USD'!U10</f>
        <v>24277.821066598364</v>
      </c>
      <c r="X8" s="59">
        <f>'COLOMBIA USD'!Y10+'EL SALVADOR USD'!X10+'VENEZUELA USD'!X9+'PANAMA USD'!W10</f>
        <v>251443.74025948357</v>
      </c>
      <c r="Y8" s="59">
        <f>'COLOMBIA USD'!X10+'EL SALVADOR USD'!W10+'VENEZUELA USD'!Y9+'PANAMA USD'!V10</f>
        <v>35094.905130534382</v>
      </c>
      <c r="Z8" s="59">
        <f>'COLOMBIA USD'!Z10+'EL SALVADOR USD'!Y10+'VENEZUELA USD'!Z9+'PANAMA USD'!X10</f>
        <v>173872.23529411765</v>
      </c>
      <c r="AA8" s="59">
        <f>'COLOMBIA USD'!AD10+'EL SALVADOR USD'!AC10+'VENEZUELA USD'!AA9+'PANAMA USD'!AB10</f>
        <v>180821.79176512244</v>
      </c>
      <c r="AB8" s="59">
        <f>'COLOMBIA USD'!AA10+'EL SALVADOR USD'!Z10+'VENEZUELA USD'!AB9+'PANAMA USD'!Y10</f>
        <v>131912.35992712816</v>
      </c>
      <c r="AC8" s="55">
        <f>+AB8-Z8</f>
        <v>-41959.875366989494</v>
      </c>
      <c r="AD8" s="61">
        <f>IF(Z8=0,"",(AB8-Z8)/ABS(Z8)+1)</f>
        <v>0.75867409022486376</v>
      </c>
      <c r="AE8" s="61">
        <f>IF(X8=0,"",(AB8-AA8)/ABS(AA8))</f>
        <v>-0.27048416764681188</v>
      </c>
      <c r="AF8" s="47"/>
      <c r="AG8" s="47">
        <f>+'COLOMBIA USD'!Y10+'EL SALVADOR USD'!X10+'VENEZUELA USD'!X9+'PANAMA USD'!W10</f>
        <v>251443.74025948357</v>
      </c>
      <c r="AH8" s="47">
        <f>+'COLOMBIA USD'!X10+'EL SALVADOR USD'!W10+'VENEZUELA USD'!Y9+'PANAMA USD'!V10</f>
        <v>35094.905130534382</v>
      </c>
      <c r="AI8" s="47">
        <f>+'COLOMBIA USD'!Z10+'EL SALVADOR USD'!Y10+'VENEZUELA USD'!Z9+'PANAMA USD'!X10</f>
        <v>173872.23529411765</v>
      </c>
      <c r="AJ8" s="47">
        <f>+'COLOMBIA USD'!AD10+'EL SALVADOR USD'!AC10+'VENEZUELA USD'!AA9+'PANAMA USD'!AB10</f>
        <v>180821.79176512244</v>
      </c>
      <c r="AK8" s="47">
        <f>+'COLOMBIA USD'!AA10+'EL SALVADOR USD'!Z10+'VENEZUELA USD'!AB9+'PANAMA USD'!Y10</f>
        <v>131912.35992712816</v>
      </c>
    </row>
    <row r="9" spans="1:37" x14ac:dyDescent="0.2"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V9" s="3" t="s">
        <v>17</v>
      </c>
      <c r="W9" s="59">
        <f>'COLOMBIA USD'!W11+'EL SALVADOR USD'!V11+'VENEZUELA USD'!W10+'PANAMA USD'!U11</f>
        <v>310620.43050506659</v>
      </c>
      <c r="X9" s="59">
        <f>'COLOMBIA USD'!Y11+'EL SALVADOR USD'!X11+'VENEZUELA USD'!X10+'PANAMA USD'!W11</f>
        <v>294648.26206680201</v>
      </c>
      <c r="Y9" s="59">
        <f>'COLOMBIA USD'!X11+'EL SALVADOR USD'!W11+'VENEZUELA USD'!Y10+'PANAMA USD'!V11</f>
        <v>233078.74647655708</v>
      </c>
      <c r="Z9" s="59">
        <f>'COLOMBIA USD'!Z11+'EL SALVADOR USD'!Y11+'VENEZUELA USD'!Z10+'PANAMA USD'!X11</f>
        <v>3072234.5213222504</v>
      </c>
      <c r="AA9" s="59">
        <f>'COLOMBIA USD'!AD11+'EL SALVADOR USD'!AC11+'VENEZUELA USD'!AA10+'PANAMA USD'!AB11</f>
        <v>2679288.8636204293</v>
      </c>
      <c r="AB9" s="59">
        <f>'COLOMBIA USD'!AA11+'EL SALVADOR USD'!Z11+'VENEZUELA USD'!AB10+'PANAMA USD'!Y11</f>
        <v>2218793.7314972919</v>
      </c>
      <c r="AC9" s="55">
        <f>+AB9-Z9</f>
        <v>-853440.78982495843</v>
      </c>
      <c r="AD9" s="61">
        <f>IF(Z9=0,"",(AB9-Z9)/ABS(Z9)+1)</f>
        <v>0.72220844994032274</v>
      </c>
      <c r="AE9" s="61">
        <f>IF(AA9=0,"",(AB9-AA9)/ABS(AA9))</f>
        <v>-0.17187214800754497</v>
      </c>
      <c r="AF9" s="47"/>
      <c r="AG9" s="47">
        <f>+'COLOMBIA USD'!Y11+'EL SALVADOR USD'!X11+'VENEZUELA USD'!X10+'PANAMA USD'!W11</f>
        <v>294648.26206680201</v>
      </c>
      <c r="AH9" s="47">
        <f>+'COLOMBIA USD'!X11+'EL SALVADOR USD'!W11+'VENEZUELA USD'!Y10+'PANAMA USD'!V11</f>
        <v>233078.74647655708</v>
      </c>
      <c r="AI9" s="47">
        <f>+'COLOMBIA USD'!AB11+'EL SALVADOR USD'!AA11+'VENEZUELA USD'!AC10+'PANAMA USD'!Z11</f>
        <v>-877978.01550172421</v>
      </c>
      <c r="AK9" s="47">
        <f>+'COLOMBIA USD'!AA11+'EL SALVADOR USD'!Z11+'VENEZUELA USD'!AB10+'PANAMA USD'!Y11</f>
        <v>2218793.7314972919</v>
      </c>
    </row>
    <row r="10" spans="1:37" x14ac:dyDescent="0.2">
      <c r="B10" s="3" t="s">
        <v>55</v>
      </c>
      <c r="C10" s="59">
        <f>+'COLOMBIA USD'!C10+'EL SALVADOR USD'!C10+'VENEZUELA USD'!C10+'PANAMA USD'!C10</f>
        <v>124189.58823529411</v>
      </c>
      <c r="D10" s="28">
        <f t="shared" ref="D10:D15" si="0">+C10/$C$20</f>
        <v>0.46280719194190423</v>
      </c>
      <c r="E10" s="59">
        <f>+'COLOMBIA USD'!E10+'EL SALVADOR USD'!E10+'VENEZUELA USD'!E10+'PANAMA USD'!E10</f>
        <v>84723.198989739511</v>
      </c>
      <c r="F10" s="28">
        <f t="shared" ref="F10:F20" si="1">+E10/$E$20</f>
        <v>0.44726585738793895</v>
      </c>
      <c r="G10" s="28">
        <f t="shared" ref="G10:G20" si="2">IF(C10=0,"",(E10-C10)/ABS(C10)+1)</f>
        <v>0.68220855060103636</v>
      </c>
      <c r="H10" s="59">
        <f>+'COLOMBIA USD'!H10+'EL SALVADOR USD'!H10+'VENEZUELA USD'!H10+'PANAMA USD'!H10</f>
        <v>106650.07476519086</v>
      </c>
      <c r="I10" s="28">
        <f t="shared" ref="I10:I18" si="3">+H10/$H$20</f>
        <v>0.45254802084505236</v>
      </c>
      <c r="J10" s="28">
        <f t="shared" ref="J10:J20" si="4">IF(H10=0,"",(E10-H10)/ABS(H10))</f>
        <v>-0.20559644073131006</v>
      </c>
      <c r="K10" s="59">
        <f>+'COLOMBIA USD'!K10+'EL SALVADOR USD'!K10+'VENEZUELA USD'!K10+'PANAMA USD'!K10</f>
        <v>1150542.705882353</v>
      </c>
      <c r="L10" s="28">
        <f t="shared" ref="L10:L46" si="5">+K10/$K$20</f>
        <v>0.44463277180833771</v>
      </c>
      <c r="M10" s="59">
        <f>+'COLOMBIA USD'!M10+'EL SALVADOR USD'!M10+'VENEZUELA USD'!M10+'PANAMA USD'!M10</f>
        <v>825482.33941984759</v>
      </c>
      <c r="N10" s="28">
        <f t="shared" ref="N10:N20" si="6">+M10/$M$20</f>
        <v>0.45070017973136184</v>
      </c>
      <c r="O10" s="28">
        <f t="shared" ref="O10:O18" si="7">IF(K10=0,"",(M10-K10)/ABS(K10)+1)</f>
        <v>0.71747214179832108</v>
      </c>
      <c r="P10" s="59">
        <f>+'COLOMBIA USD'!P10+'EL SALVADOR USD'!P10+'VENEZUELA USD'!P10+'PANAMA USD'!P10</f>
        <v>1004117.1777148646</v>
      </c>
      <c r="Q10" s="28">
        <f t="shared" ref="Q10:Q46" si="8">+P10/$P$20</f>
        <v>0.47441247601780251</v>
      </c>
      <c r="R10" s="28">
        <f t="shared" ref="R10:R18" si="9">IF(P10=0,"",(M10-P10)/ABS(P10))</f>
        <v>-0.17790238257007818</v>
      </c>
      <c r="V10" s="3" t="s">
        <v>18</v>
      </c>
      <c r="W10" s="59">
        <f>'COLOMBIA USD'!W13+'EL SALVADOR USD'!V13+'VENEZUELA USD'!W11+'PANAMA USD'!U13</f>
        <v>33268.562898819728</v>
      </c>
      <c r="X10" s="59">
        <f>'COLOMBIA USD'!Y13+'EL SALVADOR USD'!X13+'VENEZUELA USD'!X11+'PANAMA USD'!W13</f>
        <v>91898.204357844224</v>
      </c>
      <c r="Y10" s="59">
        <f>'COLOMBIA USD'!X13+'EL SALVADOR USD'!W13+'VENEZUELA USD'!Y11+'PANAMA USD'!V13</f>
        <v>58535.515848056821</v>
      </c>
      <c r="Z10" s="59">
        <f>'COLOMBIA USD'!Z13+'EL SALVADOR USD'!Y13+'VENEZUELA USD'!Z11+'PANAMA USD'!X13</f>
        <v>448105.27425392804</v>
      </c>
      <c r="AA10" s="59" t="e">
        <f>'COLOMBIA USD'!AD13+'EL SALVADOR USD'!AC13+'VENEZUELA USD'!AA11+'PANAMA USD'!AB13</f>
        <v>#VALUE!</v>
      </c>
      <c r="AB10" s="59">
        <f>'COLOMBIA USD'!AA13+'EL SALVADOR USD'!Z13+'VENEZUELA USD'!AB11+'PANAMA USD'!Y13</f>
        <v>281141.93092592858</v>
      </c>
      <c r="AC10" s="55">
        <f>+Z10-AB10</f>
        <v>166963.34332799946</v>
      </c>
      <c r="AD10" s="61">
        <f>IF(Z10=0,"",(AB10-Z10)/ABS(Z10)+1)</f>
        <v>0.62740152164915997</v>
      </c>
      <c r="AE10" s="61" t="e">
        <f t="shared" ref="AE10:AE22" si="10">IF(AA10=0,"",(AB10-AA10)/ABS(AA10))</f>
        <v>#VALUE!</v>
      </c>
      <c r="AF10" s="47"/>
      <c r="AG10" s="47">
        <f>+'COLOMBIA USD'!Y13+'EL SALVADOR USD'!X13+'VENEZUELA USD'!X11+'PANAMA USD'!W13</f>
        <v>91898.204357844224</v>
      </c>
      <c r="AH10" s="47">
        <f>+'COLOMBIA USD'!X13+'EL SALVADOR USD'!W13+'VENEZUELA USD'!Y11+'PANAMA USD'!V13</f>
        <v>58535.515848056821</v>
      </c>
      <c r="AI10" s="47">
        <f>+'COLOMBIA USD'!AB13+'EL SALVADOR USD'!AA13+'VENEZUELA USD'!AC11+'PANAMA USD'!Z13</f>
        <v>137523.05129105851</v>
      </c>
      <c r="AK10" s="47">
        <f>+'COLOMBIA USD'!AA13+'EL SALVADOR USD'!Z13+'VENEZUELA USD'!AB11+'PANAMA USD'!Y13</f>
        <v>281141.93092592858</v>
      </c>
    </row>
    <row r="11" spans="1:37" x14ac:dyDescent="0.2">
      <c r="B11" s="3" t="s">
        <v>57</v>
      </c>
      <c r="C11" s="59">
        <f>+'COLOMBIA USD'!C11+'EL SALVADOR USD'!C11+'VENEZUELA USD'!C11+'PANAMA USD'!C11</f>
        <v>15230.81</v>
      </c>
      <c r="D11" s="28">
        <f t="shared" si="0"/>
        <v>5.6759415239750359E-2</v>
      </c>
      <c r="E11" s="59">
        <f>+'COLOMBIA USD'!E11+'EL SALVADOR USD'!E11+'VENEZUELA USD'!E11+'PANAMA USD'!E11</f>
        <v>12116.806634144625</v>
      </c>
      <c r="F11" s="28">
        <f t="shared" si="1"/>
        <v>6.3966351278601841E-2</v>
      </c>
      <c r="G11" s="28">
        <f t="shared" si="2"/>
        <v>0.79554578083139538</v>
      </c>
      <c r="H11" s="59">
        <f>+'COLOMBIA USD'!H11+'EL SALVADOR USD'!H11+'VENEZUELA USD'!H11+'PANAMA USD'!H11</f>
        <v>8744.1888576019592</v>
      </c>
      <c r="I11" s="28">
        <f t="shared" si="3"/>
        <v>3.7104196786692654E-2</v>
      </c>
      <c r="J11" s="28">
        <f t="shared" si="4"/>
        <v>0.3856981855567545</v>
      </c>
      <c r="K11" s="59">
        <f>+'COLOMBIA USD'!K11+'EL SALVADOR USD'!K11+'VENEZUELA USD'!K11+'PANAMA USD'!K11</f>
        <v>138292.41411764707</v>
      </c>
      <c r="L11" s="28">
        <f t="shared" si="5"/>
        <v>5.3443769705218927E-2</v>
      </c>
      <c r="M11" s="59">
        <f>+'COLOMBIA USD'!M11+'EL SALVADOR USD'!M11+'VENEZUELA USD'!M11+'PANAMA USD'!M11</f>
        <v>86221.09963615505</v>
      </c>
      <c r="N11" s="28">
        <f t="shared" si="6"/>
        <v>4.7075344010341413E-2</v>
      </c>
      <c r="O11" s="28">
        <f t="shared" si="7"/>
        <v>0.62346948085529608</v>
      </c>
      <c r="P11" s="59">
        <f>+'COLOMBIA USD'!P11+'EL SALVADOR USD'!P11+'VENEZUELA USD'!P11+'PANAMA USD'!P11</f>
        <v>87151.971416979373</v>
      </c>
      <c r="Q11" s="28">
        <f t="shared" si="8"/>
        <v>4.1176451780115648E-2</v>
      </c>
      <c r="R11" s="28">
        <f t="shared" si="9"/>
        <v>-1.068101806177808E-2</v>
      </c>
      <c r="V11" s="3" t="s">
        <v>19</v>
      </c>
      <c r="W11" s="59">
        <f>'COLOMBIA USD'!W14+'EL SALVADOR USD'!V14+'VENEZUELA USD'!W12+'PANAMA USD'!U14</f>
        <v>2456.7647058823527</v>
      </c>
      <c r="X11" s="59">
        <f>'COLOMBIA USD'!Y14+'EL SALVADOR USD'!X14+'VENEZUELA USD'!X12+'PANAMA USD'!W14</f>
        <v>2195.8083626639609</v>
      </c>
      <c r="Y11" s="59">
        <f>'COLOMBIA USD'!X14+'EL SALVADOR USD'!W14+'VENEZUELA USD'!Y12+'PANAMA USD'!V14</f>
        <v>2707.0491884915609</v>
      </c>
      <c r="Z11" s="59">
        <f>'COLOMBIA USD'!Z14+'EL SALVADOR USD'!Y14+'VENEZUELA USD'!Z12+'PANAMA USD'!X14</f>
        <v>24567.647058823528</v>
      </c>
      <c r="AA11" s="59">
        <f>'COLOMBIA USD'!AD14+'EL SALVADOR USD'!AC14+'VENEZUELA USD'!AA12+'PANAMA USD'!AB14</f>
        <v>19409.741996173805</v>
      </c>
      <c r="AB11" s="59">
        <f>'COLOMBIA USD'!AA14+'EL SALVADOR USD'!Z14+'VENEZUELA USD'!AB12+'PANAMA USD'!Y14</f>
        <v>21429.459138236554</v>
      </c>
      <c r="AC11" s="55">
        <f>+Z11-AB11</f>
        <v>3138.1879205869736</v>
      </c>
      <c r="AD11" s="61">
        <f t="shared" ref="AD11:AD22" si="11">IF(Z11=0,"",(AB11-Z11)/ABS(Z11)+1)</f>
        <v>0.8722633912367328</v>
      </c>
      <c r="AE11" s="61">
        <f t="shared" si="10"/>
        <v>0.1040568773382403</v>
      </c>
      <c r="AF11" s="47"/>
      <c r="AG11" s="47">
        <f>+'COLOMBIA USD'!Y14+'EL SALVADOR USD'!X14+'VENEZUELA USD'!X12+'PANAMA USD'!W14</f>
        <v>2195.8083626639609</v>
      </c>
      <c r="AH11" s="47">
        <f>+'COLOMBIA USD'!X14+'EL SALVADOR USD'!W14+'VENEZUELA USD'!Y12+'PANAMA USD'!V14</f>
        <v>2707.0491884915609</v>
      </c>
      <c r="AI11" s="47">
        <f>+'COLOMBIA USD'!AB14+'EL SALVADOR USD'!AA14+'VENEZUELA USD'!AC12+'PANAMA USD'!Z14</f>
        <v>3138.1879205869736</v>
      </c>
      <c r="AK11" s="47">
        <f>+'COLOMBIA USD'!AA14+'EL SALVADOR USD'!Z14+'VENEZUELA USD'!AB12+'PANAMA USD'!Y14</f>
        <v>21429.459138236554</v>
      </c>
    </row>
    <row r="12" spans="1:37" x14ac:dyDescent="0.2">
      <c r="B12" s="3" t="s">
        <v>59</v>
      </c>
      <c r="C12" s="59">
        <f>+'COLOMBIA USD'!C12+'EL SALVADOR USD'!C12+'VENEZUELA USD'!C12+'PANAMA USD'!C12</f>
        <v>20953.33411764706</v>
      </c>
      <c r="D12" s="28">
        <f t="shared" si="0"/>
        <v>7.8085078327466348E-2</v>
      </c>
      <c r="E12" s="59">
        <f>+'COLOMBIA USD'!E12+'EL SALVADOR USD'!E12+'VENEZUELA USD'!E12+'PANAMA USD'!E12</f>
        <v>17817.712574738423</v>
      </c>
      <c r="F12" s="28">
        <f t="shared" si="1"/>
        <v>9.4062247252932066E-2</v>
      </c>
      <c r="G12" s="28">
        <f t="shared" si="2"/>
        <v>0.85035214322918695</v>
      </c>
      <c r="H12" s="59">
        <f>+'COLOMBIA USD'!H12+'EL SALVADOR USD'!H12+'VENEZUELA USD'!H12+'PANAMA USD'!H12</f>
        <v>21313.395191468222</v>
      </c>
      <c r="I12" s="28">
        <f t="shared" si="3"/>
        <v>9.0439081572360108E-2</v>
      </c>
      <c r="J12" s="28">
        <f t="shared" si="4"/>
        <v>-0.16401340965746858</v>
      </c>
      <c r="K12" s="59">
        <f>+'COLOMBIA USD'!K12+'EL SALVADOR USD'!K12+'VENEZUELA USD'!K12+'PANAMA USD'!K12</f>
        <v>247440.04058823531</v>
      </c>
      <c r="L12" s="28">
        <f t="shared" si="5"/>
        <v>9.5624395809575949E-2</v>
      </c>
      <c r="M12" s="59">
        <f>+'COLOMBIA USD'!M12+'EL SALVADOR USD'!M12+'VENEZUELA USD'!M12+'PANAMA USD'!M12</f>
        <v>196622.03588366619</v>
      </c>
      <c r="N12" s="28">
        <f t="shared" si="6"/>
        <v>0.10735249281552824</v>
      </c>
      <c r="O12" s="28">
        <f t="shared" si="7"/>
        <v>0.79462497426139977</v>
      </c>
      <c r="P12" s="59">
        <f>+'COLOMBIA USD'!P12+'EL SALVADOR USD'!P12+'VENEZUELA USD'!P12+'PANAMA USD'!P12</f>
        <v>257564.53269514325</v>
      </c>
      <c r="Q12" s="28">
        <f t="shared" si="8"/>
        <v>0.12169080501973996</v>
      </c>
      <c r="R12" s="28">
        <f t="shared" si="9"/>
        <v>-0.2366105929794666</v>
      </c>
      <c r="V12" s="3" t="s">
        <v>20</v>
      </c>
      <c r="W12" s="59">
        <f>'COLOMBIA USD'!W15+'EL SALVADOR USD'!V15+'VENEZUELA USD'!W13+'PANAMA USD'!U15</f>
        <v>112443.88196052647</v>
      </c>
      <c r="X12" s="59">
        <f>'COLOMBIA USD'!Y15+'EL SALVADOR USD'!X15+'VENEZUELA USD'!X13+'PANAMA USD'!W15</f>
        <v>84238.69820845357</v>
      </c>
      <c r="Y12" s="59">
        <f>'COLOMBIA USD'!X15+'EL SALVADOR USD'!W15+'VENEZUELA USD'!Y13+'PANAMA USD'!V15</f>
        <v>78091.769655269716</v>
      </c>
      <c r="Z12" s="59">
        <f>'COLOMBIA USD'!Z15+'EL SALVADOR USD'!Y15+'VENEZUELA USD'!Z13+'PANAMA USD'!X15</f>
        <v>1209745.5392143971</v>
      </c>
      <c r="AA12" s="59" t="e">
        <f>'COLOMBIA USD'!AD15+'EL SALVADOR USD'!AC15+'VENEZUELA USD'!AA13+'PANAMA USD'!AB15</f>
        <v>#VALUE!</v>
      </c>
      <c r="AB12" s="59">
        <f>'COLOMBIA USD'!AA15+'EL SALVADOR USD'!Z15+'VENEZUELA USD'!AB13+'PANAMA USD'!Y15</f>
        <v>843670.85293417051</v>
      </c>
      <c r="AC12" s="55">
        <f>+Z12-AB12</f>
        <v>366074.68628022657</v>
      </c>
      <c r="AD12" s="61">
        <f t="shared" si="11"/>
        <v>0.69739529974381742</v>
      </c>
      <c r="AE12" s="61" t="e">
        <f t="shared" si="10"/>
        <v>#VALUE!</v>
      </c>
      <c r="AF12" s="47"/>
      <c r="AG12" s="47">
        <f>+'COLOMBIA USD'!Y15+'EL SALVADOR USD'!X15+'VENEZUELA USD'!X13+'PANAMA USD'!W15</f>
        <v>84238.69820845357</v>
      </c>
      <c r="AH12" s="47">
        <f>+'COLOMBIA USD'!X15+'EL SALVADOR USD'!W15+'VENEZUELA USD'!Y13+'PANAMA USD'!V15</f>
        <v>78091.769655269716</v>
      </c>
      <c r="AI12" s="47" t="e">
        <f>+'COLOMBIA USD'!AB15+'EL SALVADOR USD'!AA15+'VENEZUELA USD'!AC13+'PANAMA USD'!Z15</f>
        <v>#VALUE!</v>
      </c>
      <c r="AK12" s="47">
        <f>+'COLOMBIA USD'!AA15+'EL SALVADOR USD'!Z15+'VENEZUELA USD'!AB13+'PANAMA USD'!Y15</f>
        <v>843670.85293417051</v>
      </c>
    </row>
    <row r="13" spans="1:37" x14ac:dyDescent="0.2">
      <c r="B13" s="3" t="s">
        <v>61</v>
      </c>
      <c r="C13" s="59">
        <f>+'COLOMBIA USD'!C13+'EL SALVADOR USD'!C13+'VENEZUELA USD'!C13+'PANAMA USD'!C13</f>
        <v>30422.888823529414</v>
      </c>
      <c r="D13" s="28">
        <f t="shared" si="0"/>
        <v>0.11337449416856138</v>
      </c>
      <c r="E13" s="59">
        <f>+'COLOMBIA USD'!E13+'EL SALVADOR USD'!E13+'VENEZUELA USD'!E13+'PANAMA USD'!E13</f>
        <v>19869.872351343896</v>
      </c>
      <c r="F13" s="28">
        <f t="shared" si="1"/>
        <v>0.10489589155490946</v>
      </c>
      <c r="G13" s="28">
        <f t="shared" si="2"/>
        <v>0.65312247191911332</v>
      </c>
      <c r="H13" s="59">
        <f>+'COLOMBIA USD'!H13+'EL SALVADOR USD'!H13+'VENEZUELA USD'!H13+'PANAMA USD'!H13</f>
        <v>26973.554553381742</v>
      </c>
      <c r="I13" s="28">
        <f t="shared" si="3"/>
        <v>0.11445682298080397</v>
      </c>
      <c r="J13" s="28">
        <f t="shared" si="4"/>
        <v>-0.26335728900614025</v>
      </c>
      <c r="K13" s="59">
        <f>+'COLOMBIA USD'!K13+'EL SALVADOR USD'!K13+'VENEZUELA USD'!K13+'PANAMA USD'!K13</f>
        <v>281776.98588235292</v>
      </c>
      <c r="L13" s="28">
        <f t="shared" si="5"/>
        <v>0.10889407374808083</v>
      </c>
      <c r="M13" s="59">
        <f>+'COLOMBIA USD'!M13+'EL SALVADOR USD'!M13+'VENEZUELA USD'!M13+'PANAMA USD'!M13</f>
        <v>191603.55807046403</v>
      </c>
      <c r="N13" s="28">
        <f t="shared" si="6"/>
        <v>0.10461248404201809</v>
      </c>
      <c r="O13" s="28">
        <f t="shared" si="7"/>
        <v>0.67998299247356575</v>
      </c>
      <c r="P13" s="59">
        <f>+'COLOMBIA USD'!P13+'EL SALVADOR USD'!P13+'VENEZUELA USD'!P13+'PANAMA USD'!P13</f>
        <v>159961.28257842231</v>
      </c>
      <c r="Q13" s="28">
        <f t="shared" si="8"/>
        <v>7.5576466391816102E-2</v>
      </c>
      <c r="R13" s="28">
        <f t="shared" si="9"/>
        <v>0.19781208916306883</v>
      </c>
      <c r="V13" s="3" t="s">
        <v>21</v>
      </c>
      <c r="W13" s="59">
        <f>'COLOMBIA USD'!W16+'EL SALVADOR USD'!V16+'VENEZUELA USD'!W14+'PANAMA USD'!U16</f>
        <v>70276.737352941185</v>
      </c>
      <c r="X13" s="59">
        <f>'COLOMBIA USD'!Y16+'EL SALVADOR USD'!X16+'VENEZUELA USD'!X14+'PANAMA USD'!W16</f>
        <v>42534.444675037783</v>
      </c>
      <c r="Y13" s="59">
        <f>'COLOMBIA USD'!X16+'EL SALVADOR USD'!W16+'VENEZUELA USD'!Y14+'PANAMA USD'!V16</f>
        <v>53843.999226877917</v>
      </c>
      <c r="Z13" s="59">
        <f>'COLOMBIA USD'!Z16+'EL SALVADOR USD'!Y16+'VENEZUELA USD'!Z14+'PANAMA USD'!X16</f>
        <v>748680.09852941183</v>
      </c>
      <c r="AA13" s="59" t="e">
        <f>'COLOMBIA USD'!AD16+'EL SALVADOR USD'!AC16+'VENEZUELA USD'!AA14+'PANAMA USD'!AB16</f>
        <v>#VALUE!</v>
      </c>
      <c r="AB13" s="59">
        <f>'COLOMBIA USD'!AA16+'EL SALVADOR USD'!Z16+'VENEZUELA USD'!AB14+'PANAMA USD'!Y16</f>
        <v>530883.60635138664</v>
      </c>
      <c r="AC13" s="55">
        <f>+Z13-AB13</f>
        <v>217796.49217802519</v>
      </c>
      <c r="AD13" s="61">
        <f t="shared" si="11"/>
        <v>0.70909271849775357</v>
      </c>
      <c r="AE13" s="61" t="e">
        <f t="shared" si="10"/>
        <v>#VALUE!</v>
      </c>
      <c r="AF13" s="47"/>
      <c r="AG13" s="47">
        <f>+'COLOMBIA USD'!Y16+'EL SALVADOR USD'!X16+'VENEZUELA USD'!X14+'PANAMA USD'!W16</f>
        <v>42534.444675037783</v>
      </c>
      <c r="AH13" s="47">
        <f>+'COLOMBIA USD'!X16+'EL SALVADOR USD'!W16+'VENEZUELA USD'!Y14+'PANAMA USD'!V16</f>
        <v>53843.999226877917</v>
      </c>
      <c r="AI13" s="47" t="e">
        <f>+'COLOMBIA USD'!AB16+'EL SALVADOR USD'!AA16+'VENEZUELA USD'!AC14+'PANAMA USD'!Z16</f>
        <v>#VALUE!</v>
      </c>
      <c r="AK13" s="47">
        <f>+'COLOMBIA USD'!AA16+'EL SALVADOR USD'!Z16+'VENEZUELA USD'!AB14+'PANAMA USD'!Y16</f>
        <v>530883.60635138664</v>
      </c>
    </row>
    <row r="14" spans="1:37" x14ac:dyDescent="0.2">
      <c r="B14" s="3" t="s">
        <v>62</v>
      </c>
      <c r="C14" s="59">
        <f>+'COLOMBIA USD'!C14+'EL SALVADOR USD'!C14+'VENEZUELA USD'!C14+'PANAMA USD'!C14</f>
        <v>0</v>
      </c>
      <c r="D14" s="28">
        <f t="shared" si="0"/>
        <v>0</v>
      </c>
      <c r="E14" s="59">
        <f>+'COLOMBIA USD'!E14+'EL SALVADOR USD'!E14+'VENEZUELA USD'!E14+'PANAMA USD'!E14</f>
        <v>0</v>
      </c>
      <c r="F14" s="28">
        <f t="shared" si="1"/>
        <v>0</v>
      </c>
      <c r="G14" s="28" t="str">
        <f t="shared" si="2"/>
        <v/>
      </c>
      <c r="H14" s="59">
        <f>+'COLOMBIA USD'!H14+'EL SALVADOR USD'!H14+'VENEZUELA USD'!H14+'PANAMA USD'!H14</f>
        <v>0</v>
      </c>
      <c r="I14" s="28">
        <f t="shared" si="3"/>
        <v>0</v>
      </c>
      <c r="J14" s="28" t="str">
        <f t="shared" si="4"/>
        <v/>
      </c>
      <c r="K14" s="59">
        <f>+'COLOMBIA USD'!K14+'EL SALVADOR USD'!K14+'VENEZUELA USD'!K14+'PANAMA USD'!K14</f>
        <v>0</v>
      </c>
      <c r="L14" s="28">
        <f t="shared" si="5"/>
        <v>0</v>
      </c>
      <c r="M14" s="59">
        <f>+'COLOMBIA USD'!M14+'EL SALVADOR USD'!M14+'VENEZUELA USD'!M14+'PANAMA USD'!M14</f>
        <v>0</v>
      </c>
      <c r="N14" s="28">
        <f t="shared" si="6"/>
        <v>0</v>
      </c>
      <c r="O14" s="28" t="str">
        <f t="shared" si="7"/>
        <v/>
      </c>
      <c r="P14" s="59">
        <f>+'COLOMBIA USD'!P14+'EL SALVADOR USD'!P14+'VENEZUELA USD'!P14+'PANAMA USD'!P14</f>
        <v>0</v>
      </c>
      <c r="Q14" s="28">
        <f t="shared" si="8"/>
        <v>0</v>
      </c>
      <c r="R14" s="28" t="str">
        <f t="shared" si="9"/>
        <v/>
      </c>
      <c r="V14" s="3" t="s">
        <v>22</v>
      </c>
      <c r="W14" s="59">
        <f>SUM(W10:W13)</f>
        <v>218445.94691816973</v>
      </c>
      <c r="X14" s="59">
        <f>SUM(X10:X13)</f>
        <v>220867.15560399953</v>
      </c>
      <c r="Y14" s="59">
        <f>SUM(Y10:Y13)</f>
        <v>193178.33391869604</v>
      </c>
      <c r="Z14" s="59">
        <f>'COLOMBIA USD'!Z17+'EL SALVADOR USD'!Y17+'VENEZUELA USD'!Z15+'PANAMA USD'!X17</f>
        <v>2388125.1027029692</v>
      </c>
      <c r="AA14" s="59" t="e">
        <f>'COLOMBIA USD'!AD17+'EL SALVADOR USD'!AC17+'VENEZUELA USD'!AA15+'PANAMA USD'!AB17</f>
        <v>#VALUE!</v>
      </c>
      <c r="AB14" s="59">
        <f>'COLOMBIA USD'!AA17+'EL SALVADOR USD'!Z17+'VENEZUELA USD'!AB15+'PANAMA USD'!Y17</f>
        <v>1672363.9708966836</v>
      </c>
      <c r="AC14" s="55">
        <f>+AB14-Z14</f>
        <v>-715761.13180628559</v>
      </c>
      <c r="AD14" s="61">
        <f t="shared" si="11"/>
        <v>0.70028323432630879</v>
      </c>
      <c r="AE14" s="61" t="e">
        <f t="shared" si="10"/>
        <v>#VALUE!</v>
      </c>
      <c r="AF14" s="47"/>
      <c r="AG14" s="47">
        <f>+'COLOMBIA USD'!Y17+'EL SALVADOR USD'!X17+'VENEZUELA USD'!X15+'PANAMA USD'!W17</f>
        <v>220867.15560399953</v>
      </c>
      <c r="AH14" s="47">
        <f>+'COLOMBIA USD'!X17+'EL SALVADOR USD'!W17+'VENEZUELA USD'!Y15+'PANAMA USD'!V17</f>
        <v>165477.12286897225</v>
      </c>
      <c r="AI14" s="47">
        <f>+'COLOMBIA USD'!AB17+'EL SALVADOR USD'!AA17+'VENEZUELA USD'!AC15+'PANAMA USD'!Z17</f>
        <v>-724521.66356445872</v>
      </c>
      <c r="AK14" s="47">
        <f>+'COLOMBIA USD'!AA17+'EL SALVADOR USD'!Z17+'VENEZUELA USD'!AB15+'PANAMA USD'!Y17</f>
        <v>1672363.9708966836</v>
      </c>
    </row>
    <row r="15" spans="1:37" x14ac:dyDescent="0.2">
      <c r="B15" s="3" t="s">
        <v>64</v>
      </c>
      <c r="C15" s="59">
        <f>+'COLOMBIA USD'!C15+'EL SALVADOR USD'!C15+'VENEZUELA USD'!C15+'PANAMA USD'!C15</f>
        <v>37373.470588235294</v>
      </c>
      <c r="D15" s="28">
        <f t="shared" si="0"/>
        <v>0.13927665935483696</v>
      </c>
      <c r="E15" s="59">
        <f>+'COLOMBIA USD'!E15+'EL SALVADOR USD'!E15+'VENEZUELA USD'!E15+'PANAMA USD'!E15</f>
        <v>27212.045457064349</v>
      </c>
      <c r="F15" s="28">
        <f t="shared" si="1"/>
        <v>0.14365627110122975</v>
      </c>
      <c r="G15" s="28">
        <f t="shared" si="2"/>
        <v>0.72811127863598424</v>
      </c>
      <c r="H15" s="59">
        <f>+'COLOMBIA USD'!H15+'EL SALVADOR USD'!H15+'VENEZUELA USD'!H15+'PANAMA USD'!H15</f>
        <v>30293.449538039142</v>
      </c>
      <c r="I15" s="28">
        <f t="shared" si="3"/>
        <v>0.12854412585450517</v>
      </c>
      <c r="J15" s="28">
        <f t="shared" si="4"/>
        <v>-0.10171849452488099</v>
      </c>
      <c r="K15" s="59">
        <f>+'COLOMBIA USD'!K15+'EL SALVADOR USD'!K15+'VENEZUELA USD'!K15+'PANAMA USD'!K15</f>
        <v>368206.29411764705</v>
      </c>
      <c r="L15" s="28">
        <f t="shared" si="5"/>
        <v>0.14229509631739479</v>
      </c>
      <c r="M15" s="59">
        <f>+'COLOMBIA USD'!M15+'EL SALVADOR USD'!M15+'VENEZUELA USD'!M15+'PANAMA USD'!M15</f>
        <v>261210.16599339992</v>
      </c>
      <c r="N15" s="28">
        <f t="shared" si="6"/>
        <v>0.14261658080247189</v>
      </c>
      <c r="O15" s="28">
        <f t="shared" si="7"/>
        <v>0.70941254988416791</v>
      </c>
      <c r="P15" s="59">
        <f>+'COLOMBIA USD'!P15+'EL SALVADOR USD'!P15+'VENEZUELA USD'!P15+'PANAMA USD'!P15</f>
        <v>309688.40786328883</v>
      </c>
      <c r="Q15" s="28">
        <f t="shared" si="8"/>
        <v>0.14631762868830664</v>
      </c>
      <c r="R15" s="28">
        <f t="shared" si="9"/>
        <v>-0.15653876812621773</v>
      </c>
      <c r="V15" s="3" t="s">
        <v>23</v>
      </c>
      <c r="W15" s="59">
        <f>W9-W14</f>
        <v>92174.483586896851</v>
      </c>
      <c r="X15" s="59">
        <f>X9-X14</f>
        <v>73781.106462802476</v>
      </c>
      <c r="Y15" s="59">
        <f t="shared" ref="Y15:AB15" si="12">Y9-Y14</f>
        <v>39900.41255786104</v>
      </c>
      <c r="Z15" s="59">
        <f t="shared" si="12"/>
        <v>684109.41861928115</v>
      </c>
      <c r="AA15" s="59" t="e">
        <f>AA9-AA14</f>
        <v>#VALUE!</v>
      </c>
      <c r="AB15" s="59">
        <f t="shared" si="12"/>
        <v>546429.76060060831</v>
      </c>
      <c r="AC15" s="55">
        <f>+AB15-Z15</f>
        <v>-137679.65801867284</v>
      </c>
      <c r="AD15" s="61">
        <f t="shared" si="11"/>
        <v>0.79874614459109794</v>
      </c>
      <c r="AE15" s="61" t="e">
        <f t="shared" si="10"/>
        <v>#VALUE!</v>
      </c>
      <c r="AF15" s="47"/>
      <c r="AG15" s="47">
        <f>+'COLOMBIA USD'!Y19+'EL SALVADOR USD'!X19+'VENEZUELA USD'!X16+'PANAMA USD'!W19</f>
        <v>47631.714197609152</v>
      </c>
      <c r="AH15" s="47">
        <f>+'COLOMBIA USD'!X19+'EL SALVADOR USD'!W19+'VENEZUELA USD'!Y16+'PANAMA USD'!V19</f>
        <v>91260.950679407979</v>
      </c>
      <c r="AI15" s="47">
        <f>+'COLOMBIA USD'!AB19+'EL SALVADOR USD'!AA19+'VENEZUELA USD'!AC16+'PANAMA USD'!Z19</f>
        <v>-153478.06504470154</v>
      </c>
      <c r="AK15" s="47">
        <f>+'COLOMBIA USD'!AA19+'EL SALVADOR USD'!Z19+'VENEZUELA USD'!AB16+'PANAMA USD'!Y19</f>
        <v>551263.68325254181</v>
      </c>
    </row>
    <row r="16" spans="1:37" x14ac:dyDescent="0.2">
      <c r="B16" s="3" t="s">
        <v>65</v>
      </c>
      <c r="C16" s="59">
        <f>+'COLOMBIA USD'!C16+'EL SALVADOR USD'!C16+'VENEZUELA USD'!C16+'PANAMA USD'!C16</f>
        <v>0</v>
      </c>
      <c r="D16" s="28"/>
      <c r="E16" s="59">
        <f>+'COLOMBIA USD'!E16+'EL SALVADOR USD'!E16+'VENEZUELA USD'!E16+'PANAMA USD'!E16</f>
        <v>0</v>
      </c>
      <c r="F16" s="28">
        <f t="shared" si="1"/>
        <v>0</v>
      </c>
      <c r="G16" s="28" t="str">
        <f t="shared" si="2"/>
        <v/>
      </c>
      <c r="H16" s="59">
        <f>+'COLOMBIA USD'!H16+'EL SALVADOR USD'!H16+'VENEZUELA USD'!H16+'PANAMA USD'!H16</f>
        <v>0</v>
      </c>
      <c r="I16" s="28">
        <f t="shared" si="3"/>
        <v>0</v>
      </c>
      <c r="J16" s="28" t="str">
        <f t="shared" si="4"/>
        <v/>
      </c>
      <c r="K16" s="59">
        <f>+'COLOMBIA USD'!K16+'EL SALVADOR USD'!K16+'VENEZUELA USD'!K16+'PANAMA USD'!K16</f>
        <v>0</v>
      </c>
      <c r="L16" s="28">
        <f t="shared" si="5"/>
        <v>0</v>
      </c>
      <c r="M16" s="59">
        <f>+'COLOMBIA USD'!M16+'EL SALVADOR USD'!M16+'VENEZUELA USD'!M16+'PANAMA USD'!M16</f>
        <v>0</v>
      </c>
      <c r="N16" s="28">
        <f t="shared" si="6"/>
        <v>0</v>
      </c>
      <c r="O16" s="28" t="str">
        <f t="shared" si="7"/>
        <v/>
      </c>
      <c r="P16" s="59">
        <f>+'COLOMBIA USD'!P16+'EL SALVADOR USD'!P16+'VENEZUELA USD'!P16+'PANAMA USD'!P16</f>
        <v>0</v>
      </c>
      <c r="Q16" s="28">
        <f t="shared" si="8"/>
        <v>0</v>
      </c>
      <c r="R16" s="28" t="str">
        <f t="shared" si="9"/>
        <v/>
      </c>
      <c r="V16" s="3"/>
      <c r="W16" s="59"/>
      <c r="X16" s="59"/>
      <c r="Y16" s="59"/>
      <c r="Z16" s="59"/>
      <c r="AA16" s="59"/>
      <c r="AB16" s="59"/>
      <c r="AC16" s="55"/>
      <c r="AD16" s="61"/>
      <c r="AE16" s="61"/>
      <c r="AF16" s="47"/>
      <c r="AG16" s="47"/>
      <c r="AH16" s="47"/>
      <c r="AI16" s="47"/>
      <c r="AK16" s="47"/>
    </row>
    <row r="17" spans="2:37" x14ac:dyDescent="0.2">
      <c r="B17" s="3" t="s">
        <v>66</v>
      </c>
      <c r="C17" s="59">
        <f>+'COLOMBIA USD'!C17+'EL SALVADOR USD'!C17+'VENEZUELA USD'!C17+'PANAMA USD'!C17</f>
        <v>5688.5294117647054</v>
      </c>
      <c r="D17" s="28">
        <f>+C17/$C$20</f>
        <v>2.1198977794738807E-2</v>
      </c>
      <c r="E17" s="59">
        <f>+'COLOMBIA USD'!E17+'EL SALVADOR USD'!E17+'VENEZUELA USD'!E17+'PANAMA USD'!E17</f>
        <v>4146.8950620614096</v>
      </c>
      <c r="F17" s="28">
        <f t="shared" si="1"/>
        <v>2.1892050790661595E-2</v>
      </c>
      <c r="G17" s="28">
        <f t="shared" si="2"/>
        <v>0.72899246217924585</v>
      </c>
      <c r="H17" s="59">
        <f>+'COLOMBIA USD'!H17+'EL SALVADOR USD'!H17+'VENEZUELA USD'!H17+'PANAMA USD'!H17</f>
        <v>4788.544143915612</v>
      </c>
      <c r="I17" s="28">
        <f t="shared" si="3"/>
        <v>2.0319218526844113E-2</v>
      </c>
      <c r="J17" s="28">
        <f t="shared" si="4"/>
        <v>-0.13399669347717935</v>
      </c>
      <c r="K17" s="59">
        <f>+'COLOMBIA USD'!K17+'EL SALVADOR USD'!K17+'VENEZUELA USD'!K17+'PANAMA USD'!K17</f>
        <v>78195.588235294126</v>
      </c>
      <c r="L17" s="28">
        <f t="shared" si="5"/>
        <v>3.021906180664401E-2</v>
      </c>
      <c r="M17" s="59">
        <f>+'COLOMBIA USD'!M17+'EL SALVADOR USD'!M17+'VENEZUELA USD'!M17+'PANAMA USD'!M17</f>
        <v>55270.458478406123</v>
      </c>
      <c r="N17" s="28">
        <f t="shared" si="6"/>
        <v>3.0176788018941202E-2</v>
      </c>
      <c r="O17" s="28">
        <f t="shared" si="7"/>
        <v>0.70682323294371496</v>
      </c>
      <c r="P17" s="59">
        <f>+'COLOMBIA USD'!P17+'EL SALVADOR USD'!P17+'VENEZUELA USD'!P17+'PANAMA USD'!P17</f>
        <v>60380.728456521974</v>
      </c>
      <c r="Q17" s="28">
        <f t="shared" si="8"/>
        <v>2.852791638920801E-2</v>
      </c>
      <c r="R17" s="28">
        <f t="shared" si="9"/>
        <v>-8.4634122653812899E-2</v>
      </c>
      <c r="V17" s="3"/>
      <c r="W17" s="59"/>
      <c r="X17" s="59"/>
      <c r="Y17" s="59"/>
      <c r="Z17" s="59"/>
      <c r="AA17" s="59"/>
      <c r="AB17" s="59"/>
      <c r="AC17" s="55"/>
      <c r="AD17" s="61"/>
      <c r="AE17" s="61" t="str">
        <f t="shared" si="10"/>
        <v/>
      </c>
      <c r="AF17" s="47"/>
      <c r="AG17" s="47"/>
      <c r="AH17" s="47"/>
      <c r="AI17" s="47"/>
      <c r="AK17" s="47" t="e">
        <f>+'COLOMBIA USD'!AA20+'EL SALVADOR USD'!#REF!+'VENEZUELA USD'!AB18+'PANAMA USD'!Y20</f>
        <v>#REF!</v>
      </c>
    </row>
    <row r="18" spans="2:37" x14ac:dyDescent="0.2">
      <c r="B18" s="3" t="s">
        <v>68</v>
      </c>
      <c r="C18" s="59">
        <f>+'COLOMBIA USD'!C18+'EL SALVADOR USD'!C18+'VENEZUELA USD'!C18+'PANAMA USD'!C18</f>
        <v>34481.176470588238</v>
      </c>
      <c r="D18" s="32">
        <f t="shared" ref="D18:D46" si="13">+C18/$C$20</f>
        <v>0.12849818317274181</v>
      </c>
      <c r="E18" s="59">
        <f>+'COLOMBIA USD'!E18+'EL SALVADOR USD'!E18+'VENEZUELA USD'!E18+'PANAMA USD'!E18</f>
        <v>23538.16475841491</v>
      </c>
      <c r="F18" s="28">
        <f t="shared" si="1"/>
        <v>0.12426133063372637</v>
      </c>
      <c r="G18" s="32">
        <f t="shared" si="2"/>
        <v>0.68263809903622341</v>
      </c>
      <c r="H18" s="59">
        <f>+'COLOMBIA USD'!H18+'EL SALVADOR USD'!H18+'VENEZUELA USD'!H18+'PANAMA USD'!H18</f>
        <v>25727.071376478423</v>
      </c>
      <c r="I18" s="28">
        <f t="shared" si="3"/>
        <v>0.1091676237377073</v>
      </c>
      <c r="J18" s="32">
        <f t="shared" si="4"/>
        <v>-8.5081841847913231E-2</v>
      </c>
      <c r="K18" s="59">
        <f>+'COLOMBIA USD'!K18+'EL SALVADOR USD'!K18+'VENEZUELA USD'!K18+'PANAMA USD'!K18</f>
        <v>323170.58823529416</v>
      </c>
      <c r="L18" s="28">
        <f t="shared" si="5"/>
        <v>0.12489083080474793</v>
      </c>
      <c r="M18" s="59">
        <f>+'COLOMBIA USD'!M18+'EL SALVADOR USD'!M18+'VENEZUELA USD'!M18+'PANAMA USD'!M18</f>
        <v>215145.72355179669</v>
      </c>
      <c r="N18" s="28">
        <f t="shared" si="6"/>
        <v>0.11746613057933732</v>
      </c>
      <c r="O18" s="28">
        <f t="shared" si="7"/>
        <v>0.6657342325816894</v>
      </c>
      <c r="P18" s="59">
        <f>+'COLOMBIA USD'!P18+'EL SALVADOR USD'!P18+'VENEZUELA USD'!P18+'PANAMA USD'!P18</f>
        <v>216684.74331737327</v>
      </c>
      <c r="Q18" s="28">
        <f t="shared" si="8"/>
        <v>0.10237644358044055</v>
      </c>
      <c r="R18" s="32">
        <f t="shared" si="9"/>
        <v>-7.102575575994351E-3</v>
      </c>
      <c r="V18" s="3" t="s">
        <v>25</v>
      </c>
      <c r="W18" s="59">
        <f>W8+W15</f>
        <v>116452.30465349522</v>
      </c>
      <c r="X18" s="59">
        <f>'COLOMBIA USD'!Y21+'EL SALVADOR USD'!X21+'VENEZUELA USD'!X19+'PANAMA USD'!W21</f>
        <v>299075.45445709274</v>
      </c>
      <c r="Y18" s="59">
        <f t="shared" ref="Y18" si="14">Y8+Y15</f>
        <v>74995.317688395415</v>
      </c>
      <c r="Z18" s="59">
        <f>Z8+Z15</f>
        <v>857981.65391339874</v>
      </c>
      <c r="AA18" s="59" t="e">
        <f>AA8+AA15</f>
        <v>#VALUE!</v>
      </c>
      <c r="AB18" s="59">
        <f>AB8+AB15</f>
        <v>678342.12052773649</v>
      </c>
      <c r="AC18" s="55">
        <f>+AB18-Z18</f>
        <v>-179639.53338566225</v>
      </c>
      <c r="AD18" s="61">
        <f t="shared" si="11"/>
        <v>0.79062543754135528</v>
      </c>
      <c r="AE18" s="61" t="e">
        <f t="shared" si="10"/>
        <v>#VALUE!</v>
      </c>
      <c r="AF18" s="47"/>
      <c r="AG18" s="47">
        <f>+'COLOMBIA USD'!Y21+'EL SALVADOR USD'!X21+'VENEZUELA USD'!X19+'PANAMA USD'!W21</f>
        <v>299075.45445709274</v>
      </c>
      <c r="AH18" s="47">
        <f>+'COLOMBIA USD'!X21+'EL SALVADOR USD'!W21+'VENEZUELA USD'!Y19+'PANAMA USD'!V21</f>
        <v>118747.23260552248</v>
      </c>
      <c r="AI18" s="47">
        <f>+'COLOMBIA USD'!AB21+'EL SALVADOR USD'!AA21+'VENEZUELA USD'!AC19+'PANAMA USD'!Z21</f>
        <v>-195432.67031330118</v>
      </c>
      <c r="AK18" s="47">
        <f>+'COLOMBIA USD'!AA21+'EL SALVADOR USD'!Z21+'VENEZUELA USD'!AB19+'PANAMA USD'!Y21</f>
        <v>680428.9713564656</v>
      </c>
    </row>
    <row r="19" spans="2:37" x14ac:dyDescent="0.2">
      <c r="B19" s="3" t="s">
        <v>70</v>
      </c>
      <c r="C19" s="59">
        <f>+'COLOMBIA USD'!C19+'EL SALVADOR USD'!C19+'VENEZUELA USD'!C19+'PANAMA USD'!C19</f>
        <v>0</v>
      </c>
      <c r="D19" s="28">
        <f t="shared" si="13"/>
        <v>0</v>
      </c>
      <c r="E19" s="59">
        <f>+'COLOMBIA USD'!E19+'EL SALVADOR USD'!E19+'VENEZUELA USD'!E19+'PANAMA USD'!E19</f>
        <v>0</v>
      </c>
      <c r="F19" s="28">
        <f t="shared" si="1"/>
        <v>0</v>
      </c>
      <c r="G19" s="28" t="str">
        <f t="shared" si="2"/>
        <v/>
      </c>
      <c r="H19" s="59">
        <f>+'COLOMBIA USD'!H19+'EL SALVADOR USD'!H19+'VENEZUELA USD'!H19+'PANAMA USD'!H19</f>
        <v>11175.484880193635</v>
      </c>
      <c r="I19" s="28"/>
      <c r="J19" s="28">
        <f t="shared" si="4"/>
        <v>-1</v>
      </c>
      <c r="K19" s="59">
        <f>+'COLOMBIA USD'!K19+'EL SALVADOR USD'!K19+'VENEZUELA USD'!K19+'PANAMA USD'!K19</f>
        <v>0</v>
      </c>
      <c r="L19" s="28">
        <f t="shared" si="5"/>
        <v>0</v>
      </c>
      <c r="M19" s="59">
        <f>+'COLOMBIA USD'!M19+'EL SALVADOR USD'!M19+'VENEZUELA USD'!M19+'PANAMA USD'!M19</f>
        <v>0</v>
      </c>
      <c r="N19" s="28">
        <f t="shared" si="6"/>
        <v>0</v>
      </c>
      <c r="O19" s="28"/>
      <c r="P19" s="59">
        <f>+'COLOMBIA USD'!P19+'EL SALVADOR USD'!P19+'VENEZUELA USD'!P19+'PANAMA USD'!P19</f>
        <v>21000</v>
      </c>
      <c r="Q19" s="28">
        <f t="shared" si="8"/>
        <v>9.9218121325705608E-3</v>
      </c>
      <c r="R19" s="28"/>
      <c r="V19" s="3" t="s">
        <v>27</v>
      </c>
      <c r="W19" s="59">
        <f>'COLOMBIA USD'!W23+'EL SALVADOR USD'!V23+'VENEZUELA USD'!W20+'PANAMA USD'!U23</f>
        <v>0</v>
      </c>
      <c r="X19" s="59">
        <f>'COLOMBIA USD'!Y23+'EL SALVADOR USD'!X23+'VENEZUELA USD'!X20+'PANAMA USD'!W23</f>
        <v>0</v>
      </c>
      <c r="Y19" s="59">
        <f>'COLOMBIA USD'!X23+'EL SALVADOR USD'!W23+'VENEZUELA USD'!Y20+'PANAMA USD'!V23</f>
        <v>19731.394313008619</v>
      </c>
      <c r="Z19" s="59">
        <f>'COLOMBIA USD'!Z23+'EL SALVADOR USD'!Y23+'VENEZUELA USD'!Z20+'PANAMA USD'!X23</f>
        <v>124936.76470588235</v>
      </c>
      <c r="AA19" s="59">
        <f>'COLOMBIA USD'!AD23+'EL SALVADOR USD'!AC23+'VENEZUELA USD'!AA20+'PANAMA USD'!AB23</f>
        <v>101650.9097779328</v>
      </c>
      <c r="AB19" s="59">
        <f>'COLOMBIA USD'!AA23+'EL SALVADOR USD'!Z23+'VENEZUELA USD'!AB20+'PANAMA USD'!Y23</f>
        <v>169859.45989351414</v>
      </c>
      <c r="AC19" s="55">
        <f t="shared" ref="AC19:AC22" si="15">+AB19-Z19</f>
        <v>44922.695187631791</v>
      </c>
      <c r="AD19" s="61">
        <f t="shared" si="11"/>
        <v>1.3595634583093754</v>
      </c>
      <c r="AE19" s="61">
        <f t="shared" si="10"/>
        <v>0.67100776829828834</v>
      </c>
      <c r="AF19" s="47"/>
      <c r="AG19" s="47">
        <f>+'COLOMBIA USD'!Y23+'EL SALVADOR USD'!X23+'VENEZUELA USD'!X20+'PANAMA USD'!W23</f>
        <v>0</v>
      </c>
      <c r="AH19" s="47">
        <f>+'COLOMBIA USD'!X23+'EL SALVADOR USD'!W23+'VENEZUELA USD'!Y20+'PANAMA USD'!V23</f>
        <v>19731.394313008619</v>
      </c>
      <c r="AI19" s="47" t="e">
        <f>+'COLOMBIA USD'!AB23+'EL SALVADOR USD'!AA23+'VENEZUELA USD'!AC20+'PANAMA USD'!Z23</f>
        <v>#VALUE!</v>
      </c>
      <c r="AK19" s="47">
        <f>+'COLOMBIA USD'!AA23+'EL SALVADOR USD'!Z23+'VENEZUELA USD'!AB20+'PANAMA USD'!Y23</f>
        <v>169859.45989351414</v>
      </c>
    </row>
    <row r="20" spans="2:37" x14ac:dyDescent="0.2">
      <c r="B20" s="17" t="s">
        <v>24</v>
      </c>
      <c r="C20" s="63">
        <f>SUM(C10:C19)</f>
        <v>268339.79764705885</v>
      </c>
      <c r="D20" s="36">
        <f t="shared" si="13"/>
        <v>1</v>
      </c>
      <c r="E20" s="63">
        <f>SUM(E10:E19)</f>
        <v>189424.69582750712</v>
      </c>
      <c r="F20" s="36">
        <f t="shared" si="1"/>
        <v>1</v>
      </c>
      <c r="G20" s="36">
        <f t="shared" si="2"/>
        <v>0.70591353756871</v>
      </c>
      <c r="H20" s="63">
        <f>SUM(H10:H19)</f>
        <v>235665.76330626957</v>
      </c>
      <c r="I20" s="36">
        <f>+H22/$H$22</f>
        <v>1</v>
      </c>
      <c r="J20" s="36">
        <f t="shared" si="4"/>
        <v>-0.19621461696439918</v>
      </c>
      <c r="K20" s="63">
        <f>SUM(K10:K19)</f>
        <v>2587624.6170588234</v>
      </c>
      <c r="L20" s="36">
        <f t="shared" si="5"/>
        <v>1</v>
      </c>
      <c r="M20" s="63">
        <f>SUM(M10:M19)</f>
        <v>1831555.3810337356</v>
      </c>
      <c r="N20" s="36">
        <f t="shared" si="6"/>
        <v>1</v>
      </c>
      <c r="O20" s="36">
        <f>IF(K20=0,"",(M20-K20)/ABS(K20)+1)</f>
        <v>0.70781340112444124</v>
      </c>
      <c r="P20" s="63">
        <f>SUM(P10:P19)</f>
        <v>2116548.8440425936</v>
      </c>
      <c r="Q20" s="36">
        <f t="shared" si="8"/>
        <v>1</v>
      </c>
      <c r="R20" s="36">
        <f>IF(P20=0,"",(M20-P20)/ABS(P20))</f>
        <v>-0.13465007614212318</v>
      </c>
      <c r="V20" s="3" t="s">
        <v>29</v>
      </c>
      <c r="W20" s="59">
        <f>'COLOMBIA USD'!W25+'EL SALVADOR USD'!V25+'VENEZUELA USD'!W21+'PANAMA USD'!U25</f>
        <v>17076.732822840298</v>
      </c>
      <c r="X20" s="59">
        <f>'COLOMBIA USD'!Y25+'EL SALVADOR USD'!X25+'VENEZUELA USD'!X21+'PANAMA USD'!W25</f>
        <v>42400.57191026635</v>
      </c>
      <c r="Y20" s="59">
        <f>'COLOMBIA USD'!X25+'EL SALVADOR USD'!W25+'VENEZUELA USD'!Y21+'PANAMA USD'!V25</f>
        <v>22779.131504196728</v>
      </c>
      <c r="Z20" s="59">
        <f>'COLOMBIA USD'!Z25+'EL SALVADOR USD'!Y25+'VENEZUELA USD'!Z21+'PANAMA USD'!X25</f>
        <v>502211.36655139388</v>
      </c>
      <c r="AA20" s="59">
        <f>'COLOMBIA USD'!AD25+'EL SALVADOR USD'!AC25+'VENEZUELA USD'!AA21+'PANAMA USD'!AB25</f>
        <v>407207.42833543575</v>
      </c>
      <c r="AB20" s="59">
        <f>'COLOMBIA USD'!AA25+'EL SALVADOR USD'!Z25+'VENEZUELA USD'!AB21+'PANAMA USD'!Y25</f>
        <v>358409.77559827868</v>
      </c>
      <c r="AC20" s="55">
        <f t="shared" si="15"/>
        <v>-143801.5909531152</v>
      </c>
      <c r="AD20" s="61">
        <f t="shared" si="11"/>
        <v>0.7136632092965598</v>
      </c>
      <c r="AE20" s="61">
        <f t="shared" si="10"/>
        <v>-0.11983487859401271</v>
      </c>
      <c r="AF20" s="47"/>
      <c r="AG20" s="47">
        <f>+'COLOMBIA USD'!Y25+'EL SALVADOR USD'!X25+'VENEZUELA USD'!X21+'PANAMA USD'!W25</f>
        <v>42400.57191026635</v>
      </c>
      <c r="AH20" s="47">
        <f>+'COLOMBIA USD'!X25+'EL SALVADOR USD'!W25+'VENEZUELA USD'!Y21+'PANAMA USD'!V25</f>
        <v>22779.131504196728</v>
      </c>
      <c r="AI20" s="47">
        <f>+'COLOMBIA USD'!AB25+'EL SALVADOR USD'!AA25+'VENEZUELA USD'!AC21+'PANAMA USD'!Z25</f>
        <v>-159321.06158990512</v>
      </c>
      <c r="AK20" s="47">
        <f>+'COLOMBIA USD'!AA25+'EL SALVADOR USD'!Z25+'VENEZUELA USD'!AB21+'PANAMA USD'!Y25</f>
        <v>358409.77559827868</v>
      </c>
    </row>
    <row r="21" spans="2:37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V21" s="3" t="s">
        <v>32</v>
      </c>
      <c r="W21" s="59">
        <f>'COLOMBIA USD'!W27+'EL SALVADOR USD'!V27+'VENEZUELA USD'!W22+'PANAMA USD'!U27</f>
        <v>23847.058823529413</v>
      </c>
      <c r="X21" s="59">
        <f>'COLOMBIA USD'!Y27+'EL SALVADOR USD'!X27+'VENEZUELA USD'!X22+'PANAMA USD'!W27</f>
        <v>22097.741549608396</v>
      </c>
      <c r="Y21" s="59">
        <f>'COLOMBIA USD'!X27+'EL SALVADOR USD'!W27+'VENEZUELA USD'!Y22+'PANAMA USD'!V27</f>
        <v>8398.9739719717309</v>
      </c>
      <c r="Z21" s="59">
        <f>'COLOMBIA USD'!Z27+'EL SALVADOR USD'!Y27+'VENEZUELA USD'!Z22+'PANAMA USD'!X27</f>
        <v>19292.647058823528</v>
      </c>
      <c r="AA21" s="59">
        <f>'COLOMBIA USD'!AD27+'EL SALVADOR USD'!AC27+'VENEZUELA USD'!AA22+'PANAMA USD'!AB27</f>
        <v>36949.386001627718</v>
      </c>
      <c r="AB21" s="59">
        <f>'COLOMBIA USD'!AA27+'EL SALVADOR USD'!Z27+'VENEZUELA USD'!AB22+'PANAMA USD'!Y27</f>
        <v>-5212.2245996406209</v>
      </c>
      <c r="AC21" s="55">
        <f t="shared" si="15"/>
        <v>-24504.871658464148</v>
      </c>
      <c r="AD21" s="61">
        <f t="shared" si="11"/>
        <v>-0.27016637912612418</v>
      </c>
      <c r="AE21" s="61">
        <f t="shared" si="10"/>
        <v>-1.141063902913326</v>
      </c>
      <c r="AF21" s="47"/>
      <c r="AG21" s="47">
        <f>+'COLOMBIA USD'!Y27+'EL SALVADOR USD'!X27+'VENEZUELA USD'!X22+'PANAMA USD'!W27</f>
        <v>22097.741549608396</v>
      </c>
      <c r="AH21" s="47">
        <f>+'COLOMBIA USD'!X27+'EL SALVADOR USD'!W27+'VENEZUELA USD'!Y22+'PANAMA USD'!V27</f>
        <v>8398.9739719717309</v>
      </c>
      <c r="AI21" s="47">
        <f>+'COLOMBIA USD'!AB27+'EL SALVADOR USD'!AA27+'VENEZUELA USD'!AC22+'PANAMA USD'!Z27</f>
        <v>-24504.871658464148</v>
      </c>
      <c r="AK21" s="47">
        <f>+'COLOMBIA USD'!AA27+'EL SALVADOR USD'!Z27+'VENEZUELA USD'!AB22+'PANAMA USD'!Y27</f>
        <v>-5212.2245996406209</v>
      </c>
    </row>
    <row r="22" spans="2:37" x14ac:dyDescent="0.2">
      <c r="B22" s="3" t="s">
        <v>26</v>
      </c>
      <c r="C22" s="59">
        <f>+'COLOMBIA USD'!C22+'EL SALVADOR USD'!C22+'VENEZUELA USD'!C22+'PANAMA USD'!C22</f>
        <v>25449.346470588236</v>
      </c>
      <c r="D22" s="28">
        <f t="shared" si="13"/>
        <v>9.4840000230085791E-2</v>
      </c>
      <c r="E22" s="59">
        <f>+'COLOMBIA USD'!E22+'EL SALVADOR USD'!E22+'VENEZUELA USD'!E22+'PANAMA USD'!E22</f>
        <v>18074.253968319837</v>
      </c>
      <c r="F22" s="28">
        <f>+E22/$E$20</f>
        <v>9.5416565877864817E-2</v>
      </c>
      <c r="G22" s="28">
        <f>IF(C22=0,"",(E22-C22)/ABS(C22)+1)</f>
        <v>0.71020503372093347</v>
      </c>
      <c r="H22" s="59">
        <f>+'COLOMBIA USD'!H22+'EL SALVADOR USD'!H22+'VENEZUELA USD'!H22+'PANAMA USD'!H22</f>
        <v>22342.062316643936</v>
      </c>
      <c r="I22" s="28">
        <f t="shared" ref="I22:I46" si="16">+H22/$H$20</f>
        <v>9.4804022456195083E-2</v>
      </c>
      <c r="J22" s="28">
        <f>IF(H22=0,"",(E22-H22)/ABS(H22))</f>
        <v>-0.19102123554389847</v>
      </c>
      <c r="K22" s="59">
        <f>+'COLOMBIA USD'!K22+'EL SALVADOR USD'!K22+'VENEZUELA USD'!K22+'PANAMA USD'!K22</f>
        <v>225063.92058823531</v>
      </c>
      <c r="L22" s="28">
        <f t="shared" si="5"/>
        <v>8.6977036431215488E-2</v>
      </c>
      <c r="M22" s="59">
        <f>+'COLOMBIA USD'!M22+'EL SALVADOR USD'!M22+'VENEZUELA USD'!M22+'PANAMA USD'!M22</f>
        <v>170251.63992744047</v>
      </c>
      <c r="N22" s="28">
        <f>+M22/$M$20</f>
        <v>9.2954677587390178E-2</v>
      </c>
      <c r="O22" s="28">
        <f>IF(K22=0,"",(M22-K22)/ABS(K22)+1)</f>
        <v>0.75645905164392646</v>
      </c>
      <c r="P22" s="59">
        <f>+'COLOMBIA USD'!P22+'EL SALVADOR USD'!P22+'VENEZUELA USD'!P22+'PANAMA USD'!P22</f>
        <v>127020.76250383147</v>
      </c>
      <c r="Q22" s="28">
        <f t="shared" si="8"/>
        <v>6.0013149642803749E-2</v>
      </c>
      <c r="R22" s="28">
        <f>IF(P22=0,"",(M22-P22)/ABS(P22))</f>
        <v>0.34034496858184876</v>
      </c>
      <c r="V22" s="3" t="s">
        <v>34</v>
      </c>
      <c r="W22" s="59">
        <f>'COLOMBIA USD'!W28+'EL SALVADOR USD'!V28+'VENEZUELA USD'!W23+'PANAMA USD'!U28</f>
        <v>25140.44764705882</v>
      </c>
      <c r="X22" s="59">
        <f>'COLOMBIA USD'!Y28+'EL SALVADOR USD'!X28+'VENEZUELA USD'!X23+'PANAMA USD'!W28</f>
        <v>0</v>
      </c>
      <c r="Y22" s="59">
        <f>'COLOMBIA USD'!X28+'EL SALVADOR USD'!W28+'VENEZUELA USD'!Y23+'PANAMA USD'!V28</f>
        <v>15392.598607840775</v>
      </c>
      <c r="Z22" s="59">
        <f>'COLOMBIA USD'!Z28+'EL SALVADOR USD'!Y28+'VENEZUELA USD'!Z23+'PANAMA USD'!X28</f>
        <v>161905.15352941176</v>
      </c>
      <c r="AA22" s="59" t="e">
        <f>'COLOMBIA USD'!AD28+'EL SALVADOR USD'!AC28+'VENEZUELA USD'!AA23+'PANAMA USD'!AB28</f>
        <v>#VALUE!</v>
      </c>
      <c r="AB22" s="59">
        <f>'COLOMBIA USD'!AA28+'EL SALVADOR USD'!Z28+'VENEZUELA USD'!AB23+'PANAMA USD'!Y28</f>
        <v>103345.66412194828</v>
      </c>
      <c r="AC22" s="55">
        <f t="shared" si="15"/>
        <v>-58559.489407463479</v>
      </c>
      <c r="AD22" s="61">
        <f t="shared" si="11"/>
        <v>0.63830991088973876</v>
      </c>
      <c r="AE22" s="61" t="e">
        <f t="shared" si="10"/>
        <v>#VALUE!</v>
      </c>
      <c r="AF22" s="47"/>
      <c r="AG22" s="47">
        <f>+'COLOMBIA USD'!Y28+'EL SALVADOR USD'!X28+'VENEZUELA USD'!X23+'PANAMA USD'!W28</f>
        <v>0</v>
      </c>
      <c r="AH22" s="47">
        <f>+'COLOMBIA USD'!X28+'EL SALVADOR USD'!W28+'VENEZUELA USD'!Y23+'PANAMA USD'!V28</f>
        <v>15392.598607840775</v>
      </c>
      <c r="AI22" s="47" t="e">
        <f>+'COLOMBIA USD'!AB28+'EL SALVADOR USD'!AA28+'VENEZUELA USD'!AC23+'PANAMA USD'!Z28</f>
        <v>#VALUE!</v>
      </c>
      <c r="AK22" s="47">
        <f>+'COLOMBIA USD'!AA28+'EL SALVADOR USD'!Z28+'VENEZUELA USD'!AB23+'PANAMA USD'!Y28</f>
        <v>103345.66412194828</v>
      </c>
    </row>
    <row r="23" spans="2:37" x14ac:dyDescent="0.2"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V23" s="3" t="s">
        <v>36</v>
      </c>
      <c r="W23" s="59">
        <f>W18-W19-W20-W21-W22</f>
        <v>50388.065360066692</v>
      </c>
      <c r="X23" s="59">
        <f t="shared" ref="X23:AB23" si="17">X18-X19-X20-X21-X22</f>
        <v>234577.140997218</v>
      </c>
      <c r="Y23" s="59">
        <f t="shared" si="17"/>
        <v>8693.2192913775634</v>
      </c>
      <c r="Z23" s="59">
        <f t="shared" si="17"/>
        <v>49635.722067887167</v>
      </c>
      <c r="AA23" s="59" t="e">
        <f t="shared" si="17"/>
        <v>#VALUE!</v>
      </c>
      <c r="AB23" s="59">
        <f t="shared" si="17"/>
        <v>51939.445513635976</v>
      </c>
      <c r="AC23" s="55">
        <f t="shared" ref="AC23" si="18">Y23-W23</f>
        <v>-41694.846068689127</v>
      </c>
      <c r="AD23" s="61">
        <f t="shared" ref="AD23" si="19">IF(W23=0,"",(Y23-W23)/ABS(W23)+1)</f>
        <v>0.17252536348154923</v>
      </c>
      <c r="AE23" s="61">
        <f t="shared" ref="AE23" si="20">IF(X23=0,"",(Y23-X23)/ABS(X23))</f>
        <v>-0.96294089332651278</v>
      </c>
      <c r="AF23" s="47"/>
      <c r="AG23" s="47">
        <f>+'COLOMBIA USD'!Y30+'EL SALVADOR USD'!X30+'VENEZUELA USD'!X24+'PANAMA USD'!W30</f>
        <v>260726.53326241137</v>
      </c>
      <c r="AH23" s="47">
        <f>+'COLOMBIA USD'!X30+'EL SALVADOR USD'!W30+'VENEZUELA USD'!Y24+'PANAMA USD'!V30</f>
        <v>54076.846915686932</v>
      </c>
      <c r="AI23" s="47">
        <f>+'COLOMBIA USD'!AB30+'EL SALVADOR USD'!AA30+'VENEZUELA USD'!AC24+'PANAMA USD'!Z30</f>
        <v>2031.121235803741</v>
      </c>
      <c r="AK23" s="47">
        <f>+'COLOMBIA USD'!AA30+'EL SALVADOR USD'!Z30+'VENEZUELA USD'!AB24+'PANAMA USD'!Y30</f>
        <v>54077.014574409317</v>
      </c>
    </row>
    <row r="24" spans="2:37" x14ac:dyDescent="0.2">
      <c r="B24" s="3" t="s">
        <v>28</v>
      </c>
      <c r="C24" s="59">
        <f>+C20-C22</f>
        <v>242890.45117647061</v>
      </c>
      <c r="D24" s="28">
        <f t="shared" si="13"/>
        <v>0.90515999976991424</v>
      </c>
      <c r="E24" s="59">
        <f>+E20-E22</f>
        <v>171350.4418591873</v>
      </c>
      <c r="F24" s="28">
        <f>+E24/$E$20</f>
        <v>0.90458343412213527</v>
      </c>
      <c r="G24" s="28">
        <f>IF(C24=0,"",(E24-C24)/ABS(C24)+1)</f>
        <v>0.70546388723488207</v>
      </c>
      <c r="H24" s="59">
        <f>+H20-H22</f>
        <v>213323.70098962562</v>
      </c>
      <c r="I24" s="28">
        <f t="shared" si="16"/>
        <v>0.90519597754380487</v>
      </c>
      <c r="J24" s="28">
        <f>IF(H24=0,"",(E24-H24)/ABS(H24))</f>
        <v>-0.19675853613883987</v>
      </c>
      <c r="K24" s="59">
        <f>+K20-K22</f>
        <v>2362560.696470588</v>
      </c>
      <c r="L24" s="28">
        <f t="shared" si="5"/>
        <v>0.91302296356878454</v>
      </c>
      <c r="M24" s="59">
        <f>+M20-M22</f>
        <v>1661303.741106295</v>
      </c>
      <c r="N24" s="28">
        <f>+M24/$M$20</f>
        <v>0.90704532241260982</v>
      </c>
      <c r="O24" s="28">
        <f>IF(K24=0,"",(M24-K24)/ABS(K24)+1)</f>
        <v>0.70317928491238524</v>
      </c>
      <c r="P24" s="59">
        <f>+P20-P22</f>
        <v>1989528.0815387622</v>
      </c>
      <c r="Q24" s="28">
        <f t="shared" si="8"/>
        <v>0.93998685035719631</v>
      </c>
      <c r="R24" s="28">
        <f>IF(P24=0,"",(M24-P24)/ABS(P24))</f>
        <v>-0.1649759777095523</v>
      </c>
      <c r="W24" s="47">
        <f>+'COLOMBIA USD'!W30+'EL SALVADOR USD'!V30+'VENEZUELA USD'!W24+'PANAMA USD'!U30</f>
        <v>52045.744918077777</v>
      </c>
      <c r="X24" s="47">
        <f>+'COLOMBIA USD'!Y30+'EL SALVADOR USD'!X30+'VENEZUELA USD'!X24+'PANAMA USD'!W30</f>
        <v>260726.53326241137</v>
      </c>
      <c r="Y24" s="47">
        <f>+'COLOMBIA USD'!X30+'EL SALVADOR USD'!W30+'VENEZUELA USD'!Y24+'PANAMA USD'!V30</f>
        <v>54076.846915686932</v>
      </c>
      <c r="Z24" s="47">
        <f>+'COLOMBIA USD'!Z30+'EL SALVADOR USD'!Y30+'VENEZUELA USD'!Z24+'PANAMA USD'!X30</f>
        <v>52045.89333860558</v>
      </c>
      <c r="AA24" s="47">
        <f>+'COLOMBIA USD'!AD30+'EL SALVADOR USD'!AC30+'VENEZUELA USD'!AA24+'PANAMA USD'!AB30</f>
        <v>260726.38606303668</v>
      </c>
      <c r="AB24" s="47">
        <f>+'COLOMBIA USD'!AA30+'EL SALVADOR USD'!Z30+'VENEZUELA USD'!AB24+'PANAMA USD'!Y30</f>
        <v>54077.014574409317</v>
      </c>
      <c r="AC24" s="47">
        <f>+'COLOMBIA USD'!AB30+'EL SALVADOR USD'!AA30+'VENEZUELA USD'!AC24+'PANAMA USD'!Z30</f>
        <v>2031.121235803741</v>
      </c>
      <c r="AE24" s="47"/>
      <c r="AF24" s="47"/>
      <c r="AK24" s="47" t="e">
        <f>+'COLOMBIA USD'!#REF!+'EL SALVADOR USD'!Z31+'VENEZUELA USD'!AB25+'PANAMA USD'!#REF!</f>
        <v>#REF!</v>
      </c>
    </row>
    <row r="25" spans="2:37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AB25" s="47"/>
      <c r="AE25" s="47"/>
      <c r="AF25" s="47"/>
      <c r="AK25" s="47" t="e">
        <f>+'COLOMBIA USD'!#REF!+'EL SALVADOR USD'!AA32+'VENEZUELA USD'!AB26+'PANAMA USD'!#REF!</f>
        <v>#REF!</v>
      </c>
    </row>
    <row r="26" spans="2:37" x14ac:dyDescent="0.2">
      <c r="B26" s="3" t="s">
        <v>30</v>
      </c>
      <c r="C26" s="59">
        <f>+'COLOMBIA USD'!C26+'EL SALVADOR USD'!C26+'VENEZUELA USD'!C26+'PANAMA USD'!C26</f>
        <v>59124.105294117646</v>
      </c>
      <c r="D26" s="28">
        <f t="shared" si="13"/>
        <v>0.22033297264344748</v>
      </c>
      <c r="E26" s="59">
        <f>+'COLOMBIA USD'!E26+'EL SALVADOR USD'!E26+'VENEZUELA USD'!E26+'PANAMA USD'!E26</f>
        <v>43109.399209335868</v>
      </c>
      <c r="F26" s="28">
        <f>+E26/$E$20</f>
        <v>0.2275806700969546</v>
      </c>
      <c r="G26" s="28">
        <f>IF(C26=0,"",(E26-C26)/ABS(C26)+1)</f>
        <v>0.72913406460672303</v>
      </c>
      <c r="H26" s="59">
        <f>+'COLOMBIA USD'!H26+'EL SALVADOR USD'!H26+'VENEZUELA USD'!H26+'PANAMA USD'!H26</f>
        <v>47062.491836739806</v>
      </c>
      <c r="I26" s="28">
        <f t="shared" si="16"/>
        <v>0.19970016508328248</v>
      </c>
      <c r="J26" s="28">
        <f>IF(H26=0,"",(E26-H26)/ABS(H26))</f>
        <v>-8.399667066328001E-2</v>
      </c>
      <c r="K26" s="59">
        <f>+'COLOMBIA USD'!K26+'EL SALVADOR USD'!K26+'VENEZUELA USD'!K26+'PANAMA USD'!K26</f>
        <v>592769.28823529405</v>
      </c>
      <c r="L26" s="28">
        <f t="shared" si="5"/>
        <v>0.22907854730067242</v>
      </c>
      <c r="M26" s="59">
        <f>+'COLOMBIA USD'!M26+'EL SALVADOR USD'!M26+'VENEZUELA USD'!M26+'PANAMA USD'!M26</f>
        <v>412323.72500100522</v>
      </c>
      <c r="N26" s="28">
        <f>+M26/$M$20</f>
        <v>0.2251221717184923</v>
      </c>
      <c r="O26" s="28">
        <f>IF(K26=0,"",(M26-K26)/ABS(K26)+1)</f>
        <v>0.69558887949224735</v>
      </c>
      <c r="P26" s="59">
        <f>+'COLOMBIA USD'!P26+'EL SALVADOR USD'!P26+'VENEZUELA USD'!P26+'PANAMA USD'!P26</f>
        <v>438474.26104725181</v>
      </c>
      <c r="Q26" s="28">
        <f t="shared" si="8"/>
        <v>0.20716472586088258</v>
      </c>
      <c r="R26" s="28">
        <f>IF(P26=0,"",(M26-P26)/ABS(P26))</f>
        <v>-5.9639842903865453E-2</v>
      </c>
      <c r="W26" s="47"/>
      <c r="X26" s="47"/>
      <c r="Y26" s="47"/>
      <c r="Z26" s="47"/>
      <c r="AA26" s="47"/>
      <c r="AB26" s="47"/>
      <c r="AC26" s="47"/>
      <c r="AF26" s="47"/>
      <c r="AK26" s="47" t="e">
        <f>+'COLOMBIA USD'!#REF!+'EL SALVADOR USD'!AB33+'VENEZUELA USD'!AB27+'PANAMA USD'!#REF!</f>
        <v>#REF!</v>
      </c>
    </row>
    <row r="27" spans="2:37" x14ac:dyDescent="0.2">
      <c r="B27" s="3" t="s">
        <v>31</v>
      </c>
      <c r="C27" s="59">
        <f>+'COLOMBIA USD'!C27+'EL SALVADOR USD'!C27+'VENEZUELA USD'!C27+'PANAMA USD'!C27</f>
        <v>83494.115294117655</v>
      </c>
      <c r="D27" s="28">
        <f t="shared" si="13"/>
        <v>0.31115069783251287</v>
      </c>
      <c r="E27" s="59">
        <f>+'COLOMBIA USD'!E27+'EL SALVADOR USD'!E27+'VENEZUELA USD'!E27+'PANAMA USD'!E27</f>
        <v>65673.721910301378</v>
      </c>
      <c r="F27" s="28">
        <f>+E27/$E$20</f>
        <v>0.34670094954305652</v>
      </c>
      <c r="G27" s="28">
        <f>IF(C27=0,"",(E27-C27)/ABS(C27)+1)</f>
        <v>0.78656707336748366</v>
      </c>
      <c r="H27" s="59">
        <f>+'COLOMBIA USD'!H27+'EL SALVADOR USD'!H27+'VENEZUELA USD'!H27+'PANAMA USD'!H27</f>
        <v>81472.78932821042</v>
      </c>
      <c r="I27" s="28">
        <f t="shared" si="16"/>
        <v>0.34571330253995763</v>
      </c>
      <c r="J27" s="28">
        <f>IF(H27=0,"",(E27-H27)/ABS(H27))</f>
        <v>-0.19391833209813186</v>
      </c>
      <c r="K27" s="59">
        <f>+'COLOMBIA USD'!K27+'EL SALVADOR USD'!K27+'VENEZUELA USD'!K27+'PANAMA USD'!K27</f>
        <v>843612.19529411756</v>
      </c>
      <c r="L27" s="28">
        <f t="shared" si="5"/>
        <v>0.32601799725224212</v>
      </c>
      <c r="M27" s="59">
        <f>+'COLOMBIA USD'!M27+'EL SALVADOR USD'!M27+'VENEZUELA USD'!M27+'PANAMA USD'!M27</f>
        <v>607921.70086034585</v>
      </c>
      <c r="N27" s="28">
        <f>+M27/$M$20</f>
        <v>0.33191554410832663</v>
      </c>
      <c r="O27" s="28">
        <f>IF(K27=0,"",(M27-K27)/ABS(K27)+1)</f>
        <v>0.72061748781192003</v>
      </c>
      <c r="P27" s="59">
        <f>+'COLOMBIA USD'!P27+'EL SALVADOR USD'!P27+'VENEZUELA USD'!P27+'PANAMA USD'!P27</f>
        <v>793700.99877485994</v>
      </c>
      <c r="Q27" s="28">
        <f t="shared" si="8"/>
        <v>0.37499772377513224</v>
      </c>
      <c r="R27" s="28">
        <f>IF(P27=0,"",(M27-P27)/ABS(P27))</f>
        <v>-0.23406710864831853</v>
      </c>
      <c r="W27" s="47"/>
      <c r="X27" s="47"/>
      <c r="Y27" s="47"/>
      <c r="Z27" s="47"/>
      <c r="AA27" s="47"/>
      <c r="AB27" s="47"/>
      <c r="AC27" s="47"/>
      <c r="AF27" s="47"/>
    </row>
    <row r="28" spans="2:37" x14ac:dyDescent="0.2">
      <c r="B28" s="3" t="s">
        <v>33</v>
      </c>
      <c r="C28" s="59">
        <f>SUM(C26:C27)</f>
        <v>142618.2205882353</v>
      </c>
      <c r="D28" s="28">
        <f t="shared" si="13"/>
        <v>0.53148367047596035</v>
      </c>
      <c r="E28" s="59">
        <f>SUM(E26:E27)</f>
        <v>108783.12111963725</v>
      </c>
      <c r="F28" s="28">
        <f>+E28/$E$20</f>
        <v>0.57428161964001112</v>
      </c>
      <c r="G28" s="28">
        <f>IF(C28=0,"",(E28-C28)/ABS(C28)+1)</f>
        <v>0.76275752614887737</v>
      </c>
      <c r="H28" s="59">
        <f>SUM(H26:H27)</f>
        <v>128535.28116495023</v>
      </c>
      <c r="I28" s="28">
        <f t="shared" si="16"/>
        <v>0.54541346762324017</v>
      </c>
      <c r="J28" s="28">
        <f>IF(H28=0,"",(E28-H28)/ABS(H28))</f>
        <v>-0.15367111555904167</v>
      </c>
      <c r="K28" s="59">
        <f>SUM(K26:K27)</f>
        <v>1436381.4835294117</v>
      </c>
      <c r="L28" s="28">
        <f t="shared" si="5"/>
        <v>0.55509654455291457</v>
      </c>
      <c r="M28" s="59">
        <f>SUM(M26:M27)</f>
        <v>1020245.4258613511</v>
      </c>
      <c r="N28" s="28">
        <f>+M28/$M$20</f>
        <v>0.55703771582681894</v>
      </c>
      <c r="O28" s="28">
        <f>IF(K28=0,"",(M28-K28)/ABS(K28)+1)</f>
        <v>0.71028862287645911</v>
      </c>
      <c r="P28" s="59">
        <f>SUM(P26:P27)</f>
        <v>1232175.2598221118</v>
      </c>
      <c r="Q28" s="28">
        <f t="shared" si="8"/>
        <v>0.58216244963601482</v>
      </c>
      <c r="R28" s="28">
        <f>IF(P28=0,"",(M28-P28)/ABS(P28))</f>
        <v>-0.17199650152962564</v>
      </c>
      <c r="W28" s="47"/>
      <c r="X28" s="47"/>
      <c r="Y28" s="47"/>
      <c r="Z28" s="47"/>
      <c r="AA28" s="47"/>
      <c r="AB28" s="47"/>
      <c r="AC28" s="47"/>
      <c r="AD28" s="47"/>
      <c r="AE28" s="47"/>
    </row>
    <row r="29" spans="2:37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W29" s="47"/>
      <c r="X29" s="47"/>
      <c r="Y29" s="47"/>
      <c r="Z29" s="47"/>
      <c r="AA29" s="47"/>
      <c r="AB29" s="47"/>
      <c r="AC29" s="47"/>
    </row>
    <row r="30" spans="2:37" x14ac:dyDescent="0.2">
      <c r="B30" s="3" t="s">
        <v>35</v>
      </c>
      <c r="C30" s="59">
        <f>+'COLOMBIA USD'!C30+'EL SALVADOR USD'!C30+'VENEZUELA USD'!C30+'PANAMA USD'!C30</f>
        <v>24297.043529411763</v>
      </c>
      <c r="D30" s="28">
        <f t="shared" si="13"/>
        <v>9.05458070046289E-2</v>
      </c>
      <c r="E30" s="59">
        <f>+'COLOMBIA USD'!E30+'EL SALVADOR USD'!E30+'VENEZUELA USD'!E30+'PANAMA USD'!E30</f>
        <v>19102.645937327321</v>
      </c>
      <c r="F30" s="28">
        <f>+E30/$E$20</f>
        <v>0.10084559383282563</v>
      </c>
      <c r="G30" s="28">
        <f>IF(C30=0,"",(E30-C30)/ABS(C30)+1)</f>
        <v>0.78621277169806347</v>
      </c>
      <c r="H30" s="59">
        <f>+'COLOMBIA USD'!H30+'EL SALVADOR USD'!H30+'VENEZUELA USD'!H30+'PANAMA USD'!H30</f>
        <v>16169.86516241296</v>
      </c>
      <c r="I30" s="28">
        <f t="shared" si="16"/>
        <v>6.8613552242625567E-2</v>
      </c>
      <c r="J30" s="28">
        <f>IF(H30=0,"",(E30-H30)/ABS(H30))</f>
        <v>0.18137323629213956</v>
      </c>
      <c r="K30" s="59">
        <f>+'COLOMBIA USD'!K30+'EL SALVADOR USD'!K30+'VENEZUELA USD'!K30+'PANAMA USD'!K30</f>
        <v>223842.67058823531</v>
      </c>
      <c r="L30" s="28">
        <f t="shared" si="5"/>
        <v>8.6505078484939602E-2</v>
      </c>
      <c r="M30" s="59">
        <f>+'COLOMBIA USD'!M30+'EL SALVADOR USD'!M30+'VENEZUELA USD'!M30+'PANAMA USD'!M30</f>
        <v>177192.52706819173</v>
      </c>
      <c r="N30" s="28">
        <f>+M30/$M$20</f>
        <v>9.6744291165350244E-2</v>
      </c>
      <c r="O30" s="28">
        <f>IF(K30=0,"",(M30-K30)/ABS(K30)+1)</f>
        <v>0.79159405399581839</v>
      </c>
      <c r="P30" s="59">
        <f>+'COLOMBIA USD'!P30+'EL SALVADOR USD'!P30+'VENEZUELA USD'!P30+'PANAMA USD'!P30</f>
        <v>170138.75734582962</v>
      </c>
      <c r="Q30" s="28">
        <f t="shared" si="8"/>
        <v>8.0384989850206229E-2</v>
      </c>
      <c r="R30" s="28">
        <f>IF(P30=0,"",(M30-P30)/ABS(P30))</f>
        <v>4.1458923483403506E-2</v>
      </c>
      <c r="W30" s="47"/>
      <c r="X30" s="47"/>
      <c r="Y30" s="47"/>
      <c r="Z30" s="47"/>
      <c r="AA30" s="47"/>
      <c r="AB30" s="47"/>
      <c r="AC30" s="47"/>
    </row>
    <row r="31" spans="2:37" x14ac:dyDescent="0.2">
      <c r="B31" s="3" t="s">
        <v>37</v>
      </c>
      <c r="C31" s="59">
        <f>+'COLOMBIA USD'!C31+'EL SALVADOR USD'!C31+'VENEZUELA USD'!C31+'PANAMA USD'!C31</f>
        <v>250</v>
      </c>
      <c r="D31" s="28">
        <f t="shared" si="13"/>
        <v>9.3165457450638482E-4</v>
      </c>
      <c r="E31" s="59">
        <f>+'COLOMBIA USD'!E31+'EL SALVADOR USD'!E31+'VENEZUELA USD'!E31+'PANAMA USD'!E31</f>
        <v>873.66850828729275</v>
      </c>
      <c r="F31" s="28">
        <f>+E31/$E$20</f>
        <v>4.6122207269260604E-3</v>
      </c>
      <c r="G31" s="28">
        <f>IF(C31=0,"",(E31-C31)/ABS(C31)+1)</f>
        <v>3.4946740331491708</v>
      </c>
      <c r="H31" s="59">
        <f>+'COLOMBIA USD'!H31+'EL SALVADOR USD'!H31+'VENEZUELA USD'!H31+'PANAMA USD'!H31</f>
        <v>335.5263157894737</v>
      </c>
      <c r="I31" s="28">
        <f t="shared" si="16"/>
        <v>1.4237380563142134E-3</v>
      </c>
      <c r="J31" s="28">
        <f>IF(H31=0,"",(E31-H31)/ABS(H31))</f>
        <v>1.6038747697974212</v>
      </c>
      <c r="K31" s="59">
        <f>+'COLOMBIA USD'!K31+'EL SALVADOR USD'!K31+'VENEZUELA USD'!K31+'PANAMA USD'!K31</f>
        <v>0</v>
      </c>
      <c r="L31" s="28">
        <f t="shared" si="5"/>
        <v>0</v>
      </c>
      <c r="M31" s="59">
        <f>+'COLOMBIA USD'!M31+'EL SALVADOR USD'!M31+'VENEZUELA USD'!M31+'PANAMA USD'!M31</f>
        <v>7096.2353591160208</v>
      </c>
      <c r="N31" s="28">
        <f>+M31/$M$20</f>
        <v>3.8744312252850816E-3</v>
      </c>
      <c r="O31" s="28" t="str">
        <f>IF(K31=0,"",(M31-K31)/ABS(K31)+1)</f>
        <v/>
      </c>
      <c r="P31" s="59">
        <f>+'COLOMBIA USD'!P31+'EL SALVADOR USD'!P31+'VENEZUELA USD'!P31+'PANAMA USD'!P31</f>
        <v>2365.8588904802632</v>
      </c>
      <c r="Q31" s="28">
        <f t="shared" si="8"/>
        <v>1.1177908306436667E-3</v>
      </c>
      <c r="R31" s="28">
        <f>IF(P31=0,"",(M31-P31)/ABS(P31))</f>
        <v>1.9994330548072135</v>
      </c>
      <c r="W31" s="47"/>
      <c r="X31" s="47"/>
      <c r="Y31" s="47"/>
      <c r="Z31" s="47"/>
      <c r="AA31" s="47"/>
      <c r="AB31" s="47"/>
      <c r="AC31" s="47"/>
    </row>
    <row r="32" spans="2:37" x14ac:dyDescent="0.2">
      <c r="B32" s="3" t="s">
        <v>38</v>
      </c>
      <c r="C32" s="59">
        <f>SUM(C30:C31)</f>
        <v>24547.043529411763</v>
      </c>
      <c r="D32" s="28">
        <f t="shared" si="13"/>
        <v>9.1477461579135291E-2</v>
      </c>
      <c r="E32" s="59">
        <f>SUM(E30:E31)</f>
        <v>19976.314445614615</v>
      </c>
      <c r="F32" s="28">
        <f>+E32/$E$20</f>
        <v>0.10545781455975169</v>
      </c>
      <c r="G32" s="28">
        <f>IF(C32=0,"",(E32-C32)/ABS(C32)+1)</f>
        <v>0.8137971654989492</v>
      </c>
      <c r="H32" s="59">
        <f>SUM(H30:H31)</f>
        <v>16505.391478202433</v>
      </c>
      <c r="I32" s="28">
        <f t="shared" si="16"/>
        <v>7.0037290298939778E-2</v>
      </c>
      <c r="J32" s="28">
        <f>IF(H32=0,"",(E32-H32)/ABS(H32))</f>
        <v>0.21029025406613333</v>
      </c>
      <c r="K32" s="59">
        <f>SUM(K30:K31)</f>
        <v>223842.67058823531</v>
      </c>
      <c r="L32" s="28">
        <f t="shared" si="5"/>
        <v>8.6505078484939602E-2</v>
      </c>
      <c r="M32" s="59">
        <f>SUM(M30:M31)</f>
        <v>184288.76242730775</v>
      </c>
      <c r="N32" s="28">
        <f>+M32/$M$20</f>
        <v>0.10061872239063532</v>
      </c>
      <c r="O32" s="28">
        <f>IF(K32=0,"",(M32-K32)/ABS(K32)+1)</f>
        <v>0.82329594238228132</v>
      </c>
      <c r="P32" s="59">
        <f>SUM(P30:P31)</f>
        <v>172504.6162363099</v>
      </c>
      <c r="Q32" s="28">
        <f t="shared" si="8"/>
        <v>8.1502780680849901E-2</v>
      </c>
      <c r="R32" s="28">
        <f>IF(P32=0,"",(M32-P32)/ABS(P32))</f>
        <v>6.831206287752345E-2</v>
      </c>
      <c r="W32" s="47"/>
      <c r="X32" s="47"/>
      <c r="Y32" s="47"/>
      <c r="Z32" s="47"/>
      <c r="AA32" s="47"/>
      <c r="AB32" s="47"/>
      <c r="AC32" s="47"/>
    </row>
    <row r="33" spans="2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W33" s="47"/>
      <c r="X33" s="47"/>
      <c r="Y33" s="47"/>
      <c r="Z33" s="47"/>
      <c r="AA33" s="47"/>
      <c r="AB33" s="47"/>
      <c r="AC33" s="47"/>
    </row>
    <row r="34" spans="2:29" x14ac:dyDescent="0.2">
      <c r="B34" s="3" t="s">
        <v>39</v>
      </c>
      <c r="C34" s="59">
        <f>C28+C32</f>
        <v>167165.26411764708</v>
      </c>
      <c r="D34" s="28">
        <f t="shared" si="13"/>
        <v>0.62296113205509562</v>
      </c>
      <c r="E34" s="59">
        <f>E28+E32</f>
        <v>128759.43556525186</v>
      </c>
      <c r="F34" s="28">
        <f>+E34/$E$20</f>
        <v>0.67973943419976279</v>
      </c>
      <c r="G34" s="28">
        <f>IF(C34=0,"",(E34-C34)/ABS(C34)+1)</f>
        <v>0.77025233827665252</v>
      </c>
      <c r="H34" s="59">
        <f>H28+H32</f>
        <v>145040.67264315265</v>
      </c>
      <c r="I34" s="28">
        <f t="shared" si="16"/>
        <v>0.61545075792217985</v>
      </c>
      <c r="J34" s="28">
        <f>IF(H34=0,"",(E34-H34)/ABS(H34))</f>
        <v>-0.11225290658957397</v>
      </c>
      <c r="K34" s="59">
        <f>K28+K32</f>
        <v>1660224.1541176471</v>
      </c>
      <c r="L34" s="28">
        <f t="shared" si="5"/>
        <v>0.64160162303785429</v>
      </c>
      <c r="M34" s="59">
        <f>M28+M32</f>
        <v>1204534.1882886589</v>
      </c>
      <c r="N34" s="28">
        <f>+M34/$M$20</f>
        <v>0.65765643821745423</v>
      </c>
      <c r="O34" s="28">
        <f>IF(K34=0,"",(M34-K34)/ABS(K34)+1)</f>
        <v>0.7255250354605447</v>
      </c>
      <c r="P34" s="59">
        <f>P28+P32</f>
        <v>1404679.8760584218</v>
      </c>
      <c r="Q34" s="28">
        <f t="shared" si="8"/>
        <v>0.66366523031686475</v>
      </c>
      <c r="R34" s="28">
        <f>IF(P34=0,"",(M34-P34)/ABS(P34))</f>
        <v>-0.14248491145995368</v>
      </c>
      <c r="W34" s="47"/>
      <c r="X34" s="47"/>
      <c r="Y34" s="47"/>
      <c r="Z34" s="47"/>
      <c r="AA34" s="47"/>
      <c r="AB34" s="47"/>
      <c r="AC34" s="47"/>
    </row>
    <row r="35" spans="2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W35" s="47"/>
      <c r="X35" s="47"/>
      <c r="Y35" s="47"/>
      <c r="Z35" s="47"/>
      <c r="AA35" s="47"/>
      <c r="AB35" s="47"/>
      <c r="AC35" s="47"/>
    </row>
    <row r="36" spans="2:29" x14ac:dyDescent="0.2">
      <c r="B36" s="17" t="s">
        <v>40</v>
      </c>
      <c r="C36" s="63">
        <f>C24-C34</f>
        <v>75725.187058823532</v>
      </c>
      <c r="D36" s="36">
        <f t="shared" si="13"/>
        <v>0.28219886771481856</v>
      </c>
      <c r="E36" s="63">
        <f>E24-E34</f>
        <v>42591.006293935439</v>
      </c>
      <c r="F36" s="36">
        <f>+E36/$E$20</f>
        <v>0.22484399992237247</v>
      </c>
      <c r="G36" s="36">
        <f>IF(C36=0,"",(E36-C36)/ABS(C36)+1)</f>
        <v>0.56244174426205951</v>
      </c>
      <c r="H36" s="63">
        <f>H24-H34</f>
        <v>68283.028346472973</v>
      </c>
      <c r="I36" s="36">
        <f t="shared" si="16"/>
        <v>0.28974521962162503</v>
      </c>
      <c r="J36" s="36">
        <f>IF(H36=0,"",(E36-H36)/ABS(H36))</f>
        <v>-0.37625780043284512</v>
      </c>
      <c r="K36" s="63">
        <f>K24-K34</f>
        <v>702336.54235294089</v>
      </c>
      <c r="L36" s="36">
        <f t="shared" si="5"/>
        <v>0.27142134053093026</v>
      </c>
      <c r="M36" s="63">
        <f>+M24-M34</f>
        <v>456769.55281763617</v>
      </c>
      <c r="N36" s="36">
        <f>+M36/$M$20</f>
        <v>0.24938888419515548</v>
      </c>
      <c r="O36" s="36">
        <f>IF(K36=0,"",(M36-K36)/ABS(K36)+1)</f>
        <v>0.65035709417508647</v>
      </c>
      <c r="P36" s="63">
        <f>P24-P34</f>
        <v>584848.2054803404</v>
      </c>
      <c r="Q36" s="36">
        <f t="shared" si="8"/>
        <v>0.27632162004033151</v>
      </c>
      <c r="R36" s="36">
        <f>IF(P36=0,"",(M36-P36)/ABS(P36))</f>
        <v>-0.2189946920628956</v>
      </c>
      <c r="W36" s="47"/>
      <c r="X36" s="47"/>
      <c r="Y36" s="47"/>
      <c r="Z36" s="47"/>
      <c r="AA36" s="47"/>
      <c r="AB36" s="47"/>
      <c r="AC36" s="47"/>
    </row>
    <row r="37" spans="2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W37" s="47"/>
      <c r="X37" s="47"/>
      <c r="Y37" s="47"/>
      <c r="Z37" s="47"/>
      <c r="AA37" s="47"/>
      <c r="AB37" s="47"/>
      <c r="AC37" s="47"/>
    </row>
    <row r="38" spans="2:29" x14ac:dyDescent="0.2">
      <c r="B38" s="3" t="s">
        <v>41</v>
      </c>
      <c r="C38" s="59">
        <f>+'COLOMBIA USD'!C38+'EL SALVADOR USD'!C38+'VENEZUELA USD'!C38+'PANAMA USD'!C38</f>
        <v>188.99529411764703</v>
      </c>
      <c r="D38" s="28">
        <f t="shared" si="13"/>
        <v>7.0431332129954202E-4</v>
      </c>
      <c r="E38" s="59">
        <f>+'COLOMBIA USD'!E38+'EL SALVADOR USD'!E38+'VENEZUELA USD'!E38+'PANAMA USD'!E38</f>
        <v>3117.5918052677803</v>
      </c>
      <c r="F38" s="28">
        <f>+E38/$E$20</f>
        <v>1.6458212017437815E-2</v>
      </c>
      <c r="G38" s="28">
        <f>IF(C38=0,"",(E38-C38)/ABS(C38)+1)</f>
        <v>16.495605458446605</v>
      </c>
      <c r="H38" s="59">
        <f>+'COLOMBIA USD'!H38+'EL SALVADOR USD'!H38+'VENEZUELA USD'!H38+'PANAMA USD'!H38</f>
        <v>2654.2025425161974</v>
      </c>
      <c r="I38" s="28">
        <f t="shared" si="16"/>
        <v>1.1262571640780992E-2</v>
      </c>
      <c r="J38" s="28">
        <f>IF(H38=0,"",(E38-H38)/ABS(H38))</f>
        <v>0.17458700130408569</v>
      </c>
      <c r="K38" s="59">
        <f>+'COLOMBIA USD'!K38+'EL SALVADOR USD'!K38+'VENEZUELA USD'!K38+'PANAMA USD'!K38</f>
        <v>1889.9529411764704</v>
      </c>
      <c r="L38" s="28">
        <f t="shared" si="5"/>
        <v>7.3038141959116585E-4</v>
      </c>
      <c r="M38" s="59">
        <f>+'COLOMBIA USD'!M38+'EL SALVADOR USD'!M38+'VENEZUELA USD'!M38+'PANAMA USD'!M38</f>
        <v>6802.6768904655564</v>
      </c>
      <c r="N38" s="28">
        <f>+M38/$M$20</f>
        <v>3.7141529876241605E-3</v>
      </c>
      <c r="O38" s="28">
        <f>IF(K38=0,"",(M38-K38)/ABS(K38)+1)</f>
        <v>3.599389562700424</v>
      </c>
      <c r="P38" s="59">
        <f>+'COLOMBIA USD'!P38+'EL SALVADOR USD'!P38+'VENEZUELA USD'!P38+'PANAMA USD'!P38</f>
        <v>57137.267163966135</v>
      </c>
      <c r="Q38" s="28">
        <f t="shared" si="8"/>
        <v>2.6995487169969749E-2</v>
      </c>
      <c r="R38" s="28">
        <f>IF(P38=0,"",(M38-P38)/ABS(P38))</f>
        <v>-0.88094150756381129</v>
      </c>
      <c r="W38" s="47"/>
      <c r="X38" s="47"/>
      <c r="Y38" s="47"/>
      <c r="Z38" s="47"/>
      <c r="AA38" s="47"/>
      <c r="AB38" s="47"/>
      <c r="AC38" s="47"/>
    </row>
    <row r="39" spans="2:29" x14ac:dyDescent="0.2">
      <c r="B39" s="3" t="s">
        <v>42</v>
      </c>
      <c r="C39" s="59">
        <f>+'COLOMBIA USD'!C39+'EL SALVADOR USD'!C39+'VENEZUELA USD'!C39+'PANAMA USD'!C39</f>
        <v>4869.4317647058833</v>
      </c>
      <c r="D39" s="28">
        <f t="shared" si="13"/>
        <v>1.8146513515339736E-2</v>
      </c>
      <c r="E39" s="59">
        <f>+'COLOMBIA USD'!E39+'EL SALVADOR USD'!E39+'VENEZUELA USD'!E39+'PANAMA USD'!E39</f>
        <v>5313.5153377379656</v>
      </c>
      <c r="F39" s="28">
        <f>+E39/$E$20</f>
        <v>2.8050805701578266E-2</v>
      </c>
      <c r="G39" s="28">
        <f>IF(C39=0,"",(E39-C39)/ABS(C39)+1)</f>
        <v>1.0911982330773877</v>
      </c>
      <c r="H39" s="59">
        <f>+'COLOMBIA USD'!H39+'EL SALVADOR USD'!H39+'VENEZUELA USD'!H39+'PANAMA USD'!H39</f>
        <v>7165.7486836570142</v>
      </c>
      <c r="I39" s="28">
        <f t="shared" si="16"/>
        <v>3.0406405169445243E-2</v>
      </c>
      <c r="J39" s="28">
        <f>IF(H39=0,"",(E39-H39)/ABS(H39))</f>
        <v>-0.25848427396615981</v>
      </c>
      <c r="K39" s="59">
        <f>+'COLOMBIA USD'!K39+'EL SALVADOR USD'!K39+'VENEZUELA USD'!K39+'PANAMA USD'!K39</f>
        <v>44714.905882352941</v>
      </c>
      <c r="L39" s="28">
        <f t="shared" si="5"/>
        <v>1.7280290807086745E-2</v>
      </c>
      <c r="M39" s="59">
        <f>+'COLOMBIA USD'!M39+'EL SALVADOR USD'!M39+'VENEZUELA USD'!M39+'PANAMA USD'!M39</f>
        <v>40976.284234430357</v>
      </c>
      <c r="N39" s="28">
        <f>+M39/$M$20</f>
        <v>2.237239706685976E-2</v>
      </c>
      <c r="O39" s="28">
        <f>IF(K39=0,"",(M39-K39)/ABS(K39)+1)</f>
        <v>0.91638981287897425</v>
      </c>
      <c r="P39" s="59">
        <f>+'COLOMBIA USD'!P39+'EL SALVADOR USD'!P39+'VENEZUELA USD'!P39+'PANAMA USD'!P39</f>
        <v>75088.40463378602</v>
      </c>
      <c r="Q39" s="28">
        <f t="shared" si="8"/>
        <v>3.5476811624326934E-2</v>
      </c>
      <c r="R39" s="28">
        <f>IF(P39=0,"",(M39-P39)/ABS(P39))</f>
        <v>-0.45429278416186936</v>
      </c>
      <c r="W39" s="47"/>
      <c r="X39" s="47"/>
      <c r="Y39" s="47"/>
      <c r="Z39" s="47"/>
      <c r="AA39" s="47"/>
      <c r="AB39" s="47"/>
      <c r="AC39" s="47"/>
    </row>
    <row r="40" spans="2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</row>
    <row r="41" spans="2:29" x14ac:dyDescent="0.2">
      <c r="B41" s="3" t="s">
        <v>43</v>
      </c>
      <c r="C41" s="59">
        <f>C36+C38-C39</f>
        <v>71044.7505882353</v>
      </c>
      <c r="D41" s="28">
        <f t="shared" si="13"/>
        <v>0.26475666752077837</v>
      </c>
      <c r="E41" s="59">
        <f>E36+E38-E39</f>
        <v>40395.082761465252</v>
      </c>
      <c r="F41" s="28">
        <f>+E41/$E$20</f>
        <v>0.21325140623823199</v>
      </c>
      <c r="G41" s="28">
        <f>IF(C41=0,"",(E41-C41)/ABS(C41)+1)</f>
        <v>0.56858645328476243</v>
      </c>
      <c r="H41" s="59">
        <f>H36+H38-H39</f>
        <v>63771.482205332155</v>
      </c>
      <c r="I41" s="28">
        <f t="shared" si="16"/>
        <v>0.27060138609296075</v>
      </c>
      <c r="J41" s="28">
        <f>IF(H41=0,"",(E41-H41)/ABS(H41))</f>
        <v>-0.36656509517215397</v>
      </c>
      <c r="K41" s="59">
        <f>K36+K38-K39</f>
        <v>659511.58941176441</v>
      </c>
      <c r="L41" s="28">
        <f t="shared" si="5"/>
        <v>0.25487143114343469</v>
      </c>
      <c r="M41" s="59">
        <f>+'COLOMBIA USD'!M41+'EL SALVADOR USD'!M41+'VENEZUELA USD'!M41+'PANAMA USD'!M41</f>
        <v>69054.627678168952</v>
      </c>
      <c r="N41" s="28">
        <f>+M41/$M$20</f>
        <v>3.7702724358350717E-2</v>
      </c>
      <c r="O41" s="28">
        <f>IF(K41=0,"",(M41-K41)/ABS(K41)+1)</f>
        <v>0.10470570765823928</v>
      </c>
      <c r="P41" s="59">
        <f>+'COLOMBIA USD'!P41+'EL SALVADOR USD'!P41+'VENEZUELA USD'!P41+'PANAMA USD'!P41</f>
        <v>-71069.798371295386</v>
      </c>
      <c r="Q41" s="28">
        <f t="shared" si="8"/>
        <v>-3.3578151797126761E-2</v>
      </c>
      <c r="R41" s="28">
        <f>IF(P41=0,"",(M41-P41)/ABS(P41))</f>
        <v>1.9716451891055264</v>
      </c>
    </row>
    <row r="42" spans="2:29" x14ac:dyDescent="0.2">
      <c r="B42" s="3" t="s">
        <v>29</v>
      </c>
      <c r="C42" s="59">
        <f>+'COLOMBIA USD'!C42+'EL SALVADOR USD'!C42+'VENEZUELA USD'!C42+'PANAMA USD'!C42</f>
        <v>13580.895882352941</v>
      </c>
      <c r="D42" s="28">
        <f t="shared" si="13"/>
        <v>5.0610815098756166E-2</v>
      </c>
      <c r="E42" s="59">
        <f>+'COLOMBIA USD'!E42+'EL SALVADOR USD'!E42+'VENEZUELA USD'!E42+'PANAMA USD'!E42</f>
        <v>8377.8274691629176</v>
      </c>
      <c r="F42" s="28">
        <f>+E42/$E$20</f>
        <v>4.4227746717840258E-2</v>
      </c>
      <c r="G42" s="28">
        <f>IF(C42=0,"",(E42-C42)/ABS(C42)+1)</f>
        <v>0.61688327056899783</v>
      </c>
      <c r="H42" s="59">
        <f>+'COLOMBIA USD'!H42+'EL SALVADOR USD'!H42+'VENEZUELA USD'!H42+'PANAMA USD'!H42</f>
        <v>5177.3200651087081</v>
      </c>
      <c r="I42" s="28">
        <f t="shared" si="16"/>
        <v>2.1968910513235219E-2</v>
      </c>
      <c r="J42" s="28">
        <f>IF(H42=0,"",(E42-H42)/ABS(H42))</f>
        <v>0.61817839418954457</v>
      </c>
      <c r="K42" s="59">
        <f>+'COLOMBIA USD'!K42+'EL SALVADOR USD'!K42+'VENEZUELA USD'!K42+'PANAMA USD'!K42</f>
        <v>99543.350588235306</v>
      </c>
      <c r="L42" s="28">
        <f t="shared" si="5"/>
        <v>3.8469007417845424E-2</v>
      </c>
      <c r="M42" s="59">
        <f>+'COLOMBIA USD'!M42+'EL SALVADOR USD'!M42+'VENEZUELA USD'!M42+'PANAMA USD'!M42</f>
        <v>67044.098833808457</v>
      </c>
      <c r="N42" s="28">
        <f>+M42/$M$20</f>
        <v>3.6605007704418172E-2</v>
      </c>
      <c r="O42" s="28">
        <f>IF(K42=0,"",(M42-K42)/ABS(K42)+1)</f>
        <v>0.67351659792062668</v>
      </c>
      <c r="P42" s="59">
        <f>+'COLOMBIA USD'!P42+'EL SALVADOR USD'!P42+'VENEZUELA USD'!P42+'PANAMA USD'!P42</f>
        <v>76271.758184133243</v>
      </c>
      <c r="Q42" s="28">
        <f t="shared" si="8"/>
        <v>3.6035907415420051E-2</v>
      </c>
      <c r="R42" s="28">
        <f>IF(P42=0,"",(M42-P42)/ABS(P42))</f>
        <v>-0.12098396011860139</v>
      </c>
    </row>
    <row r="43" spans="2:29" x14ac:dyDescent="0.2">
      <c r="B43" s="17" t="s">
        <v>44</v>
      </c>
      <c r="C43" s="63">
        <f>+C41-C42</f>
        <v>57463.854705882361</v>
      </c>
      <c r="D43" s="36">
        <f t="shared" si="13"/>
        <v>0.21414585242202219</v>
      </c>
      <c r="E43" s="63">
        <f>E41-E42</f>
        <v>32017.255292302332</v>
      </c>
      <c r="F43" s="36">
        <f>+E43/$E$20</f>
        <v>0.16902365952039172</v>
      </c>
      <c r="G43" s="36">
        <f>IF(C43=0,"",(E43-C43)/ABS(C43)+1)</f>
        <v>0.55717207723318363</v>
      </c>
      <c r="H43" s="63">
        <f>+H41-H42</f>
        <v>58594.162140223445</v>
      </c>
      <c r="I43" s="36">
        <f t="shared" si="16"/>
        <v>0.24863247557972554</v>
      </c>
      <c r="J43" s="36">
        <f>IF(H43=0,"",(E43-H43)/ABS(H43))</f>
        <v>-0.45357601981438223</v>
      </c>
      <c r="K43" s="63">
        <f>+K41-K42</f>
        <v>559968.2388235291</v>
      </c>
      <c r="L43" s="36">
        <f t="shared" si="5"/>
        <v>0.21640242372558924</v>
      </c>
      <c r="M43" s="63">
        <f>+M41-M42</f>
        <v>2010.528844360495</v>
      </c>
      <c r="N43" s="36">
        <f>+M43/$M$20</f>
        <v>1.0977166539325423E-3</v>
      </c>
      <c r="O43" s="36">
        <f>IF(K43=0,"",(M43-K43)/ABS(K43)+1)</f>
        <v>3.5904337156417165E-3</v>
      </c>
      <c r="P43" s="63">
        <f>P41-P42</f>
        <v>-147341.55655542863</v>
      </c>
      <c r="Q43" s="36">
        <f t="shared" si="8"/>
        <v>-6.9614059212546819E-2</v>
      </c>
      <c r="R43" s="36">
        <f>IF(P43=0,"",(M43-P43)/ABS(P43))</f>
        <v>1.0136453617795476</v>
      </c>
    </row>
    <row r="44" spans="2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</row>
    <row r="45" spans="2:29" x14ac:dyDescent="0.2">
      <c r="B45" s="3" t="s">
        <v>73</v>
      </c>
      <c r="C45" s="59">
        <f>+'COLOMBIA USD'!C45+'EL SALVADOR USD'!C45+'VENEZUELA USD'!C45+'PANAMA USD'!C45</f>
        <v>54238.672941176468</v>
      </c>
      <c r="D45" s="28">
        <f t="shared" si="13"/>
        <v>0.20212683104321091</v>
      </c>
      <c r="E45" s="59">
        <f>+'COLOMBIA USD'!E45+'EL SALVADOR USD'!E45+'VENEZUELA USD'!E45+'PANAMA USD'!E45</f>
        <v>22279.690746195116</v>
      </c>
      <c r="F45" s="28">
        <f>+E45/$E$20</f>
        <v>0.11761766674015581</v>
      </c>
      <c r="G45" s="28">
        <f>IF(C45=0,"",(E45-C45)/ABS(C45)+1)</f>
        <v>0.41077131017490298</v>
      </c>
      <c r="H45" s="59">
        <f>+'COLOMBIA USD'!H45+'EL SALVADOR USD'!H45+'VENEZUELA USD'!H45+'PANAMA USD'!H45</f>
        <v>26524.083044672068</v>
      </c>
      <c r="I45" s="28">
        <f t="shared" si="16"/>
        <v>0.11254958154529029</v>
      </c>
      <c r="J45" s="28">
        <f>IF(H45=0,"",(E45-H45)/ABS(H45))</f>
        <v>-0.16002032158203222</v>
      </c>
      <c r="K45" s="59">
        <f>+'COLOMBIA USD'!K45+'EL SALVADOR USD'!K45+'VENEZUELA USD'!K45+'PANAMA USD'!K45</f>
        <v>446010.22470588237</v>
      </c>
      <c r="L45" s="28">
        <f t="shared" si="5"/>
        <v>0.17236280013939265</v>
      </c>
      <c r="M45" s="59">
        <f>+'COLOMBIA USD'!M45+'EL SALVADOR USD'!M45+'VENEZUELA USD'!M45+'PANAMA USD'!M45</f>
        <v>301035.50748577411</v>
      </c>
      <c r="N45" s="28">
        <f>+M45/$M$20</f>
        <v>0.16436058150524979</v>
      </c>
      <c r="O45" s="28">
        <f>IF(K45=0,"",(M45-K45)/ABS(K45)+1)</f>
        <v>0.67495203206224574</v>
      </c>
      <c r="P45" s="59">
        <f>+'COLOMBIA USD'!P45+'EL SALVADOR USD'!P45+'VENEZUELA USD'!P45+'PANAMA USD'!P45</f>
        <v>352191.44920262415</v>
      </c>
      <c r="Q45" s="28">
        <f t="shared" si="8"/>
        <v>0.16639892350886687</v>
      </c>
      <c r="R45" s="28">
        <f>IF(P45=0,"",(M45-P45)/ABS(P45))</f>
        <v>-0.14525037968033916</v>
      </c>
    </row>
    <row r="46" spans="2:29" x14ac:dyDescent="0.2">
      <c r="B46" s="3" t="s">
        <v>20</v>
      </c>
      <c r="C46" s="59">
        <f>+'COLOMBIA USD'!C46+'EL SALVADOR USD'!C46+'VENEZUELA USD'!C46+'PANAMA USD'!C46</f>
        <v>115161.89</v>
      </c>
      <c r="D46" s="28">
        <f t="shared" si="13"/>
        <v>0.42916440650920434</v>
      </c>
      <c r="E46" s="59">
        <f>+'COLOMBIA USD'!E46+'EL SALVADOR USD'!E46+'VENEZUELA USD'!E46+'PANAMA USD'!E46</f>
        <v>81951.542570290956</v>
      </c>
      <c r="F46" s="28">
        <f>+E46/$E$20</f>
        <v>0.4326338876368962</v>
      </c>
      <c r="G46" s="28">
        <f>IF(C46=0,"",(E46-C46)/ABS(C46)+1)</f>
        <v>0.71162033351737242</v>
      </c>
      <c r="H46" s="59">
        <f>+'COLOMBIA USD'!H46+'EL SALVADOR USD'!H46+'VENEZUELA USD'!H46+'PANAMA USD'!H46</f>
        <v>86851.669931364391</v>
      </c>
      <c r="I46" s="28">
        <f t="shared" si="16"/>
        <v>0.36853749442804118</v>
      </c>
      <c r="J46" s="28">
        <f>IF(H46=0,"",(E46-H46)/ABS(H46))</f>
        <v>-5.6419495041900997E-2</v>
      </c>
      <c r="K46" s="59">
        <f>+'COLOMBIA USD'!K46+'EL SALVADOR USD'!K46+'VENEZUELA USD'!K46+'PANAMA USD'!K46</f>
        <v>1135430.9588235293</v>
      </c>
      <c r="L46" s="28">
        <f t="shared" si="5"/>
        <v>0.43879276435161463</v>
      </c>
      <c r="M46" s="59">
        <f>+'COLOMBIA USD'!M46+'EL SALVADOR USD'!M46+'VENEZUELA USD'!M46+'PANAMA USD'!M46</f>
        <v>791588.57875783928</v>
      </c>
      <c r="N46" s="28">
        <f>+M46/$M$20</f>
        <v>0.43219472747314047</v>
      </c>
      <c r="O46" s="28">
        <f>IF(K46=0,"",(M46-K46)/ABS(K46)+1)</f>
        <v>0.69717015605954546</v>
      </c>
      <c r="P46" s="59">
        <f>+'COLOMBIA USD'!P46+'EL SALVADOR USD'!P46+'VENEZUELA USD'!P46+'PANAMA USD'!P46</f>
        <v>896622.49320402264</v>
      </c>
      <c r="Q46" s="28">
        <f t="shared" si="8"/>
        <v>0.42362475863844462</v>
      </c>
      <c r="R46" s="28">
        <f>IF(P46=0,"",(M46-P46)/ABS(P46))</f>
        <v>-0.1171439655398912</v>
      </c>
    </row>
  </sheetData>
  <conditionalFormatting sqref="D9:D46 J10:J46 G10:G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D8F7B-CFA7-451D-8490-5B41EE42F407}">
  <dimension ref="A6:V595"/>
  <sheetViews>
    <sheetView topLeftCell="A124" workbookViewId="0">
      <selection activeCell="A35" sqref="A35"/>
    </sheetView>
  </sheetViews>
  <sheetFormatPr baseColWidth="10" defaultRowHeight="12" x14ac:dyDescent="0.2"/>
  <cols>
    <col min="1" max="1" width="40.85546875" style="108" customWidth="1"/>
    <col min="2" max="2" width="44.42578125" style="108" customWidth="1"/>
    <col min="3" max="3" width="29.140625" style="108" customWidth="1"/>
    <col min="4" max="4" width="8" style="108" customWidth="1"/>
    <col min="5" max="5" width="22.85546875" style="108" bestFit="1" customWidth="1"/>
    <col min="6" max="6" width="37.42578125" style="108" bestFit="1" customWidth="1"/>
    <col min="7" max="7" width="13.85546875" style="110" bestFit="1" customWidth="1"/>
    <col min="8" max="18" width="30.5703125" style="110" bestFit="1" customWidth="1"/>
    <col min="19" max="19" width="14.140625" style="110" bestFit="1" customWidth="1"/>
    <col min="20" max="22" width="11.42578125" style="110"/>
    <col min="23" max="16384" width="11.42578125" style="108"/>
  </cols>
  <sheetData>
    <row r="6" spans="1:2" x14ac:dyDescent="0.2">
      <c r="A6" s="106" t="s">
        <v>151</v>
      </c>
      <c r="B6" s="107" t="s">
        <v>152</v>
      </c>
    </row>
    <row r="7" spans="1:2" x14ac:dyDescent="0.2">
      <c r="A7" s="106" t="s">
        <v>56</v>
      </c>
      <c r="B7" s="107" t="s">
        <v>153</v>
      </c>
    </row>
    <row r="8" spans="1:2" x14ac:dyDescent="0.2">
      <c r="A8" s="106" t="s">
        <v>58</v>
      </c>
      <c r="B8" s="107" t="s">
        <v>154</v>
      </c>
    </row>
    <row r="9" spans="1:2" x14ac:dyDescent="0.2">
      <c r="A9" s="106" t="s">
        <v>67</v>
      </c>
      <c r="B9" s="107" t="s">
        <v>155</v>
      </c>
    </row>
    <row r="10" spans="1:2" x14ac:dyDescent="0.2">
      <c r="A10" s="106" t="s">
        <v>156</v>
      </c>
      <c r="B10" s="107" t="s">
        <v>157</v>
      </c>
    </row>
    <row r="11" spans="1:2" x14ac:dyDescent="0.2">
      <c r="A11" s="106" t="s">
        <v>158</v>
      </c>
      <c r="B11" s="107" t="s">
        <v>159</v>
      </c>
    </row>
    <row r="12" spans="1:2" x14ac:dyDescent="0.2">
      <c r="A12" s="106" t="s">
        <v>69</v>
      </c>
      <c r="B12" s="107" t="s">
        <v>160</v>
      </c>
    </row>
    <row r="13" spans="1:2" x14ac:dyDescent="0.2">
      <c r="A13" s="106" t="s">
        <v>161</v>
      </c>
      <c r="B13" s="107" t="s">
        <v>162</v>
      </c>
    </row>
    <row r="14" spans="1:2" x14ac:dyDescent="0.2">
      <c r="A14" s="106" t="s">
        <v>63</v>
      </c>
      <c r="B14" s="107" t="s">
        <v>163</v>
      </c>
    </row>
    <row r="15" spans="1:2" x14ac:dyDescent="0.2">
      <c r="A15" s="106" t="s">
        <v>164</v>
      </c>
      <c r="B15" s="107" t="s">
        <v>165</v>
      </c>
    </row>
    <row r="16" spans="1:2" x14ac:dyDescent="0.2">
      <c r="A16" s="106" t="s">
        <v>166</v>
      </c>
      <c r="B16" s="107" t="s">
        <v>167</v>
      </c>
    </row>
    <row r="33" spans="1:19" x14ac:dyDescent="0.2">
      <c r="B33" s="109" t="s">
        <v>168</v>
      </c>
      <c r="D33" s="108" t="s">
        <v>169</v>
      </c>
    </row>
    <row r="34" spans="1:19" x14ac:dyDescent="0.2">
      <c r="A34" s="108" t="s">
        <v>170</v>
      </c>
      <c r="B34" s="109" t="s">
        <v>171</v>
      </c>
    </row>
    <row r="35" spans="1:19" x14ac:dyDescent="0.2">
      <c r="A35" s="108" t="s">
        <v>172</v>
      </c>
      <c r="B35" s="109" t="s">
        <v>173</v>
      </c>
    </row>
    <row r="36" spans="1:19" x14ac:dyDescent="0.2">
      <c r="A36" s="108" t="s">
        <v>174</v>
      </c>
      <c r="B36" s="109" t="s">
        <v>175</v>
      </c>
    </row>
    <row r="37" spans="1:19" x14ac:dyDescent="0.2">
      <c r="A37" s="108" t="s">
        <v>176</v>
      </c>
      <c r="B37" s="109" t="s">
        <v>177</v>
      </c>
    </row>
    <row r="38" spans="1:19" x14ac:dyDescent="0.2">
      <c r="B38" s="109"/>
    </row>
    <row r="39" spans="1:19" x14ac:dyDescent="0.2">
      <c r="B39" s="109"/>
    </row>
    <row r="40" spans="1:19" x14ac:dyDescent="0.2">
      <c r="B40" s="109"/>
    </row>
    <row r="41" spans="1:19" x14ac:dyDescent="0.2">
      <c r="B41" s="109" t="s">
        <v>178</v>
      </c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</row>
    <row r="42" spans="1:19" x14ac:dyDescent="0.2">
      <c r="A42" s="111"/>
      <c r="B42" s="108" t="s">
        <v>179</v>
      </c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</row>
    <row r="43" spans="1:19" x14ac:dyDescent="0.2">
      <c r="A43" s="111" t="s">
        <v>180</v>
      </c>
      <c r="B43" s="107" t="s">
        <v>181</v>
      </c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x14ac:dyDescent="0.2">
      <c r="A44" s="108" t="s">
        <v>182</v>
      </c>
      <c r="B44" s="107" t="s">
        <v>183</v>
      </c>
      <c r="G44" s="108"/>
    </row>
    <row r="45" spans="1:19" x14ac:dyDescent="0.2">
      <c r="A45" s="111" t="s">
        <v>184</v>
      </c>
      <c r="B45" s="107" t="s">
        <v>185</v>
      </c>
      <c r="G45" s="108"/>
    </row>
    <row r="46" spans="1:19" x14ac:dyDescent="0.2">
      <c r="A46" s="106">
        <v>5295400000</v>
      </c>
      <c r="B46" s="107" t="s">
        <v>186</v>
      </c>
      <c r="G46" s="108"/>
    </row>
    <row r="47" spans="1:19" x14ac:dyDescent="0.2">
      <c r="A47" s="106">
        <v>5235500000</v>
      </c>
      <c r="B47" s="107" t="s">
        <v>187</v>
      </c>
    </row>
    <row r="48" spans="1:19" x14ac:dyDescent="0.2">
      <c r="A48" s="111" t="s">
        <v>188</v>
      </c>
      <c r="B48" s="107" t="s">
        <v>189</v>
      </c>
    </row>
    <row r="49" spans="1:5" x14ac:dyDescent="0.2">
      <c r="A49" s="111" t="s">
        <v>190</v>
      </c>
      <c r="B49" s="107" t="s">
        <v>191</v>
      </c>
    </row>
    <row r="50" spans="1:5" x14ac:dyDescent="0.2">
      <c r="A50" s="111" t="s">
        <v>192</v>
      </c>
      <c r="B50" s="107" t="s">
        <v>193</v>
      </c>
    </row>
    <row r="51" spans="1:5" x14ac:dyDescent="0.2">
      <c r="A51" s="112">
        <v>5295950300</v>
      </c>
      <c r="B51" s="107" t="s">
        <v>194</v>
      </c>
    </row>
    <row r="52" spans="1:5" x14ac:dyDescent="0.2">
      <c r="A52" s="111" t="s">
        <v>195</v>
      </c>
      <c r="B52" s="107" t="s">
        <v>196</v>
      </c>
    </row>
    <row r="53" spans="1:5" x14ac:dyDescent="0.2">
      <c r="A53" s="106">
        <v>5240200100</v>
      </c>
      <c r="B53" s="107" t="s">
        <v>197</v>
      </c>
    </row>
    <row r="54" spans="1:5" x14ac:dyDescent="0.2">
      <c r="A54" s="106">
        <v>5235150000</v>
      </c>
      <c r="B54" s="107" t="s">
        <v>198</v>
      </c>
    </row>
    <row r="55" spans="1:5" x14ac:dyDescent="0.2">
      <c r="A55" s="106">
        <v>5235100000</v>
      </c>
      <c r="B55" s="107" t="s">
        <v>199</v>
      </c>
    </row>
    <row r="56" spans="1:5" x14ac:dyDescent="0.2">
      <c r="A56" s="111" t="s">
        <v>200</v>
      </c>
      <c r="B56" s="107" t="s">
        <v>201</v>
      </c>
    </row>
    <row r="57" spans="1:5" x14ac:dyDescent="0.2">
      <c r="A57" s="106">
        <v>5299100000</v>
      </c>
      <c r="B57" s="107" t="s">
        <v>202</v>
      </c>
    </row>
    <row r="58" spans="1:5" x14ac:dyDescent="0.2">
      <c r="A58" s="112" t="s">
        <v>203</v>
      </c>
      <c r="B58" s="113" t="s">
        <v>204</v>
      </c>
    </row>
    <row r="59" spans="1:5" x14ac:dyDescent="0.2">
      <c r="A59" s="111"/>
      <c r="B59" s="113" t="s">
        <v>205</v>
      </c>
      <c r="C59" s="108">
        <f>+Paramet!B4</f>
        <v>202210</v>
      </c>
    </row>
    <row r="60" spans="1:5" x14ac:dyDescent="0.2">
      <c r="A60" s="111" t="s">
        <v>206</v>
      </c>
      <c r="B60" s="107" t="s">
        <v>207</v>
      </c>
      <c r="C60" s="114"/>
      <c r="D60" s="114"/>
      <c r="E60" s="115"/>
    </row>
    <row r="61" spans="1:5" x14ac:dyDescent="0.2">
      <c r="A61" s="108" t="s">
        <v>208</v>
      </c>
      <c r="B61" s="107" t="s">
        <v>209</v>
      </c>
      <c r="C61" s="114"/>
      <c r="D61" s="114"/>
      <c r="E61" s="115"/>
    </row>
    <row r="62" spans="1:5" x14ac:dyDescent="0.2">
      <c r="A62" s="111" t="s">
        <v>210</v>
      </c>
      <c r="B62" s="107" t="s">
        <v>211</v>
      </c>
      <c r="C62" s="114"/>
      <c r="D62" s="114"/>
      <c r="E62" s="115"/>
    </row>
    <row r="63" spans="1:5" x14ac:dyDescent="0.2">
      <c r="A63" s="111" t="s">
        <v>212</v>
      </c>
      <c r="B63" s="107" t="s">
        <v>213</v>
      </c>
      <c r="C63" s="114"/>
      <c r="D63" s="114"/>
      <c r="E63" s="115"/>
    </row>
    <row r="64" spans="1:5" x14ac:dyDescent="0.2">
      <c r="A64" s="111" t="s">
        <v>214</v>
      </c>
      <c r="B64" s="107" t="s">
        <v>215</v>
      </c>
      <c r="C64" s="114"/>
      <c r="D64" s="114"/>
      <c r="E64" s="115"/>
    </row>
    <row r="65" spans="1:5" x14ac:dyDescent="0.2">
      <c r="A65" s="111" t="s">
        <v>216</v>
      </c>
      <c r="B65" s="107" t="s">
        <v>217</v>
      </c>
      <c r="C65" s="114"/>
      <c r="D65" s="114"/>
      <c r="E65" s="115"/>
    </row>
    <row r="66" spans="1:5" x14ac:dyDescent="0.2">
      <c r="A66" s="111" t="s">
        <v>218</v>
      </c>
      <c r="B66" s="107" t="s">
        <v>219</v>
      </c>
      <c r="C66" s="114"/>
      <c r="D66" s="114"/>
      <c r="E66" s="115"/>
    </row>
    <row r="67" spans="1:5" x14ac:dyDescent="0.2">
      <c r="A67" s="111" t="s">
        <v>220</v>
      </c>
      <c r="B67" s="107" t="s">
        <v>221</v>
      </c>
      <c r="C67" s="114"/>
      <c r="D67" s="114"/>
      <c r="E67" s="115"/>
    </row>
    <row r="68" spans="1:5" x14ac:dyDescent="0.2">
      <c r="A68" s="106">
        <v>5265100000</v>
      </c>
      <c r="B68" s="107" t="s">
        <v>222</v>
      </c>
      <c r="C68" s="114"/>
      <c r="D68" s="114"/>
      <c r="E68" s="115"/>
    </row>
    <row r="69" spans="1:5" x14ac:dyDescent="0.2">
      <c r="A69" s="111" t="s">
        <v>223</v>
      </c>
      <c r="B69" s="107" t="s">
        <v>224</v>
      </c>
      <c r="C69" s="114"/>
      <c r="D69" s="114"/>
      <c r="E69" s="115"/>
    </row>
    <row r="70" spans="1:5" x14ac:dyDescent="0.2">
      <c r="A70" s="111" t="s">
        <v>225</v>
      </c>
      <c r="B70" s="107" t="s">
        <v>226</v>
      </c>
      <c r="C70" s="114"/>
      <c r="D70" s="114"/>
      <c r="E70" s="115"/>
    </row>
    <row r="71" spans="1:5" x14ac:dyDescent="0.2">
      <c r="A71" s="111" t="s">
        <v>227</v>
      </c>
      <c r="B71" s="107" t="s">
        <v>228</v>
      </c>
      <c r="C71" s="114"/>
      <c r="D71" s="114"/>
      <c r="E71" s="115"/>
    </row>
    <row r="72" spans="1:5" x14ac:dyDescent="0.2">
      <c r="A72" s="111" t="s">
        <v>229</v>
      </c>
      <c r="B72" s="107" t="s">
        <v>230</v>
      </c>
      <c r="C72" s="114"/>
      <c r="D72" s="114"/>
      <c r="E72" s="115"/>
    </row>
    <row r="73" spans="1:5" x14ac:dyDescent="0.2">
      <c r="A73" s="106" t="s">
        <v>231</v>
      </c>
      <c r="B73" s="107" t="s">
        <v>232</v>
      </c>
      <c r="C73" s="114"/>
      <c r="D73" s="114"/>
      <c r="E73" s="115"/>
    </row>
    <row r="74" spans="1:5" x14ac:dyDescent="0.2">
      <c r="A74" s="111" t="s">
        <v>233</v>
      </c>
      <c r="B74" s="107" t="s">
        <v>234</v>
      </c>
      <c r="C74" s="114"/>
      <c r="D74" s="114"/>
      <c r="E74" s="115"/>
    </row>
    <row r="75" spans="1:5" x14ac:dyDescent="0.2">
      <c r="A75" s="106">
        <v>5265150000</v>
      </c>
      <c r="B75" s="107" t="s">
        <v>235</v>
      </c>
      <c r="C75" s="114"/>
      <c r="D75" s="114"/>
      <c r="E75" s="115"/>
    </row>
    <row r="76" spans="1:5" x14ac:dyDescent="0.2">
      <c r="A76" s="111" t="s">
        <v>236</v>
      </c>
      <c r="B76" s="107" t="s">
        <v>237</v>
      </c>
      <c r="C76" s="114"/>
      <c r="D76" s="114"/>
      <c r="E76" s="115"/>
    </row>
    <row r="77" spans="1:5" x14ac:dyDescent="0.2">
      <c r="A77" s="111" t="s">
        <v>238</v>
      </c>
      <c r="B77" s="107" t="s">
        <v>239</v>
      </c>
      <c r="C77" s="114"/>
      <c r="D77" s="114"/>
      <c r="E77" s="115"/>
    </row>
    <row r="78" spans="1:5" x14ac:dyDescent="0.2">
      <c r="A78" s="111" t="s">
        <v>240</v>
      </c>
      <c r="B78" s="107" t="s">
        <v>241</v>
      </c>
      <c r="C78" s="114"/>
      <c r="D78" s="114"/>
      <c r="E78" s="115"/>
    </row>
    <row r="79" spans="1:5" x14ac:dyDescent="0.2">
      <c r="A79" s="111" t="s">
        <v>242</v>
      </c>
      <c r="B79" s="107" t="s">
        <v>243</v>
      </c>
      <c r="C79" s="114"/>
      <c r="D79" s="114"/>
      <c r="E79" s="115"/>
    </row>
    <row r="80" spans="1:5" x14ac:dyDescent="0.2">
      <c r="A80" s="111" t="s">
        <v>244</v>
      </c>
      <c r="B80" s="107" t="s">
        <v>245</v>
      </c>
      <c r="C80" s="114"/>
      <c r="D80" s="114"/>
      <c r="E80" s="115"/>
    </row>
    <row r="81" spans="1:5" x14ac:dyDescent="0.2">
      <c r="A81" s="111" t="s">
        <v>246</v>
      </c>
      <c r="B81" s="107" t="s">
        <v>247</v>
      </c>
      <c r="C81" s="114"/>
      <c r="D81" s="114"/>
      <c r="E81" s="115"/>
    </row>
    <row r="82" spans="1:5" x14ac:dyDescent="0.2">
      <c r="A82" s="106" t="s">
        <v>248</v>
      </c>
      <c r="B82" s="107" t="s">
        <v>249</v>
      </c>
      <c r="C82" s="114"/>
      <c r="D82" s="114"/>
      <c r="E82" s="115"/>
    </row>
    <row r="83" spans="1:5" x14ac:dyDescent="0.2">
      <c r="A83" s="111" t="s">
        <v>250</v>
      </c>
      <c r="B83" s="107" t="s">
        <v>251</v>
      </c>
      <c r="C83" s="114"/>
      <c r="D83" s="114"/>
      <c r="E83" s="115"/>
    </row>
    <row r="84" spans="1:5" x14ac:dyDescent="0.2">
      <c r="A84" s="111" t="s">
        <v>252</v>
      </c>
      <c r="B84" s="107" t="s">
        <v>253</v>
      </c>
      <c r="C84" s="114"/>
      <c r="D84" s="114"/>
      <c r="E84" s="115"/>
    </row>
    <row r="85" spans="1:5" x14ac:dyDescent="0.2">
      <c r="A85" s="111" t="s">
        <v>254</v>
      </c>
      <c r="B85" s="107" t="s">
        <v>255</v>
      </c>
      <c r="C85" s="114"/>
      <c r="D85" s="114"/>
      <c r="E85" s="115"/>
    </row>
    <row r="86" spans="1:5" x14ac:dyDescent="0.2">
      <c r="A86" s="116" t="s">
        <v>256</v>
      </c>
      <c r="B86" s="107" t="s">
        <v>257</v>
      </c>
      <c r="C86" s="114"/>
      <c r="D86" s="114"/>
      <c r="E86" s="115"/>
    </row>
    <row r="87" spans="1:5" x14ac:dyDescent="0.2">
      <c r="A87" s="111" t="s">
        <v>258</v>
      </c>
      <c r="B87" s="107" t="s">
        <v>259</v>
      </c>
      <c r="C87" s="114"/>
      <c r="D87" s="114"/>
      <c r="E87" s="115"/>
    </row>
    <row r="88" spans="1:5" x14ac:dyDescent="0.2">
      <c r="A88" s="111"/>
      <c r="B88" s="113" t="s">
        <v>260</v>
      </c>
      <c r="C88" s="115"/>
      <c r="D88" s="117"/>
      <c r="E88" s="118"/>
    </row>
    <row r="89" spans="1:5" x14ac:dyDescent="0.2">
      <c r="A89" s="111" t="s">
        <v>261</v>
      </c>
      <c r="B89" s="107" t="s">
        <v>262</v>
      </c>
    </row>
    <row r="90" spans="1:5" x14ac:dyDescent="0.2">
      <c r="A90" s="106">
        <v>5105180100</v>
      </c>
      <c r="B90" s="107" t="s">
        <v>263</v>
      </c>
    </row>
    <row r="91" spans="1:5" x14ac:dyDescent="0.2">
      <c r="A91" s="108" t="s">
        <v>264</v>
      </c>
      <c r="B91" s="107" t="s">
        <v>265</v>
      </c>
    </row>
    <row r="92" spans="1:5" x14ac:dyDescent="0.2">
      <c r="A92" s="106">
        <v>5105480100</v>
      </c>
      <c r="B92" s="107" t="s">
        <v>266</v>
      </c>
    </row>
    <row r="93" spans="1:5" x14ac:dyDescent="0.2">
      <c r="A93" s="111" t="s">
        <v>267</v>
      </c>
      <c r="B93" s="107" t="s">
        <v>268</v>
      </c>
    </row>
    <row r="94" spans="1:5" x14ac:dyDescent="0.2">
      <c r="A94" s="111" t="s">
        <v>269</v>
      </c>
      <c r="B94" s="107" t="s">
        <v>270</v>
      </c>
    </row>
    <row r="95" spans="1:5" x14ac:dyDescent="0.2">
      <c r="A95" s="111"/>
      <c r="B95" s="113" t="s">
        <v>271</v>
      </c>
    </row>
    <row r="96" spans="1:5" x14ac:dyDescent="0.2">
      <c r="A96" s="106">
        <v>5105180000</v>
      </c>
      <c r="B96" s="107" t="s">
        <v>272</v>
      </c>
      <c r="C96" s="114"/>
      <c r="E96" s="115"/>
    </row>
    <row r="97" spans="1:5" x14ac:dyDescent="0.2">
      <c r="A97" s="111" t="s">
        <v>273</v>
      </c>
      <c r="B97" s="107" t="s">
        <v>274</v>
      </c>
      <c r="C97" s="114"/>
      <c r="E97" s="115"/>
    </row>
    <row r="98" spans="1:5" x14ac:dyDescent="0.2">
      <c r="A98" s="111" t="s">
        <v>275</v>
      </c>
      <c r="B98" s="107" t="s">
        <v>276</v>
      </c>
      <c r="C98" s="114"/>
      <c r="E98" s="115"/>
    </row>
    <row r="99" spans="1:5" x14ac:dyDescent="0.2">
      <c r="A99" s="111" t="s">
        <v>277</v>
      </c>
      <c r="B99" s="107" t="s">
        <v>278</v>
      </c>
      <c r="C99" s="114"/>
      <c r="E99" s="115"/>
    </row>
    <row r="100" spans="1:5" x14ac:dyDescent="0.2">
      <c r="A100" s="106" t="s">
        <v>279</v>
      </c>
      <c r="B100" s="107" t="s">
        <v>280</v>
      </c>
      <c r="C100" s="114"/>
      <c r="E100" s="115"/>
    </row>
    <row r="101" spans="1:5" x14ac:dyDescent="0.2">
      <c r="A101" s="111" t="s">
        <v>281</v>
      </c>
      <c r="B101" s="107" t="s">
        <v>282</v>
      </c>
      <c r="C101" s="114"/>
      <c r="E101" s="115"/>
    </row>
    <row r="102" spans="1:5" x14ac:dyDescent="0.2">
      <c r="A102" s="111" t="s">
        <v>283</v>
      </c>
      <c r="B102" s="107" t="s">
        <v>284</v>
      </c>
      <c r="C102" s="114"/>
      <c r="E102" s="115"/>
    </row>
    <row r="103" spans="1:5" x14ac:dyDescent="0.2">
      <c r="A103" s="106" t="s">
        <v>285</v>
      </c>
      <c r="B103" s="107" t="s">
        <v>286</v>
      </c>
      <c r="C103" s="114"/>
      <c r="E103" s="115"/>
    </row>
    <row r="104" spans="1:5" x14ac:dyDescent="0.2">
      <c r="A104" s="106" t="s">
        <v>287</v>
      </c>
      <c r="B104" s="107" t="s">
        <v>288</v>
      </c>
      <c r="C104" s="114"/>
      <c r="E104" s="115"/>
    </row>
    <row r="105" spans="1:5" x14ac:dyDescent="0.2">
      <c r="A105" s="106">
        <v>5120100000</v>
      </c>
      <c r="B105" s="107" t="s">
        <v>289</v>
      </c>
      <c r="C105" s="114"/>
      <c r="E105" s="115"/>
    </row>
    <row r="106" spans="1:5" x14ac:dyDescent="0.2">
      <c r="A106" s="111" t="s">
        <v>290</v>
      </c>
      <c r="B106" s="107" t="s">
        <v>291</v>
      </c>
      <c r="C106" s="114"/>
      <c r="E106" s="115"/>
    </row>
    <row r="107" spans="1:5" x14ac:dyDescent="0.2">
      <c r="A107" s="111" t="s">
        <v>292</v>
      </c>
      <c r="B107" s="107" t="s">
        <v>293</v>
      </c>
      <c r="C107" s="114"/>
      <c r="E107" s="115"/>
    </row>
    <row r="108" spans="1:5" x14ac:dyDescent="0.2">
      <c r="A108" s="111" t="s">
        <v>294</v>
      </c>
      <c r="B108" s="107" t="s">
        <v>295</v>
      </c>
      <c r="C108" s="114"/>
      <c r="E108" s="115"/>
    </row>
    <row r="109" spans="1:5" x14ac:dyDescent="0.2">
      <c r="A109" s="111" t="s">
        <v>296</v>
      </c>
      <c r="B109" s="107" t="s">
        <v>297</v>
      </c>
      <c r="C109" s="114"/>
      <c r="E109" s="115"/>
    </row>
    <row r="110" spans="1:5" x14ac:dyDescent="0.2">
      <c r="A110" s="111" t="s">
        <v>298</v>
      </c>
      <c r="B110" s="107" t="s">
        <v>299</v>
      </c>
      <c r="C110" s="114"/>
      <c r="E110" s="115"/>
    </row>
    <row r="111" spans="1:5" x14ac:dyDescent="0.2">
      <c r="A111" s="111" t="s">
        <v>300</v>
      </c>
      <c r="B111" s="107" t="s">
        <v>301</v>
      </c>
      <c r="C111" s="114"/>
      <c r="E111" s="115"/>
    </row>
    <row r="112" spans="1:5" x14ac:dyDescent="0.2">
      <c r="A112" s="111" t="s">
        <v>302</v>
      </c>
      <c r="B112" s="107" t="s">
        <v>303</v>
      </c>
      <c r="C112" s="114"/>
      <c r="E112" s="115"/>
    </row>
    <row r="113" spans="1:11" x14ac:dyDescent="0.2">
      <c r="A113" s="111" t="s">
        <v>304</v>
      </c>
      <c r="B113" s="107" t="s">
        <v>305</v>
      </c>
      <c r="C113" s="114"/>
      <c r="E113" s="115"/>
    </row>
    <row r="114" spans="1:11" x14ac:dyDescent="0.2">
      <c r="A114" s="111" t="s">
        <v>306</v>
      </c>
      <c r="B114" s="107" t="s">
        <v>307</v>
      </c>
      <c r="C114" s="114"/>
      <c r="E114" s="115"/>
    </row>
    <row r="115" spans="1:11" x14ac:dyDescent="0.2">
      <c r="A115" s="111" t="s">
        <v>308</v>
      </c>
      <c r="B115" s="107" t="s">
        <v>309</v>
      </c>
      <c r="C115" s="114"/>
      <c r="E115" s="115"/>
    </row>
    <row r="116" spans="1:11" x14ac:dyDescent="0.2">
      <c r="A116" s="106" t="s">
        <v>310</v>
      </c>
      <c r="B116" s="107" t="s">
        <v>311</v>
      </c>
      <c r="C116" s="114"/>
      <c r="E116" s="115"/>
    </row>
    <row r="117" spans="1:11" x14ac:dyDescent="0.2">
      <c r="A117" s="111" t="s">
        <v>312</v>
      </c>
      <c r="B117" s="107" t="s">
        <v>313</v>
      </c>
      <c r="C117" s="114"/>
      <c r="E117" s="115"/>
    </row>
    <row r="118" spans="1:11" x14ac:dyDescent="0.2">
      <c r="A118" s="111" t="s">
        <v>314</v>
      </c>
      <c r="B118" s="107" t="s">
        <v>315</v>
      </c>
      <c r="C118" s="114"/>
      <c r="E118" s="115"/>
    </row>
    <row r="119" spans="1:11" x14ac:dyDescent="0.2">
      <c r="A119" s="111" t="s">
        <v>316</v>
      </c>
      <c r="B119" s="107" t="s">
        <v>317</v>
      </c>
      <c r="C119" s="114"/>
      <c r="E119" s="115"/>
    </row>
    <row r="120" spans="1:11" x14ac:dyDescent="0.2">
      <c r="A120" s="111" t="s">
        <v>318</v>
      </c>
      <c r="B120" s="107" t="s">
        <v>319</v>
      </c>
      <c r="C120" s="114"/>
      <c r="E120" s="115"/>
    </row>
    <row r="121" spans="1:11" x14ac:dyDescent="0.2">
      <c r="A121" s="106" t="s">
        <v>320</v>
      </c>
      <c r="B121" s="107" t="s">
        <v>321</v>
      </c>
      <c r="C121" s="114"/>
      <c r="E121" s="115"/>
    </row>
    <row r="122" spans="1:11" x14ac:dyDescent="0.2">
      <c r="A122" s="111" t="s">
        <v>322</v>
      </c>
      <c r="B122" s="107" t="s">
        <v>323</v>
      </c>
      <c r="C122" s="114"/>
      <c r="E122" s="115"/>
    </row>
    <row r="123" spans="1:11" x14ac:dyDescent="0.2">
      <c r="A123" s="111" t="s">
        <v>324</v>
      </c>
      <c r="B123" s="107" t="s">
        <v>325</v>
      </c>
      <c r="C123" s="114"/>
      <c r="E123" s="115"/>
    </row>
    <row r="124" spans="1:11" x14ac:dyDescent="0.2">
      <c r="A124" s="111" t="s">
        <v>326</v>
      </c>
      <c r="B124" s="107" t="s">
        <v>327</v>
      </c>
      <c r="C124" s="114"/>
      <c r="E124" s="115"/>
    </row>
    <row r="125" spans="1:11" x14ac:dyDescent="0.2">
      <c r="A125" s="111" t="s">
        <v>328</v>
      </c>
      <c r="B125" s="107" t="s">
        <v>329</v>
      </c>
      <c r="C125" s="114"/>
      <c r="E125" s="115"/>
    </row>
    <row r="126" spans="1:11" x14ac:dyDescent="0.2">
      <c r="A126" s="111" t="s">
        <v>330</v>
      </c>
      <c r="B126" s="107" t="s">
        <v>331</v>
      </c>
      <c r="C126" s="114"/>
      <c r="E126" s="108" t="s">
        <v>332</v>
      </c>
      <c r="G126" s="108"/>
      <c r="H126" s="108"/>
      <c r="I126" s="108"/>
      <c r="J126" s="108"/>
      <c r="K126" s="108"/>
    </row>
    <row r="127" spans="1:11" x14ac:dyDescent="0.2">
      <c r="A127" s="111"/>
      <c r="B127" s="113" t="s">
        <v>333</v>
      </c>
      <c r="C127" s="115"/>
      <c r="D127" s="115"/>
      <c r="E127" s="108" t="s">
        <v>334</v>
      </c>
      <c r="F127" s="108" t="s">
        <v>335</v>
      </c>
      <c r="G127" s="108" t="s">
        <v>101</v>
      </c>
      <c r="H127" s="108"/>
      <c r="I127" s="108"/>
      <c r="J127" s="108"/>
      <c r="K127" s="108"/>
    </row>
    <row r="128" spans="1:11" x14ac:dyDescent="0.2">
      <c r="A128" s="111" t="s">
        <v>336</v>
      </c>
      <c r="B128" s="107" t="s">
        <v>337</v>
      </c>
      <c r="E128" s="108" t="s">
        <v>338</v>
      </c>
      <c r="F128" s="108" t="s">
        <v>339</v>
      </c>
      <c r="G128" s="119">
        <v>-2083333</v>
      </c>
      <c r="H128" s="108"/>
      <c r="I128" s="108"/>
      <c r="J128" s="108"/>
      <c r="K128" s="108"/>
    </row>
    <row r="129" spans="1:11" x14ac:dyDescent="0.2">
      <c r="A129" s="111" t="s">
        <v>340</v>
      </c>
      <c r="B129" s="107" t="s">
        <v>341</v>
      </c>
      <c r="E129" s="108" t="s">
        <v>342</v>
      </c>
      <c r="G129" s="119">
        <v>-2083333</v>
      </c>
      <c r="H129" s="108"/>
      <c r="I129" s="108"/>
      <c r="J129" s="108"/>
      <c r="K129" s="108"/>
    </row>
    <row r="130" spans="1:11" x14ac:dyDescent="0.2">
      <c r="A130" s="106">
        <v>5110358000</v>
      </c>
      <c r="B130" s="107" t="s">
        <v>343</v>
      </c>
      <c r="G130" s="108"/>
      <c r="H130" s="108"/>
      <c r="I130" s="108"/>
      <c r="J130" s="108"/>
      <c r="K130" s="108"/>
    </row>
    <row r="131" spans="1:11" x14ac:dyDescent="0.2">
      <c r="A131" s="111"/>
      <c r="B131" s="113" t="s">
        <v>344</v>
      </c>
      <c r="G131" s="108"/>
      <c r="H131" s="108"/>
      <c r="I131" s="108"/>
      <c r="J131" s="108"/>
      <c r="K131" s="108"/>
    </row>
    <row r="132" spans="1:11" x14ac:dyDescent="0.2">
      <c r="A132" s="111" t="s">
        <v>345</v>
      </c>
      <c r="B132" s="107" t="s">
        <v>346</v>
      </c>
      <c r="G132" s="108"/>
      <c r="H132" s="108"/>
      <c r="I132" s="108"/>
      <c r="J132" s="108"/>
      <c r="K132" s="108"/>
    </row>
    <row r="133" spans="1:11" x14ac:dyDescent="0.2">
      <c r="A133" s="111" t="s">
        <v>347</v>
      </c>
      <c r="B133" s="107" t="s">
        <v>348</v>
      </c>
      <c r="G133" s="108"/>
      <c r="H133" s="108"/>
      <c r="I133" s="108"/>
      <c r="J133" s="108"/>
      <c r="K133" s="108"/>
    </row>
    <row r="134" spans="1:11" x14ac:dyDescent="0.2">
      <c r="A134" s="111" t="s">
        <v>349</v>
      </c>
      <c r="B134" s="107" t="s">
        <v>350</v>
      </c>
      <c r="G134" s="108"/>
      <c r="H134" s="108"/>
      <c r="I134" s="108"/>
      <c r="J134" s="108"/>
      <c r="K134" s="108"/>
    </row>
    <row r="135" spans="1:11" x14ac:dyDescent="0.2">
      <c r="A135" s="111" t="s">
        <v>351</v>
      </c>
      <c r="B135" s="107" t="s">
        <v>352</v>
      </c>
      <c r="G135" s="108"/>
      <c r="H135" s="108"/>
      <c r="I135" s="108"/>
      <c r="J135" s="108"/>
      <c r="K135" s="108"/>
    </row>
    <row r="136" spans="1:11" x14ac:dyDescent="0.2">
      <c r="G136" s="108"/>
      <c r="H136" s="108"/>
      <c r="I136" s="108"/>
      <c r="J136" s="108"/>
      <c r="K136" s="108"/>
    </row>
    <row r="137" spans="1:11" x14ac:dyDescent="0.2">
      <c r="A137" s="111"/>
      <c r="B137" s="113" t="s">
        <v>353</v>
      </c>
      <c r="G137" s="108"/>
      <c r="H137" s="108"/>
      <c r="I137" s="108"/>
      <c r="J137" s="108"/>
      <c r="K137" s="108"/>
    </row>
    <row r="138" spans="1:11" x14ac:dyDescent="0.2">
      <c r="A138" s="111" t="s">
        <v>354</v>
      </c>
      <c r="B138" s="107" t="s">
        <v>355</v>
      </c>
      <c r="G138" s="108"/>
      <c r="H138" s="108"/>
      <c r="I138" s="108"/>
      <c r="J138" s="108"/>
      <c r="K138" s="108"/>
    </row>
    <row r="139" spans="1:11" x14ac:dyDescent="0.2">
      <c r="A139" s="111" t="s">
        <v>356</v>
      </c>
      <c r="B139" s="107" t="s">
        <v>357</v>
      </c>
      <c r="G139" s="108"/>
      <c r="H139" s="108"/>
      <c r="I139" s="108"/>
      <c r="J139" s="108"/>
      <c r="K139" s="108"/>
    </row>
    <row r="140" spans="1:11" x14ac:dyDescent="0.2">
      <c r="A140" s="111" t="s">
        <v>358</v>
      </c>
      <c r="B140" s="107" t="s">
        <v>359</v>
      </c>
      <c r="G140" s="108"/>
      <c r="H140" s="108"/>
      <c r="I140" s="108"/>
      <c r="J140" s="108"/>
      <c r="K140" s="108"/>
    </row>
    <row r="141" spans="1:11" x14ac:dyDescent="0.2">
      <c r="A141" s="120" t="s">
        <v>360</v>
      </c>
      <c r="B141" s="107" t="s">
        <v>361</v>
      </c>
      <c r="G141" s="108"/>
    </row>
    <row r="142" spans="1:11" x14ac:dyDescent="0.2">
      <c r="A142" s="120"/>
      <c r="B142" s="113" t="s">
        <v>362</v>
      </c>
      <c r="G142" s="108"/>
    </row>
    <row r="143" spans="1:11" x14ac:dyDescent="0.2">
      <c r="A143" s="111" t="s">
        <v>363</v>
      </c>
      <c r="B143" s="107" t="s">
        <v>364</v>
      </c>
      <c r="G143" s="108"/>
    </row>
    <row r="144" spans="1:11" x14ac:dyDescent="0.2">
      <c r="A144" s="111"/>
      <c r="B144" s="113" t="s">
        <v>365</v>
      </c>
      <c r="G144" s="108"/>
    </row>
    <row r="145" spans="1:7" x14ac:dyDescent="0.2">
      <c r="A145" s="111"/>
      <c r="B145" s="113" t="s">
        <v>366</v>
      </c>
      <c r="G145" s="108"/>
    </row>
    <row r="146" spans="1:7" x14ac:dyDescent="0.2">
      <c r="A146" s="111"/>
      <c r="B146" s="113" t="s">
        <v>367</v>
      </c>
      <c r="G146" s="108"/>
    </row>
    <row r="147" spans="1:7" x14ac:dyDescent="0.2">
      <c r="A147" s="111" t="s">
        <v>368</v>
      </c>
      <c r="B147" s="107" t="s">
        <v>369</v>
      </c>
      <c r="G147" s="108"/>
    </row>
    <row r="148" spans="1:7" x14ac:dyDescent="0.2">
      <c r="G148" s="108"/>
    </row>
    <row r="149" spans="1:7" x14ac:dyDescent="0.2">
      <c r="G149" s="108"/>
    </row>
    <row r="150" spans="1:7" x14ac:dyDescent="0.2">
      <c r="B150" s="108" t="s">
        <v>370</v>
      </c>
    </row>
    <row r="151" spans="1:7" x14ac:dyDescent="0.2">
      <c r="A151" s="111" t="s">
        <v>180</v>
      </c>
      <c r="B151" s="107" t="s">
        <v>181</v>
      </c>
    </row>
    <row r="152" spans="1:7" x14ac:dyDescent="0.2">
      <c r="A152" s="108" t="s">
        <v>182</v>
      </c>
      <c r="B152" s="107" t="s">
        <v>183</v>
      </c>
    </row>
    <row r="153" spans="1:7" x14ac:dyDescent="0.2">
      <c r="A153" s="111" t="s">
        <v>206</v>
      </c>
      <c r="B153" s="107" t="s">
        <v>207</v>
      </c>
    </row>
    <row r="154" spans="1:7" x14ac:dyDescent="0.2">
      <c r="A154" s="108" t="s">
        <v>208</v>
      </c>
      <c r="B154" s="107" t="s">
        <v>209</v>
      </c>
    </row>
    <row r="155" spans="1:7" x14ac:dyDescent="0.2">
      <c r="A155" s="111" t="s">
        <v>261</v>
      </c>
      <c r="B155" s="107" t="s">
        <v>262</v>
      </c>
    </row>
    <row r="156" spans="1:7" x14ac:dyDescent="0.2">
      <c r="A156" s="106">
        <v>5105180100</v>
      </c>
      <c r="B156" s="107" t="s">
        <v>263</v>
      </c>
    </row>
    <row r="157" spans="1:7" x14ac:dyDescent="0.2">
      <c r="A157" s="108" t="s">
        <v>264</v>
      </c>
      <c r="B157" s="107" t="s">
        <v>265</v>
      </c>
    </row>
    <row r="158" spans="1:7" x14ac:dyDescent="0.2">
      <c r="A158" s="106">
        <v>5105180000</v>
      </c>
      <c r="B158" s="107" t="s">
        <v>272</v>
      </c>
    </row>
    <row r="159" spans="1:7" x14ac:dyDescent="0.2">
      <c r="A159" s="111" t="s">
        <v>273</v>
      </c>
      <c r="B159" s="107" t="s">
        <v>274</v>
      </c>
    </row>
    <row r="160" spans="1:7" x14ac:dyDescent="0.2">
      <c r="A160" s="111" t="s">
        <v>275</v>
      </c>
      <c r="B160" s="107" t="s">
        <v>276</v>
      </c>
    </row>
    <row r="161" spans="1:5" x14ac:dyDescent="0.2">
      <c r="A161" s="111" t="s">
        <v>277</v>
      </c>
      <c r="B161" s="107" t="s">
        <v>278</v>
      </c>
    </row>
    <row r="164" spans="1:5" x14ac:dyDescent="0.2">
      <c r="B164" s="108" t="s">
        <v>371</v>
      </c>
    </row>
    <row r="165" spans="1:5" x14ac:dyDescent="0.2">
      <c r="A165" s="108" t="s">
        <v>188</v>
      </c>
      <c r="B165" s="108" t="s">
        <v>189</v>
      </c>
    </row>
    <row r="166" spans="1:5" x14ac:dyDescent="0.2">
      <c r="A166" s="108" t="s">
        <v>267</v>
      </c>
      <c r="B166" s="108" t="s">
        <v>268</v>
      </c>
    </row>
    <row r="167" spans="1:5" x14ac:dyDescent="0.2">
      <c r="A167" s="108" t="s">
        <v>269</v>
      </c>
      <c r="B167" s="108" t="s">
        <v>270</v>
      </c>
    </row>
    <row r="173" spans="1:5" x14ac:dyDescent="0.2">
      <c r="A173" s="121" t="s">
        <v>372</v>
      </c>
    </row>
    <row r="174" spans="1:5" x14ac:dyDescent="0.2">
      <c r="A174" s="109" t="s">
        <v>373</v>
      </c>
      <c r="E174" s="108" t="s">
        <v>374</v>
      </c>
    </row>
    <row r="175" spans="1:5" x14ac:dyDescent="0.2">
      <c r="A175" s="108" t="s">
        <v>375</v>
      </c>
      <c r="B175" s="108" t="s">
        <v>376</v>
      </c>
    </row>
    <row r="176" spans="1:5" x14ac:dyDescent="0.2">
      <c r="A176" s="108">
        <v>4155950000</v>
      </c>
      <c r="B176" s="108" t="s">
        <v>377</v>
      </c>
    </row>
    <row r="177" spans="1:5" x14ac:dyDescent="0.2">
      <c r="A177" s="108">
        <v>4155950100</v>
      </c>
      <c r="B177" s="108" t="s">
        <v>378</v>
      </c>
    </row>
    <row r="178" spans="1:5" x14ac:dyDescent="0.2">
      <c r="A178" s="108">
        <v>4155951500</v>
      </c>
      <c r="B178" s="108" t="s">
        <v>379</v>
      </c>
    </row>
    <row r="179" spans="1:5" x14ac:dyDescent="0.2">
      <c r="A179" s="108">
        <v>4135950900</v>
      </c>
      <c r="B179" s="108" t="s">
        <v>380</v>
      </c>
    </row>
    <row r="180" spans="1:5" x14ac:dyDescent="0.2">
      <c r="A180" s="108">
        <v>4135950000</v>
      </c>
      <c r="B180" s="108" t="s">
        <v>381</v>
      </c>
      <c r="E180" s="108">
        <v>4135950000</v>
      </c>
    </row>
    <row r="181" spans="1:5" x14ac:dyDescent="0.2">
      <c r="A181" s="108">
        <v>4155950500</v>
      </c>
      <c r="B181" s="108" t="s">
        <v>381</v>
      </c>
    </row>
    <row r="182" spans="1:5" x14ac:dyDescent="0.2">
      <c r="A182" s="108">
        <v>4170250300</v>
      </c>
      <c r="B182" s="108" t="s">
        <v>381</v>
      </c>
    </row>
    <row r="183" spans="1:5" x14ac:dyDescent="0.2">
      <c r="A183" s="108" t="s">
        <v>382</v>
      </c>
      <c r="B183" s="108" t="s">
        <v>383</v>
      </c>
    </row>
    <row r="184" spans="1:5" x14ac:dyDescent="0.2">
      <c r="A184" s="108">
        <v>6135950000</v>
      </c>
      <c r="B184" s="108" t="s">
        <v>384</v>
      </c>
    </row>
    <row r="186" spans="1:5" x14ac:dyDescent="0.2">
      <c r="B186" s="108" t="s">
        <v>385</v>
      </c>
    </row>
    <row r="187" spans="1:5" x14ac:dyDescent="0.2">
      <c r="A187" s="108">
        <v>5205180100</v>
      </c>
      <c r="B187" s="108" t="s">
        <v>386</v>
      </c>
      <c r="C187" s="108" t="s">
        <v>387</v>
      </c>
    </row>
    <row r="188" spans="1:5" x14ac:dyDescent="0.2">
      <c r="A188" s="108">
        <v>5205361000</v>
      </c>
      <c r="B188" s="108" t="s">
        <v>388</v>
      </c>
      <c r="C188" s="108" t="s">
        <v>389</v>
      </c>
      <c r="D188" s="108" t="s">
        <v>101</v>
      </c>
    </row>
    <row r="189" spans="1:5" x14ac:dyDescent="0.2">
      <c r="A189" s="108">
        <v>5205391000</v>
      </c>
      <c r="B189" s="108" t="s">
        <v>388</v>
      </c>
      <c r="C189" s="108" t="s">
        <v>390</v>
      </c>
      <c r="D189" s="108">
        <v>4638.9799999999996</v>
      </c>
    </row>
    <row r="190" spans="1:5" x14ac:dyDescent="0.2">
      <c r="A190" s="108">
        <v>5205422000</v>
      </c>
      <c r="B190" s="108" t="s">
        <v>388</v>
      </c>
      <c r="C190" s="108" t="s">
        <v>391</v>
      </c>
      <c r="D190" s="108">
        <v>1230.26</v>
      </c>
    </row>
    <row r="191" spans="1:5" x14ac:dyDescent="0.2">
      <c r="A191" s="108">
        <v>5205691000</v>
      </c>
      <c r="B191" s="108" t="s">
        <v>388</v>
      </c>
      <c r="C191" s="108" t="s">
        <v>392</v>
      </c>
      <c r="D191" s="108">
        <v>307.56</v>
      </c>
    </row>
    <row r="192" spans="1:5" x14ac:dyDescent="0.2">
      <c r="A192" s="108">
        <v>5205701000</v>
      </c>
      <c r="B192" s="108" t="s">
        <v>388</v>
      </c>
      <c r="C192" s="108" t="s">
        <v>393</v>
      </c>
      <c r="D192" s="108">
        <v>896.8</v>
      </c>
    </row>
    <row r="193" spans="1:4" x14ac:dyDescent="0.2">
      <c r="A193" s="108">
        <v>5160200000</v>
      </c>
      <c r="B193" s="108" t="s">
        <v>394</v>
      </c>
      <c r="C193" s="108" t="s">
        <v>395</v>
      </c>
      <c r="D193" s="108">
        <v>604.20000000000005</v>
      </c>
    </row>
    <row r="194" spans="1:4" x14ac:dyDescent="0.2">
      <c r="A194" s="108">
        <v>5260100000</v>
      </c>
      <c r="B194" s="108" t="s">
        <v>394</v>
      </c>
      <c r="C194" s="108" t="s">
        <v>396</v>
      </c>
      <c r="D194" s="108">
        <v>27.16</v>
      </c>
    </row>
    <row r="195" spans="1:4" x14ac:dyDescent="0.2">
      <c r="A195" s="108">
        <v>5260200000</v>
      </c>
      <c r="B195" s="108" t="s">
        <v>394</v>
      </c>
      <c r="C195" s="108" t="s">
        <v>342</v>
      </c>
      <c r="D195" s="108">
        <v>7704.96</v>
      </c>
    </row>
    <row r="196" spans="1:4" x14ac:dyDescent="0.2">
      <c r="A196" s="108">
        <v>5260150000</v>
      </c>
      <c r="B196" s="108" t="s">
        <v>394</v>
      </c>
    </row>
    <row r="197" spans="1:4" x14ac:dyDescent="0.2">
      <c r="A197" s="108">
        <v>5260350000</v>
      </c>
      <c r="B197" s="108" t="s">
        <v>394</v>
      </c>
    </row>
    <row r="198" spans="1:4" x14ac:dyDescent="0.2">
      <c r="A198" s="108">
        <v>5160150000</v>
      </c>
      <c r="B198" s="108" t="s">
        <v>397</v>
      </c>
    </row>
    <row r="199" spans="1:4" x14ac:dyDescent="0.2">
      <c r="A199" s="108">
        <v>5145150100</v>
      </c>
      <c r="B199" s="108" t="s">
        <v>398</v>
      </c>
    </row>
    <row r="200" spans="1:4" x14ac:dyDescent="0.2">
      <c r="A200" s="108">
        <v>5235300000</v>
      </c>
      <c r="B200" s="108" t="s">
        <v>398</v>
      </c>
    </row>
    <row r="201" spans="1:4" x14ac:dyDescent="0.2">
      <c r="A201" s="108">
        <v>5245100000</v>
      </c>
      <c r="B201" s="108" t="s">
        <v>398</v>
      </c>
    </row>
    <row r="202" spans="1:4" x14ac:dyDescent="0.2">
      <c r="A202" s="108">
        <v>5245150000</v>
      </c>
      <c r="B202" s="108" t="s">
        <v>398</v>
      </c>
    </row>
    <row r="203" spans="1:4" x14ac:dyDescent="0.2">
      <c r="A203" s="108">
        <v>5245150100</v>
      </c>
      <c r="B203" s="108" t="s">
        <v>398</v>
      </c>
    </row>
    <row r="204" spans="1:4" x14ac:dyDescent="0.2">
      <c r="A204" s="108">
        <v>5245200000</v>
      </c>
      <c r="B204" s="108" t="s">
        <v>398</v>
      </c>
    </row>
    <row r="205" spans="1:4" x14ac:dyDescent="0.2">
      <c r="A205" s="108">
        <v>5245250000</v>
      </c>
      <c r="B205" s="108" t="s">
        <v>398</v>
      </c>
    </row>
    <row r="206" spans="1:4" x14ac:dyDescent="0.2">
      <c r="A206" s="108">
        <v>5250050000</v>
      </c>
      <c r="B206" s="108" t="s">
        <v>398</v>
      </c>
    </row>
    <row r="207" spans="1:4" x14ac:dyDescent="0.2">
      <c r="A207" s="108">
        <v>5250100000</v>
      </c>
      <c r="B207" s="108" t="s">
        <v>398</v>
      </c>
    </row>
    <row r="208" spans="1:4" x14ac:dyDescent="0.2">
      <c r="A208" s="108">
        <v>5250950000</v>
      </c>
      <c r="B208" s="108" t="s">
        <v>398</v>
      </c>
    </row>
    <row r="209" spans="1:2" x14ac:dyDescent="0.2">
      <c r="A209" s="108">
        <v>5295250000</v>
      </c>
      <c r="B209" s="108" t="s">
        <v>398</v>
      </c>
    </row>
    <row r="210" spans="1:2" x14ac:dyDescent="0.2">
      <c r="A210" s="108">
        <v>5295950300</v>
      </c>
      <c r="B210" s="108" t="s">
        <v>398</v>
      </c>
    </row>
    <row r="211" spans="1:2" x14ac:dyDescent="0.2">
      <c r="A211" s="108">
        <v>5235050000</v>
      </c>
      <c r="B211" s="108" t="s">
        <v>399</v>
      </c>
    </row>
    <row r="212" spans="1:2" x14ac:dyDescent="0.2">
      <c r="A212" s="108">
        <v>5235200000</v>
      </c>
      <c r="B212" s="108" t="s">
        <v>399</v>
      </c>
    </row>
    <row r="213" spans="1:2" x14ac:dyDescent="0.2">
      <c r="A213" s="108">
        <v>5235950100</v>
      </c>
      <c r="B213" s="108" t="s">
        <v>399</v>
      </c>
    </row>
    <row r="214" spans="1:2" x14ac:dyDescent="0.2">
      <c r="A214" s="108">
        <v>5235950400</v>
      </c>
      <c r="B214" s="108" t="s">
        <v>399</v>
      </c>
    </row>
    <row r="215" spans="1:2" x14ac:dyDescent="0.2">
      <c r="A215" s="108">
        <v>5235950500</v>
      </c>
      <c r="B215" s="108" t="s">
        <v>399</v>
      </c>
    </row>
    <row r="216" spans="1:2" x14ac:dyDescent="0.2">
      <c r="A216" s="108">
        <v>5235950600</v>
      </c>
      <c r="B216" s="108" t="s">
        <v>399</v>
      </c>
    </row>
    <row r="217" spans="1:2" x14ac:dyDescent="0.2">
      <c r="A217" s="108">
        <v>5235950600</v>
      </c>
      <c r="B217" s="108" t="s">
        <v>399</v>
      </c>
    </row>
    <row r="218" spans="1:2" x14ac:dyDescent="0.2">
      <c r="A218" s="108">
        <v>5235950600</v>
      </c>
      <c r="B218" s="108" t="s">
        <v>399</v>
      </c>
    </row>
    <row r="219" spans="1:2" x14ac:dyDescent="0.2">
      <c r="A219" s="108">
        <v>5295950500</v>
      </c>
      <c r="B219" s="108" t="s">
        <v>399</v>
      </c>
    </row>
    <row r="220" spans="1:2" x14ac:dyDescent="0.2">
      <c r="A220" s="108">
        <v>5295950100</v>
      </c>
      <c r="B220" s="108" t="s">
        <v>400</v>
      </c>
    </row>
    <row r="221" spans="1:2" x14ac:dyDescent="0.2">
      <c r="A221" s="108">
        <v>5299100000</v>
      </c>
      <c r="B221" s="108" t="s">
        <v>401</v>
      </c>
    </row>
    <row r="222" spans="1:2" x14ac:dyDescent="0.2">
      <c r="A222" s="108">
        <v>5160100000</v>
      </c>
      <c r="B222" s="108" t="s">
        <v>402</v>
      </c>
    </row>
    <row r="223" spans="1:2" x14ac:dyDescent="0.2">
      <c r="B223" s="108" t="s">
        <v>403</v>
      </c>
    </row>
    <row r="224" spans="1:2" x14ac:dyDescent="0.2">
      <c r="A224" s="108">
        <v>5205630100</v>
      </c>
      <c r="B224" s="108" t="s">
        <v>404</v>
      </c>
    </row>
    <row r="225" spans="1:2" x14ac:dyDescent="0.2">
      <c r="A225" s="108">
        <v>5205630200</v>
      </c>
      <c r="B225" s="108" t="s">
        <v>404</v>
      </c>
    </row>
    <row r="226" spans="1:2" x14ac:dyDescent="0.2">
      <c r="A226" s="108">
        <v>5205060100</v>
      </c>
      <c r="B226" s="108" t="s">
        <v>405</v>
      </c>
    </row>
    <row r="227" spans="1:2" x14ac:dyDescent="0.2">
      <c r="A227" s="108">
        <v>5205150100</v>
      </c>
      <c r="B227" s="108" t="s">
        <v>405</v>
      </c>
    </row>
    <row r="228" spans="1:2" x14ac:dyDescent="0.2">
      <c r="A228" s="108">
        <v>5205360100</v>
      </c>
      <c r="B228" s="108" t="s">
        <v>406</v>
      </c>
    </row>
    <row r="229" spans="1:2" x14ac:dyDescent="0.2">
      <c r="A229" s="108">
        <v>5205390100</v>
      </c>
      <c r="B229" s="108" t="s">
        <v>406</v>
      </c>
    </row>
    <row r="230" spans="1:2" x14ac:dyDescent="0.2">
      <c r="A230" s="108">
        <v>5205600100</v>
      </c>
      <c r="B230" s="108" t="s">
        <v>406</v>
      </c>
    </row>
    <row r="231" spans="1:2" x14ac:dyDescent="0.2">
      <c r="A231" s="108">
        <v>5205690100</v>
      </c>
      <c r="B231" s="108" t="s">
        <v>406</v>
      </c>
    </row>
    <row r="232" spans="1:2" x14ac:dyDescent="0.2">
      <c r="A232" s="108">
        <v>5205700100</v>
      </c>
      <c r="B232" s="108" t="s">
        <v>406</v>
      </c>
    </row>
    <row r="233" spans="1:2" x14ac:dyDescent="0.2">
      <c r="A233" s="108">
        <v>5205700100</v>
      </c>
      <c r="B233" s="108" t="s">
        <v>406</v>
      </c>
    </row>
    <row r="234" spans="1:2" x14ac:dyDescent="0.2">
      <c r="A234" s="108">
        <v>5205700200</v>
      </c>
      <c r="B234" s="108" t="s">
        <v>406</v>
      </c>
    </row>
    <row r="235" spans="1:2" x14ac:dyDescent="0.2">
      <c r="A235" s="108">
        <v>5205780100</v>
      </c>
      <c r="B235" s="108" t="s">
        <v>406</v>
      </c>
    </row>
    <row r="236" spans="1:2" x14ac:dyDescent="0.2">
      <c r="A236" s="108">
        <v>5205660100</v>
      </c>
      <c r="B236" s="108" t="s">
        <v>407</v>
      </c>
    </row>
    <row r="237" spans="1:2" x14ac:dyDescent="0.2">
      <c r="A237" s="108">
        <v>5210250000</v>
      </c>
      <c r="B237" s="108" t="s">
        <v>408</v>
      </c>
    </row>
    <row r="238" spans="1:2" x14ac:dyDescent="0.2">
      <c r="A238" s="108">
        <v>5210350000</v>
      </c>
      <c r="B238" s="108" t="s">
        <v>408</v>
      </c>
    </row>
    <row r="239" spans="1:2" x14ac:dyDescent="0.2">
      <c r="A239" s="108">
        <v>5210950000</v>
      </c>
      <c r="B239" s="108" t="s">
        <v>408</v>
      </c>
    </row>
    <row r="240" spans="1:2" x14ac:dyDescent="0.2">
      <c r="A240" s="108">
        <v>5115950000</v>
      </c>
      <c r="B240" s="108" t="s">
        <v>409</v>
      </c>
    </row>
    <row r="241" spans="1:2" x14ac:dyDescent="0.2">
      <c r="A241" s="108">
        <v>5215100000</v>
      </c>
      <c r="B241" s="108" t="s">
        <v>409</v>
      </c>
    </row>
    <row r="242" spans="1:2" x14ac:dyDescent="0.2">
      <c r="A242" s="108">
        <v>5215950000</v>
      </c>
      <c r="B242" s="108" t="s">
        <v>409</v>
      </c>
    </row>
    <row r="243" spans="1:2" x14ac:dyDescent="0.2">
      <c r="A243" s="108">
        <v>5240100000</v>
      </c>
      <c r="B243" s="108" t="s">
        <v>409</v>
      </c>
    </row>
    <row r="244" spans="1:2" x14ac:dyDescent="0.2">
      <c r="A244" s="108">
        <v>5240150000</v>
      </c>
      <c r="B244" s="108" t="s">
        <v>409</v>
      </c>
    </row>
    <row r="245" spans="1:2" x14ac:dyDescent="0.2">
      <c r="A245" s="108">
        <v>5245400000</v>
      </c>
      <c r="B245" s="108" t="s">
        <v>410</v>
      </c>
    </row>
    <row r="246" spans="1:2" x14ac:dyDescent="0.2">
      <c r="A246" s="108">
        <v>5295350000</v>
      </c>
      <c r="B246" s="108" t="s">
        <v>410</v>
      </c>
    </row>
    <row r="247" spans="1:2" x14ac:dyDescent="0.2">
      <c r="A247" s="108">
        <v>5295100000</v>
      </c>
      <c r="B247" s="108" t="s">
        <v>411</v>
      </c>
    </row>
    <row r="248" spans="1:2" x14ac:dyDescent="0.2">
      <c r="A248" s="108">
        <v>5295300000</v>
      </c>
      <c r="B248" s="108" t="s">
        <v>411</v>
      </c>
    </row>
    <row r="249" spans="1:2" x14ac:dyDescent="0.2">
      <c r="A249" s="108">
        <v>5235600000</v>
      </c>
      <c r="B249" s="108" t="s">
        <v>412</v>
      </c>
    </row>
    <row r="250" spans="1:2" x14ac:dyDescent="0.2">
      <c r="A250" s="108">
        <v>5235350000</v>
      </c>
      <c r="B250" s="108" t="s">
        <v>413</v>
      </c>
    </row>
    <row r="251" spans="1:2" x14ac:dyDescent="0.2">
      <c r="A251" s="108">
        <v>5235400100</v>
      </c>
      <c r="B251" s="108" t="s">
        <v>413</v>
      </c>
    </row>
    <row r="252" spans="1:2" x14ac:dyDescent="0.2">
      <c r="A252" s="108">
        <v>5235400200</v>
      </c>
      <c r="B252" s="108" t="s">
        <v>413</v>
      </c>
    </row>
    <row r="253" spans="1:2" x14ac:dyDescent="0.2">
      <c r="A253" s="108">
        <v>5235450000</v>
      </c>
      <c r="B253" s="108" t="s">
        <v>413</v>
      </c>
    </row>
    <row r="254" spans="1:2" x14ac:dyDescent="0.2">
      <c r="A254" s="108">
        <v>5230250000</v>
      </c>
      <c r="B254" s="108" t="s">
        <v>414</v>
      </c>
    </row>
    <row r="255" spans="1:2" x14ac:dyDescent="0.2">
      <c r="A255" s="108">
        <v>5230950000</v>
      </c>
      <c r="B255" s="108" t="s">
        <v>414</v>
      </c>
    </row>
    <row r="256" spans="1:2" x14ac:dyDescent="0.2">
      <c r="A256" s="108">
        <v>5295700000</v>
      </c>
      <c r="B256" s="108" t="s">
        <v>414</v>
      </c>
    </row>
    <row r="257" spans="1:2" x14ac:dyDescent="0.2">
      <c r="A257" s="108">
        <v>5225100000</v>
      </c>
      <c r="B257" s="108" t="s">
        <v>415</v>
      </c>
    </row>
    <row r="258" spans="1:2" x14ac:dyDescent="0.2">
      <c r="A258" s="108">
        <v>5205480100</v>
      </c>
      <c r="B258" s="108" t="s">
        <v>416</v>
      </c>
    </row>
    <row r="259" spans="1:2" x14ac:dyDescent="0.2">
      <c r="A259" s="108">
        <v>5205480200</v>
      </c>
      <c r="B259" s="108" t="s">
        <v>416</v>
      </c>
    </row>
    <row r="260" spans="1:2" x14ac:dyDescent="0.2">
      <c r="A260" s="108">
        <v>5205481000</v>
      </c>
      <c r="B260" s="108" t="s">
        <v>416</v>
      </c>
    </row>
    <row r="261" spans="1:2" x14ac:dyDescent="0.2">
      <c r="A261" s="108">
        <v>5205481100</v>
      </c>
      <c r="B261" s="108" t="s">
        <v>416</v>
      </c>
    </row>
    <row r="262" spans="1:2" x14ac:dyDescent="0.2">
      <c r="A262" s="108">
        <v>5205210100</v>
      </c>
      <c r="B262" s="108" t="s">
        <v>417</v>
      </c>
    </row>
    <row r="263" spans="1:2" x14ac:dyDescent="0.2">
      <c r="A263" s="108">
        <v>5205210200</v>
      </c>
      <c r="B263" s="108" t="s">
        <v>417</v>
      </c>
    </row>
    <row r="264" spans="1:2" x14ac:dyDescent="0.2">
      <c r="A264" s="108">
        <v>5255050100</v>
      </c>
      <c r="B264" s="108" t="s">
        <v>417</v>
      </c>
    </row>
    <row r="265" spans="1:2" x14ac:dyDescent="0.2">
      <c r="A265" s="108">
        <v>5255060100</v>
      </c>
      <c r="B265" s="108" t="s">
        <v>417</v>
      </c>
    </row>
    <row r="266" spans="1:2" x14ac:dyDescent="0.2">
      <c r="A266" s="108">
        <v>5255150100</v>
      </c>
      <c r="B266" s="108" t="s">
        <v>417</v>
      </c>
    </row>
    <row r="267" spans="1:2" x14ac:dyDescent="0.2">
      <c r="A267" s="108">
        <v>5255200100</v>
      </c>
      <c r="B267" s="108" t="s">
        <v>417</v>
      </c>
    </row>
    <row r="268" spans="1:2" x14ac:dyDescent="0.2">
      <c r="A268" s="108">
        <v>5255200200</v>
      </c>
      <c r="B268" s="108" t="s">
        <v>417</v>
      </c>
    </row>
    <row r="269" spans="1:2" x14ac:dyDescent="0.2">
      <c r="A269" s="108">
        <v>5255950100</v>
      </c>
      <c r="B269" s="108" t="s">
        <v>417</v>
      </c>
    </row>
    <row r="270" spans="1:2" x14ac:dyDescent="0.2">
      <c r="A270" s="108">
        <v>5240050000</v>
      </c>
      <c r="B270" s="108" t="s">
        <v>418</v>
      </c>
    </row>
    <row r="271" spans="1:2" x14ac:dyDescent="0.2">
      <c r="A271" s="108">
        <v>5240200400</v>
      </c>
      <c r="B271" s="108" t="s">
        <v>418</v>
      </c>
    </row>
    <row r="272" spans="1:2" x14ac:dyDescent="0.2">
      <c r="A272" s="108">
        <v>5220050000</v>
      </c>
      <c r="B272" s="108" t="s">
        <v>419</v>
      </c>
    </row>
    <row r="273" spans="1:2" x14ac:dyDescent="0.2">
      <c r="A273" s="108">
        <v>5220100000</v>
      </c>
      <c r="B273" s="108" t="s">
        <v>419</v>
      </c>
    </row>
    <row r="274" spans="1:2" x14ac:dyDescent="0.2">
      <c r="A274" s="108">
        <v>5220100100</v>
      </c>
      <c r="B274" s="108" t="s">
        <v>419</v>
      </c>
    </row>
    <row r="275" spans="1:2" x14ac:dyDescent="0.2">
      <c r="A275" s="108">
        <v>5220950000</v>
      </c>
      <c r="B275" s="108" t="s">
        <v>419</v>
      </c>
    </row>
    <row r="278" spans="1:2" x14ac:dyDescent="0.2">
      <c r="B278" s="108" t="s">
        <v>420</v>
      </c>
    </row>
    <row r="279" spans="1:2" x14ac:dyDescent="0.2">
      <c r="A279" s="108">
        <v>5105060000</v>
      </c>
      <c r="B279" s="108" t="s">
        <v>421</v>
      </c>
    </row>
    <row r="280" spans="1:2" x14ac:dyDescent="0.2">
      <c r="A280" s="108">
        <v>5105150000</v>
      </c>
      <c r="B280" s="108" t="s">
        <v>421</v>
      </c>
    </row>
    <row r="281" spans="1:2" x14ac:dyDescent="0.2">
      <c r="A281" s="108">
        <v>5105360000</v>
      </c>
      <c r="B281" s="108" t="s">
        <v>422</v>
      </c>
    </row>
    <row r="282" spans="1:2" x14ac:dyDescent="0.2">
      <c r="A282" s="108">
        <v>5105390000</v>
      </c>
      <c r="B282" s="108" t="s">
        <v>422</v>
      </c>
    </row>
    <row r="283" spans="1:2" x14ac:dyDescent="0.2">
      <c r="A283" s="108">
        <v>5105600000</v>
      </c>
      <c r="B283" s="108" t="s">
        <v>422</v>
      </c>
    </row>
    <row r="284" spans="1:2" x14ac:dyDescent="0.2">
      <c r="A284" s="108">
        <v>5105690000</v>
      </c>
      <c r="B284" s="108" t="s">
        <v>422</v>
      </c>
    </row>
    <row r="285" spans="1:2" x14ac:dyDescent="0.2">
      <c r="A285" s="108">
        <v>5105700000</v>
      </c>
      <c r="B285" s="108" t="s">
        <v>422</v>
      </c>
    </row>
    <row r="286" spans="1:2" x14ac:dyDescent="0.2">
      <c r="A286" s="108">
        <v>5105780000</v>
      </c>
      <c r="B286" s="108" t="s">
        <v>422</v>
      </c>
    </row>
    <row r="287" spans="1:2" x14ac:dyDescent="0.2">
      <c r="A287" s="108">
        <v>5105950000</v>
      </c>
      <c r="B287" s="108" t="s">
        <v>422</v>
      </c>
    </row>
    <row r="288" spans="1:2" x14ac:dyDescent="0.2">
      <c r="A288" s="108">
        <v>5105180000</v>
      </c>
      <c r="B288" s="108" t="s">
        <v>423</v>
      </c>
    </row>
    <row r="289" spans="1:2" x14ac:dyDescent="0.2">
      <c r="A289" s="108">
        <v>5105630000</v>
      </c>
      <c r="B289" s="108" t="s">
        <v>424</v>
      </c>
    </row>
    <row r="290" spans="1:2" x14ac:dyDescent="0.2">
      <c r="A290" s="108">
        <v>5105391000</v>
      </c>
      <c r="B290" s="108" t="s">
        <v>425</v>
      </c>
    </row>
    <row r="291" spans="1:2" x14ac:dyDescent="0.2">
      <c r="A291" s="108">
        <v>5105691000</v>
      </c>
      <c r="B291" s="108" t="s">
        <v>425</v>
      </c>
    </row>
    <row r="292" spans="1:2" x14ac:dyDescent="0.2">
      <c r="A292" s="108">
        <v>5105701000</v>
      </c>
      <c r="B292" s="108" t="s">
        <v>425</v>
      </c>
    </row>
    <row r="293" spans="1:2" x14ac:dyDescent="0.2">
      <c r="A293" s="108">
        <v>5135050000</v>
      </c>
      <c r="B293" s="108" t="s">
        <v>399</v>
      </c>
    </row>
    <row r="294" spans="1:2" x14ac:dyDescent="0.2">
      <c r="A294" s="108">
        <v>5135150000</v>
      </c>
      <c r="B294" s="108" t="s">
        <v>399</v>
      </c>
    </row>
    <row r="295" spans="1:2" x14ac:dyDescent="0.2">
      <c r="A295" s="108">
        <v>5135200000</v>
      </c>
      <c r="B295" s="108" t="s">
        <v>399</v>
      </c>
    </row>
    <row r="296" spans="1:2" x14ac:dyDescent="0.2">
      <c r="A296" s="108">
        <v>5135950500</v>
      </c>
      <c r="B296" s="108" t="s">
        <v>399</v>
      </c>
    </row>
    <row r="297" spans="1:2" x14ac:dyDescent="0.2">
      <c r="A297" s="108">
        <v>5120100000</v>
      </c>
      <c r="B297" s="108" t="s">
        <v>426</v>
      </c>
    </row>
    <row r="298" spans="1:2" x14ac:dyDescent="0.2">
      <c r="A298" s="108">
        <v>5105660000</v>
      </c>
      <c r="B298" s="108" t="s">
        <v>427</v>
      </c>
    </row>
    <row r="299" spans="1:2" x14ac:dyDescent="0.2">
      <c r="A299" s="108">
        <v>5155960000</v>
      </c>
      <c r="B299" s="108" t="s">
        <v>427</v>
      </c>
    </row>
    <row r="300" spans="1:2" x14ac:dyDescent="0.2">
      <c r="A300" s="108">
        <v>5195950300</v>
      </c>
      <c r="B300" s="108" t="s">
        <v>428</v>
      </c>
    </row>
    <row r="301" spans="1:2" x14ac:dyDescent="0.2">
      <c r="A301" s="108">
        <v>5110100000</v>
      </c>
      <c r="B301" s="108" t="s">
        <v>429</v>
      </c>
    </row>
    <row r="302" spans="1:2" x14ac:dyDescent="0.2">
      <c r="A302" s="108">
        <v>5110200000</v>
      </c>
      <c r="B302" s="108" t="s">
        <v>429</v>
      </c>
    </row>
    <row r="303" spans="1:2" x14ac:dyDescent="0.2">
      <c r="A303" s="108">
        <v>5110250000</v>
      </c>
      <c r="B303" s="108" t="s">
        <v>429</v>
      </c>
    </row>
    <row r="304" spans="1:2" x14ac:dyDescent="0.2">
      <c r="A304" s="108">
        <v>5110300000</v>
      </c>
      <c r="B304" s="108" t="s">
        <v>429</v>
      </c>
    </row>
    <row r="305" spans="1:2" x14ac:dyDescent="0.2">
      <c r="A305" s="108">
        <v>5110350000</v>
      </c>
      <c r="B305" s="108" t="s">
        <v>429</v>
      </c>
    </row>
    <row r="306" spans="1:2" x14ac:dyDescent="0.2">
      <c r="A306" s="108">
        <v>5110950000</v>
      </c>
      <c r="B306" s="108" t="s">
        <v>429</v>
      </c>
    </row>
    <row r="307" spans="1:2" x14ac:dyDescent="0.2">
      <c r="A307" s="108">
        <v>5130</v>
      </c>
      <c r="B307" s="108" t="s">
        <v>430</v>
      </c>
    </row>
    <row r="308" spans="1:2" x14ac:dyDescent="0.2">
      <c r="A308" s="108">
        <v>5145400000</v>
      </c>
      <c r="B308" s="108" t="s">
        <v>431</v>
      </c>
    </row>
    <row r="309" spans="1:2" x14ac:dyDescent="0.2">
      <c r="A309" s="108">
        <v>5195350000</v>
      </c>
      <c r="B309" s="108" t="s">
        <v>431</v>
      </c>
    </row>
    <row r="310" spans="1:2" x14ac:dyDescent="0.2">
      <c r="A310" s="108">
        <v>5195300000</v>
      </c>
      <c r="B310" s="108" t="s">
        <v>411</v>
      </c>
    </row>
    <row r="311" spans="1:2" x14ac:dyDescent="0.2">
      <c r="A311" s="108">
        <v>5135350000</v>
      </c>
      <c r="B311" s="108" t="s">
        <v>432</v>
      </c>
    </row>
    <row r="312" spans="1:2" x14ac:dyDescent="0.2">
      <c r="A312" s="108">
        <v>5145050000</v>
      </c>
      <c r="B312" s="108" t="s">
        <v>433</v>
      </c>
    </row>
    <row r="313" spans="1:2" x14ac:dyDescent="0.2">
      <c r="A313" s="108">
        <v>5145100000</v>
      </c>
      <c r="B313" s="108" t="s">
        <v>433</v>
      </c>
    </row>
    <row r="314" spans="1:2" x14ac:dyDescent="0.2">
      <c r="A314" s="108">
        <v>5145200000</v>
      </c>
      <c r="B314" s="108" t="s">
        <v>433</v>
      </c>
    </row>
    <row r="315" spans="1:2" x14ac:dyDescent="0.2">
      <c r="A315" s="108">
        <v>5145250000</v>
      </c>
      <c r="B315" s="108" t="s">
        <v>433</v>
      </c>
    </row>
    <row r="316" spans="1:2" x14ac:dyDescent="0.2">
      <c r="A316" s="108">
        <v>5150050000</v>
      </c>
      <c r="B316" s="108" t="s">
        <v>433</v>
      </c>
    </row>
    <row r="317" spans="1:2" x14ac:dyDescent="0.2">
      <c r="A317" s="108">
        <v>5150100000</v>
      </c>
      <c r="B317" s="108" t="s">
        <v>433</v>
      </c>
    </row>
    <row r="318" spans="1:2" x14ac:dyDescent="0.2">
      <c r="A318" s="108">
        <v>5150150000</v>
      </c>
      <c r="B318" s="108" t="s">
        <v>433</v>
      </c>
    </row>
    <row r="319" spans="1:2" x14ac:dyDescent="0.2">
      <c r="A319" s="108">
        <v>5150950000</v>
      </c>
      <c r="B319" s="108" t="s">
        <v>433</v>
      </c>
    </row>
    <row r="320" spans="1:2" x14ac:dyDescent="0.2">
      <c r="A320" s="108">
        <v>5195150000</v>
      </c>
      <c r="B320" s="108" t="s">
        <v>433</v>
      </c>
    </row>
    <row r="321" spans="1:2" x14ac:dyDescent="0.2">
      <c r="A321" s="108">
        <v>5195250000</v>
      </c>
      <c r="B321" s="108" t="s">
        <v>433</v>
      </c>
    </row>
    <row r="322" spans="1:2" x14ac:dyDescent="0.2">
      <c r="A322" s="108">
        <v>5195400000</v>
      </c>
      <c r="B322" s="108" t="s">
        <v>433</v>
      </c>
    </row>
    <row r="323" spans="1:2" x14ac:dyDescent="0.2">
      <c r="A323" s="122">
        <v>5140050000</v>
      </c>
      <c r="B323" s="108" t="s">
        <v>434</v>
      </c>
    </row>
    <row r="324" spans="1:2" x14ac:dyDescent="0.2">
      <c r="A324" s="122">
        <v>5140100000</v>
      </c>
      <c r="B324" s="108" t="s">
        <v>435</v>
      </c>
    </row>
    <row r="325" spans="1:2" x14ac:dyDescent="0.2">
      <c r="A325" s="108">
        <v>5105210000</v>
      </c>
      <c r="B325" s="108" t="s">
        <v>436</v>
      </c>
    </row>
    <row r="326" spans="1:2" x14ac:dyDescent="0.2">
      <c r="A326" s="108">
        <v>5155050000</v>
      </c>
      <c r="B326" s="108" t="s">
        <v>436</v>
      </c>
    </row>
    <row r="327" spans="1:2" x14ac:dyDescent="0.2">
      <c r="A327" s="108">
        <v>5155060000</v>
      </c>
      <c r="B327" s="108" t="s">
        <v>436</v>
      </c>
    </row>
    <row r="328" spans="1:2" x14ac:dyDescent="0.2">
      <c r="A328" s="108">
        <v>5155150000</v>
      </c>
      <c r="B328" s="108" t="s">
        <v>436</v>
      </c>
    </row>
    <row r="329" spans="1:2" x14ac:dyDescent="0.2">
      <c r="A329" s="108">
        <v>5155200000</v>
      </c>
      <c r="B329" s="108" t="s">
        <v>436</v>
      </c>
    </row>
    <row r="330" spans="1:2" x14ac:dyDescent="0.2">
      <c r="A330" s="108">
        <v>5155950000</v>
      </c>
      <c r="B330" s="108" t="s">
        <v>436</v>
      </c>
    </row>
    <row r="332" spans="1:2" x14ac:dyDescent="0.2">
      <c r="B332" s="108" t="s">
        <v>437</v>
      </c>
    </row>
    <row r="333" spans="1:2" x14ac:dyDescent="0.2">
      <c r="A333" s="108">
        <v>5135950300</v>
      </c>
      <c r="B333" s="108" t="s">
        <v>438</v>
      </c>
    </row>
    <row r="334" spans="1:2" x14ac:dyDescent="0.2">
      <c r="A334" s="108">
        <v>5198530000</v>
      </c>
      <c r="B334" s="108" t="s">
        <v>438</v>
      </c>
    </row>
    <row r="335" spans="1:2" x14ac:dyDescent="0.2">
      <c r="A335" s="108">
        <v>5398050000</v>
      </c>
      <c r="B335" s="108" t="s">
        <v>438</v>
      </c>
    </row>
    <row r="336" spans="1:2" x14ac:dyDescent="0.2">
      <c r="A336" s="108">
        <v>5398210000</v>
      </c>
      <c r="B336" s="108" t="s">
        <v>439</v>
      </c>
    </row>
    <row r="337" spans="1:2" x14ac:dyDescent="0.2">
      <c r="A337" s="108">
        <v>5110358000</v>
      </c>
      <c r="B337" s="108" t="s">
        <v>440</v>
      </c>
    </row>
    <row r="338" spans="1:2" x14ac:dyDescent="0.2">
      <c r="A338" s="108">
        <v>5210358000</v>
      </c>
      <c r="B338" s="108" t="s">
        <v>440</v>
      </c>
    </row>
    <row r="340" spans="1:2" x14ac:dyDescent="0.2">
      <c r="B340" s="108" t="s">
        <v>441</v>
      </c>
    </row>
    <row r="341" spans="1:2" x14ac:dyDescent="0.2">
      <c r="A341" s="108">
        <v>4210200100</v>
      </c>
      <c r="B341" s="108" t="s">
        <v>442</v>
      </c>
    </row>
    <row r="342" spans="1:2" x14ac:dyDescent="0.2">
      <c r="A342" s="108">
        <v>4210200200</v>
      </c>
      <c r="B342" s="108" t="s">
        <v>442</v>
      </c>
    </row>
    <row r="343" spans="1:2" x14ac:dyDescent="0.2">
      <c r="A343" s="108">
        <v>4210200400</v>
      </c>
      <c r="B343" s="108" t="s">
        <v>443</v>
      </c>
    </row>
    <row r="344" spans="1:2" x14ac:dyDescent="0.2">
      <c r="A344" s="108">
        <v>4210200500</v>
      </c>
      <c r="B344" s="108" t="s">
        <v>443</v>
      </c>
    </row>
    <row r="345" spans="1:2" x14ac:dyDescent="0.2">
      <c r="A345" s="108">
        <v>4210200501</v>
      </c>
      <c r="B345" s="108" t="s">
        <v>443</v>
      </c>
    </row>
    <row r="346" spans="1:2" x14ac:dyDescent="0.2">
      <c r="A346" s="108">
        <v>4210201000</v>
      </c>
      <c r="B346" s="108" t="s">
        <v>443</v>
      </c>
    </row>
    <row r="347" spans="1:2" x14ac:dyDescent="0.2">
      <c r="A347" s="108">
        <v>4210201001</v>
      </c>
      <c r="B347" s="108" t="s">
        <v>443</v>
      </c>
    </row>
    <row r="348" spans="1:2" x14ac:dyDescent="0.2">
      <c r="A348" s="108">
        <v>4210201100</v>
      </c>
      <c r="B348" s="108" t="s">
        <v>443</v>
      </c>
    </row>
    <row r="349" spans="1:2" x14ac:dyDescent="0.2">
      <c r="A349" s="108">
        <v>4210051000</v>
      </c>
      <c r="B349" s="108" t="s">
        <v>444</v>
      </c>
    </row>
    <row r="350" spans="1:2" x14ac:dyDescent="0.2">
      <c r="A350" s="108">
        <v>4210201000</v>
      </c>
      <c r="B350" s="108" t="s">
        <v>444</v>
      </c>
    </row>
    <row r="351" spans="1:2" x14ac:dyDescent="0.2">
      <c r="A351" s="108">
        <v>4210400000</v>
      </c>
      <c r="B351" s="108" t="s">
        <v>444</v>
      </c>
    </row>
    <row r="352" spans="1:2" x14ac:dyDescent="0.2">
      <c r="A352" s="108">
        <v>4245010000</v>
      </c>
      <c r="B352" s="108" t="s">
        <v>444</v>
      </c>
    </row>
    <row r="353" spans="1:2" x14ac:dyDescent="0.2">
      <c r="A353" s="108">
        <v>4250500100</v>
      </c>
      <c r="B353" s="108" t="s">
        <v>444</v>
      </c>
    </row>
    <row r="354" spans="1:2" x14ac:dyDescent="0.2">
      <c r="A354" s="108">
        <v>4250500200</v>
      </c>
      <c r="B354" s="108" t="s">
        <v>444</v>
      </c>
    </row>
    <row r="355" spans="1:2" x14ac:dyDescent="0.2">
      <c r="A355" s="108">
        <v>4250500300</v>
      </c>
      <c r="B355" s="108" t="s">
        <v>444</v>
      </c>
    </row>
    <row r="356" spans="1:2" x14ac:dyDescent="0.2">
      <c r="A356" s="108">
        <v>4250506600</v>
      </c>
      <c r="B356" s="108" t="s">
        <v>444</v>
      </c>
    </row>
    <row r="357" spans="1:2" x14ac:dyDescent="0.2">
      <c r="A357" s="108">
        <v>4255200000</v>
      </c>
      <c r="B357" s="108" t="s">
        <v>444</v>
      </c>
    </row>
    <row r="358" spans="1:2" x14ac:dyDescent="0.2">
      <c r="A358" s="108">
        <v>4295050000</v>
      </c>
      <c r="B358" s="108" t="s">
        <v>444</v>
      </c>
    </row>
    <row r="359" spans="1:2" x14ac:dyDescent="0.2">
      <c r="A359" s="108">
        <v>4295810000</v>
      </c>
      <c r="B359" s="108" t="s">
        <v>444</v>
      </c>
    </row>
    <row r="361" spans="1:2" x14ac:dyDescent="0.2">
      <c r="B361" s="108" t="s">
        <v>445</v>
      </c>
    </row>
    <row r="362" spans="1:2" x14ac:dyDescent="0.2">
      <c r="A362" s="108">
        <v>5305350000</v>
      </c>
      <c r="B362" s="108" t="s">
        <v>446</v>
      </c>
    </row>
    <row r="363" spans="1:2" x14ac:dyDescent="0.2">
      <c r="A363" s="108">
        <v>5310150000</v>
      </c>
      <c r="B363" s="108" t="s">
        <v>446</v>
      </c>
    </row>
    <row r="364" spans="1:2" x14ac:dyDescent="0.2">
      <c r="A364" s="108">
        <v>5310300000</v>
      </c>
      <c r="B364" s="108" t="s">
        <v>446</v>
      </c>
    </row>
    <row r="365" spans="1:2" x14ac:dyDescent="0.2">
      <c r="A365" s="108">
        <v>5310350000</v>
      </c>
      <c r="B365" s="108" t="s">
        <v>446</v>
      </c>
    </row>
    <row r="366" spans="1:2" x14ac:dyDescent="0.2">
      <c r="A366" s="108">
        <v>5313050000</v>
      </c>
      <c r="B366" s="108" t="s">
        <v>446</v>
      </c>
    </row>
    <row r="367" spans="1:2" x14ac:dyDescent="0.2">
      <c r="A367" s="108">
        <v>5315150200</v>
      </c>
      <c r="B367" s="108" t="s">
        <v>446</v>
      </c>
    </row>
    <row r="368" spans="1:2" x14ac:dyDescent="0.2">
      <c r="A368" s="108">
        <v>5315160000</v>
      </c>
      <c r="B368" s="108" t="s">
        <v>446</v>
      </c>
    </row>
    <row r="369" spans="1:3" x14ac:dyDescent="0.2">
      <c r="A369" s="108">
        <v>5315200000</v>
      </c>
      <c r="B369" s="108" t="s">
        <v>446</v>
      </c>
    </row>
    <row r="370" spans="1:3" x14ac:dyDescent="0.2">
      <c r="A370" s="108">
        <v>5315200100</v>
      </c>
      <c r="B370" s="108" t="s">
        <v>446</v>
      </c>
    </row>
    <row r="371" spans="1:3" x14ac:dyDescent="0.2">
      <c r="A371" s="108">
        <v>5315950000</v>
      </c>
      <c r="B371" s="108" t="s">
        <v>446</v>
      </c>
    </row>
    <row r="372" spans="1:3" x14ac:dyDescent="0.2">
      <c r="A372" s="108">
        <v>5395200000</v>
      </c>
      <c r="B372" s="108" t="s">
        <v>446</v>
      </c>
    </row>
    <row r="373" spans="1:3" x14ac:dyDescent="0.2">
      <c r="A373" s="108">
        <v>5395300000</v>
      </c>
      <c r="B373" s="108" t="s">
        <v>446</v>
      </c>
    </row>
    <row r="374" spans="1:3" x14ac:dyDescent="0.2">
      <c r="A374" s="108">
        <v>5395950000</v>
      </c>
      <c r="B374" s="108" t="s">
        <v>446</v>
      </c>
    </row>
    <row r="375" spans="1:3" x14ac:dyDescent="0.2">
      <c r="A375" s="108">
        <v>5305250500</v>
      </c>
      <c r="B375" s="108" t="s">
        <v>447</v>
      </c>
    </row>
    <row r="376" spans="1:3" x14ac:dyDescent="0.2">
      <c r="A376" s="108">
        <v>5305050000</v>
      </c>
      <c r="B376" s="108" t="s">
        <v>448</v>
      </c>
      <c r="C376" s="108">
        <v>5305050000</v>
      </c>
    </row>
    <row r="377" spans="1:3" x14ac:dyDescent="0.2">
      <c r="A377" s="108">
        <v>5305150000</v>
      </c>
      <c r="B377" s="108" t="s">
        <v>448</v>
      </c>
      <c r="C377" s="108">
        <v>5305200100</v>
      </c>
    </row>
    <row r="378" spans="1:3" x14ac:dyDescent="0.2">
      <c r="A378" s="108">
        <v>5305200100</v>
      </c>
      <c r="B378" s="108" t="s">
        <v>448</v>
      </c>
      <c r="C378" s="108">
        <v>5305202200</v>
      </c>
    </row>
    <row r="379" spans="1:3" x14ac:dyDescent="0.2">
      <c r="A379" s="108">
        <v>5305200200</v>
      </c>
      <c r="B379" s="108" t="s">
        <v>448</v>
      </c>
      <c r="C379" s="108">
        <v>5305150000</v>
      </c>
    </row>
    <row r="380" spans="1:3" x14ac:dyDescent="0.2">
      <c r="A380" s="108">
        <v>5305200300</v>
      </c>
      <c r="B380" s="108" t="s">
        <v>448</v>
      </c>
      <c r="C380" s="108">
        <v>5305200101</v>
      </c>
    </row>
    <row r="381" spans="1:3" x14ac:dyDescent="0.2">
      <c r="A381" s="108">
        <v>5305200400</v>
      </c>
      <c r="B381" s="108" t="s">
        <v>448</v>
      </c>
    </row>
    <row r="382" spans="1:3" x14ac:dyDescent="0.2">
      <c r="A382" s="108">
        <v>5305950000</v>
      </c>
      <c r="B382" s="108" t="s">
        <v>448</v>
      </c>
    </row>
    <row r="383" spans="1:3" x14ac:dyDescent="0.2">
      <c r="A383" s="108">
        <v>5315150000</v>
      </c>
      <c r="B383" s="108" t="s">
        <v>448</v>
      </c>
    </row>
    <row r="385" spans="1:2" x14ac:dyDescent="0.2">
      <c r="A385" s="108">
        <v>5405050100</v>
      </c>
      <c r="B385" s="108" t="s">
        <v>449</v>
      </c>
    </row>
    <row r="389" spans="1:2" x14ac:dyDescent="0.2">
      <c r="B389" s="108" t="s">
        <v>370</v>
      </c>
    </row>
    <row r="390" spans="1:2" x14ac:dyDescent="0.2">
      <c r="A390" s="108">
        <v>5205180100</v>
      </c>
      <c r="B390" s="108" t="s">
        <v>386</v>
      </c>
    </row>
    <row r="391" spans="1:2" x14ac:dyDescent="0.2">
      <c r="A391" s="108">
        <v>5205361000</v>
      </c>
      <c r="B391" s="108" t="s">
        <v>388</v>
      </c>
    </row>
    <row r="392" spans="1:2" x14ac:dyDescent="0.2">
      <c r="A392" s="108">
        <v>5205391000</v>
      </c>
      <c r="B392" s="108" t="s">
        <v>388</v>
      </c>
    </row>
    <row r="393" spans="1:2" x14ac:dyDescent="0.2">
      <c r="A393" s="108">
        <v>5205422000</v>
      </c>
      <c r="B393" s="108" t="s">
        <v>388</v>
      </c>
    </row>
    <row r="394" spans="1:2" x14ac:dyDescent="0.2">
      <c r="A394" s="108">
        <v>5205691000</v>
      </c>
      <c r="B394" s="108" t="s">
        <v>388</v>
      </c>
    </row>
    <row r="395" spans="1:2" x14ac:dyDescent="0.2">
      <c r="A395" s="108">
        <v>5205701000</v>
      </c>
      <c r="B395" s="108" t="s">
        <v>388</v>
      </c>
    </row>
    <row r="396" spans="1:2" x14ac:dyDescent="0.2">
      <c r="A396" s="108">
        <v>5205060100</v>
      </c>
      <c r="B396" s="108" t="s">
        <v>405</v>
      </c>
    </row>
    <row r="397" spans="1:2" x14ac:dyDescent="0.2">
      <c r="A397" s="108">
        <v>5205150100</v>
      </c>
      <c r="B397" s="108" t="s">
        <v>405</v>
      </c>
    </row>
    <row r="398" spans="1:2" x14ac:dyDescent="0.2">
      <c r="A398" s="108">
        <v>5205360100</v>
      </c>
      <c r="B398" s="108" t="s">
        <v>406</v>
      </c>
    </row>
    <row r="399" spans="1:2" x14ac:dyDescent="0.2">
      <c r="A399" s="108">
        <v>5205390100</v>
      </c>
      <c r="B399" s="108" t="s">
        <v>406</v>
      </c>
    </row>
    <row r="400" spans="1:2" x14ac:dyDescent="0.2">
      <c r="A400" s="108">
        <v>5205600100</v>
      </c>
      <c r="B400" s="108" t="s">
        <v>406</v>
      </c>
    </row>
    <row r="401" spans="1:2" x14ac:dyDescent="0.2">
      <c r="A401" s="108">
        <v>5205690100</v>
      </c>
      <c r="B401" s="108" t="s">
        <v>406</v>
      </c>
    </row>
    <row r="402" spans="1:2" x14ac:dyDescent="0.2">
      <c r="A402" s="108">
        <v>5205700100</v>
      </c>
      <c r="B402" s="108" t="s">
        <v>406</v>
      </c>
    </row>
    <row r="403" spans="1:2" x14ac:dyDescent="0.2">
      <c r="A403" s="108">
        <v>5205700100</v>
      </c>
      <c r="B403" s="108" t="s">
        <v>406</v>
      </c>
    </row>
    <row r="404" spans="1:2" x14ac:dyDescent="0.2">
      <c r="A404" s="108">
        <v>5205700200</v>
      </c>
      <c r="B404" s="108" t="s">
        <v>406</v>
      </c>
    </row>
    <row r="405" spans="1:2" x14ac:dyDescent="0.2">
      <c r="A405" s="108">
        <v>5205780100</v>
      </c>
      <c r="B405" s="108" t="s">
        <v>406</v>
      </c>
    </row>
    <row r="406" spans="1:2" x14ac:dyDescent="0.2">
      <c r="A406" s="108">
        <v>5105060000</v>
      </c>
      <c r="B406" s="108" t="s">
        <v>421</v>
      </c>
    </row>
    <row r="407" spans="1:2" x14ac:dyDescent="0.2">
      <c r="A407" s="108">
        <v>5105150000</v>
      </c>
      <c r="B407" s="108" t="s">
        <v>421</v>
      </c>
    </row>
    <row r="408" spans="1:2" x14ac:dyDescent="0.2">
      <c r="A408" s="108">
        <v>5105360000</v>
      </c>
      <c r="B408" s="108" t="s">
        <v>422</v>
      </c>
    </row>
    <row r="409" spans="1:2" x14ac:dyDescent="0.2">
      <c r="A409" s="108">
        <v>5105390000</v>
      </c>
      <c r="B409" s="108" t="s">
        <v>422</v>
      </c>
    </row>
    <row r="410" spans="1:2" x14ac:dyDescent="0.2">
      <c r="A410" s="108">
        <v>5105600000</v>
      </c>
      <c r="B410" s="108" t="s">
        <v>422</v>
      </c>
    </row>
    <row r="411" spans="1:2" x14ac:dyDescent="0.2">
      <c r="A411" s="108">
        <v>5105690000</v>
      </c>
      <c r="B411" s="108" t="s">
        <v>422</v>
      </c>
    </row>
    <row r="412" spans="1:2" x14ac:dyDescent="0.2">
      <c r="A412" s="108">
        <v>5105700000</v>
      </c>
      <c r="B412" s="108" t="s">
        <v>422</v>
      </c>
    </row>
    <row r="413" spans="1:2" x14ac:dyDescent="0.2">
      <c r="A413" s="108">
        <v>5105780000</v>
      </c>
      <c r="B413" s="108" t="s">
        <v>422</v>
      </c>
    </row>
    <row r="414" spans="1:2" x14ac:dyDescent="0.2">
      <c r="A414" s="108">
        <v>5105950000</v>
      </c>
      <c r="B414" s="108" t="s">
        <v>422</v>
      </c>
    </row>
    <row r="415" spans="1:2" x14ac:dyDescent="0.2">
      <c r="A415" s="108">
        <v>5105180000</v>
      </c>
      <c r="B415" s="108" t="s">
        <v>423</v>
      </c>
    </row>
    <row r="416" spans="1:2" x14ac:dyDescent="0.2">
      <c r="A416" s="108">
        <v>5105391000</v>
      </c>
      <c r="B416" s="108" t="s">
        <v>425</v>
      </c>
    </row>
    <row r="417" spans="1:3" x14ac:dyDescent="0.2">
      <c r="A417" s="108">
        <v>5105691000</v>
      </c>
      <c r="B417" s="108" t="s">
        <v>425</v>
      </c>
    </row>
    <row r="418" spans="1:3" x14ac:dyDescent="0.2">
      <c r="A418" s="108">
        <v>5105701000</v>
      </c>
      <c r="B418" s="108" t="s">
        <v>425</v>
      </c>
    </row>
    <row r="421" spans="1:3" x14ac:dyDescent="0.2">
      <c r="A421" s="108">
        <v>5160100000</v>
      </c>
      <c r="B421" s="108" t="s">
        <v>450</v>
      </c>
      <c r="C421" s="108" t="s">
        <v>451</v>
      </c>
    </row>
    <row r="427" spans="1:3" x14ac:dyDescent="0.2">
      <c r="A427" s="109" t="s">
        <v>452</v>
      </c>
    </row>
    <row r="428" spans="1:3" x14ac:dyDescent="0.2">
      <c r="A428" s="108">
        <v>1105050100</v>
      </c>
      <c r="B428" s="108" t="s">
        <v>453</v>
      </c>
      <c r="C428" s="110">
        <v>248078</v>
      </c>
    </row>
    <row r="429" spans="1:3" x14ac:dyDescent="0.2">
      <c r="A429" s="108">
        <v>1105100200</v>
      </c>
      <c r="B429" s="108" t="s">
        <v>454</v>
      </c>
      <c r="C429" s="110">
        <v>7650000</v>
      </c>
    </row>
    <row r="430" spans="1:3" x14ac:dyDescent="0.2">
      <c r="A430" s="108">
        <v>1110050101</v>
      </c>
      <c r="B430" s="108" t="s">
        <v>455</v>
      </c>
      <c r="C430" s="110">
        <v>87094833.519999996</v>
      </c>
    </row>
    <row r="431" spans="1:3" x14ac:dyDescent="0.2">
      <c r="A431" s="108">
        <v>1110050106</v>
      </c>
      <c r="B431" s="108" t="s">
        <v>456</v>
      </c>
      <c r="C431" s="110">
        <v>4020934.46</v>
      </c>
    </row>
    <row r="432" spans="1:3" x14ac:dyDescent="0.2">
      <c r="A432" s="108">
        <v>1110050108</v>
      </c>
      <c r="B432" s="108" t="s">
        <v>457</v>
      </c>
      <c r="C432" s="110">
        <v>2182803.0099999998</v>
      </c>
    </row>
    <row r="433" spans="1:3" x14ac:dyDescent="0.2">
      <c r="A433" s="108">
        <v>1110050110</v>
      </c>
      <c r="B433" s="108" t="s">
        <v>458</v>
      </c>
      <c r="C433" s="110">
        <v>562187.67000000004</v>
      </c>
    </row>
    <row r="434" spans="1:3" x14ac:dyDescent="0.2">
      <c r="A434" s="108">
        <v>1110050111</v>
      </c>
      <c r="B434" s="108" t="s">
        <v>459</v>
      </c>
      <c r="C434" s="110">
        <v>4855691.87</v>
      </c>
    </row>
    <row r="435" spans="1:3" x14ac:dyDescent="0.2">
      <c r="A435" s="108">
        <v>1110100101</v>
      </c>
      <c r="B435" s="108" t="s">
        <v>460</v>
      </c>
      <c r="C435" s="110">
        <v>6300643.9299999997</v>
      </c>
    </row>
    <row r="436" spans="1:3" x14ac:dyDescent="0.2">
      <c r="A436" s="108">
        <v>1125100200</v>
      </c>
      <c r="B436" s="108" t="s">
        <v>461</v>
      </c>
      <c r="C436" s="110">
        <v>1355004.36</v>
      </c>
    </row>
    <row r="437" spans="1:3" x14ac:dyDescent="0.2">
      <c r="A437" s="108">
        <v>1130050100</v>
      </c>
      <c r="B437" s="108" t="s">
        <v>462</v>
      </c>
      <c r="C437" s="110">
        <v>377428.44</v>
      </c>
    </row>
    <row r="438" spans="1:3" x14ac:dyDescent="0.2">
      <c r="A438" s="109"/>
      <c r="C438" s="110">
        <f>SUM(C428:C437)</f>
        <v>114647605.26000001</v>
      </c>
    </row>
    <row r="439" spans="1:3" x14ac:dyDescent="0.2">
      <c r="A439" s="109"/>
    </row>
    <row r="440" spans="1:3" x14ac:dyDescent="0.2">
      <c r="A440" s="108">
        <v>1101</v>
      </c>
      <c r="B440" s="108" t="s">
        <v>463</v>
      </c>
    </row>
    <row r="441" spans="1:3" x14ac:dyDescent="0.2">
      <c r="A441" s="108">
        <v>1102</v>
      </c>
      <c r="B441" s="108" t="s">
        <v>464</v>
      </c>
    </row>
    <row r="442" spans="1:3" x14ac:dyDescent="0.2">
      <c r="A442" s="108">
        <v>1103</v>
      </c>
      <c r="B442" s="108" t="s">
        <v>465</v>
      </c>
    </row>
    <row r="443" spans="1:3" x14ac:dyDescent="0.2">
      <c r="A443" s="108">
        <v>1104</v>
      </c>
      <c r="B443" s="108" t="s">
        <v>466</v>
      </c>
    </row>
    <row r="444" spans="1:3" x14ac:dyDescent="0.2">
      <c r="A444" s="108" t="s">
        <v>467</v>
      </c>
      <c r="B444" s="108" t="s">
        <v>468</v>
      </c>
    </row>
    <row r="445" spans="1:3" x14ac:dyDescent="0.2">
      <c r="A445" s="108">
        <v>1106</v>
      </c>
      <c r="B445" s="108" t="s">
        <v>469</v>
      </c>
    </row>
    <row r="446" spans="1:3" x14ac:dyDescent="0.2">
      <c r="B446" s="108" t="s">
        <v>470</v>
      </c>
    </row>
    <row r="448" spans="1:3" x14ac:dyDescent="0.2">
      <c r="B448" s="108" t="s">
        <v>471</v>
      </c>
    </row>
    <row r="450" spans="1:2" x14ac:dyDescent="0.2">
      <c r="B450" s="108" t="s">
        <v>85</v>
      </c>
    </row>
    <row r="451" spans="1:2" x14ac:dyDescent="0.2">
      <c r="A451" s="108">
        <v>1201</v>
      </c>
      <c r="B451" s="108" t="s">
        <v>472</v>
      </c>
    </row>
    <row r="452" spans="1:2" x14ac:dyDescent="0.2">
      <c r="A452" s="108">
        <v>1202</v>
      </c>
      <c r="B452" s="108" t="s">
        <v>473</v>
      </c>
    </row>
    <row r="453" spans="1:2" x14ac:dyDescent="0.2">
      <c r="A453" s="108">
        <v>1203</v>
      </c>
      <c r="B453" s="108" t="s">
        <v>474</v>
      </c>
    </row>
    <row r="454" spans="1:2" x14ac:dyDescent="0.2">
      <c r="A454" s="108">
        <v>1204</v>
      </c>
      <c r="B454" s="108" t="s">
        <v>475</v>
      </c>
    </row>
    <row r="455" spans="1:2" x14ac:dyDescent="0.2">
      <c r="A455" s="108">
        <v>1205</v>
      </c>
      <c r="B455" s="108" t="s">
        <v>476</v>
      </c>
    </row>
    <row r="456" spans="1:2" x14ac:dyDescent="0.2">
      <c r="A456" s="108">
        <v>1206</v>
      </c>
      <c r="B456" s="108" t="s">
        <v>477</v>
      </c>
    </row>
    <row r="458" spans="1:2" x14ac:dyDescent="0.2">
      <c r="B458" s="108" t="s">
        <v>478</v>
      </c>
    </row>
    <row r="460" spans="1:2" x14ac:dyDescent="0.2">
      <c r="B460" s="108" t="s">
        <v>479</v>
      </c>
    </row>
    <row r="461" spans="1:2" x14ac:dyDescent="0.2">
      <c r="A461" s="108">
        <v>1208</v>
      </c>
      <c r="B461" s="108" t="s">
        <v>480</v>
      </c>
    </row>
    <row r="463" spans="1:2" x14ac:dyDescent="0.2">
      <c r="B463" s="108" t="s">
        <v>86</v>
      </c>
    </row>
    <row r="464" spans="1:2" x14ac:dyDescent="0.2">
      <c r="A464" s="108" t="s">
        <v>481</v>
      </c>
      <c r="B464" s="108" t="s">
        <v>482</v>
      </c>
    </row>
    <row r="465" spans="1:2" x14ac:dyDescent="0.2">
      <c r="A465" s="108">
        <v>1210</v>
      </c>
      <c r="B465" s="108" t="s">
        <v>483</v>
      </c>
    </row>
    <row r="466" spans="1:2" x14ac:dyDescent="0.2">
      <c r="A466" s="108">
        <v>1211</v>
      </c>
      <c r="B466" s="108" t="s">
        <v>484</v>
      </c>
    </row>
    <row r="467" spans="1:2" x14ac:dyDescent="0.2">
      <c r="A467" s="108">
        <v>1212</v>
      </c>
      <c r="B467" s="108" t="s">
        <v>485</v>
      </c>
    </row>
    <row r="468" spans="1:2" x14ac:dyDescent="0.2">
      <c r="B468" s="108" t="s">
        <v>486</v>
      </c>
    </row>
    <row r="470" spans="1:2" x14ac:dyDescent="0.2">
      <c r="B470" s="108" t="s">
        <v>87</v>
      </c>
    </row>
    <row r="471" spans="1:2" x14ac:dyDescent="0.2">
      <c r="A471" s="108">
        <v>1214</v>
      </c>
      <c r="B471" s="108" t="s">
        <v>487</v>
      </c>
    </row>
    <row r="472" spans="1:2" x14ac:dyDescent="0.2">
      <c r="A472" s="108">
        <v>1242</v>
      </c>
      <c r="B472" s="108" t="s">
        <v>488</v>
      </c>
    </row>
    <row r="473" spans="1:2" x14ac:dyDescent="0.2">
      <c r="A473" s="108">
        <v>1243</v>
      </c>
      <c r="B473" s="108" t="s">
        <v>489</v>
      </c>
    </row>
    <row r="474" spans="1:2" x14ac:dyDescent="0.2">
      <c r="A474" s="108">
        <v>1244</v>
      </c>
      <c r="B474" s="108" t="s">
        <v>490</v>
      </c>
    </row>
    <row r="475" spans="1:2" x14ac:dyDescent="0.2">
      <c r="A475" s="108">
        <v>1245</v>
      </c>
      <c r="B475" s="108" t="s">
        <v>491</v>
      </c>
    </row>
    <row r="476" spans="1:2" x14ac:dyDescent="0.2">
      <c r="A476" s="108">
        <v>1246</v>
      </c>
      <c r="B476" s="108" t="s">
        <v>492</v>
      </c>
    </row>
    <row r="477" spans="1:2" x14ac:dyDescent="0.2">
      <c r="A477" s="108">
        <v>1215</v>
      </c>
      <c r="B477" s="108" t="s">
        <v>493</v>
      </c>
    </row>
    <row r="478" spans="1:2" x14ac:dyDescent="0.2">
      <c r="A478" s="108">
        <v>1216</v>
      </c>
      <c r="B478" s="108" t="s">
        <v>494</v>
      </c>
    </row>
    <row r="479" spans="1:2" x14ac:dyDescent="0.2">
      <c r="A479" s="108">
        <v>1217</v>
      </c>
      <c r="B479" s="108" t="s">
        <v>495</v>
      </c>
    </row>
    <row r="480" spans="1:2" x14ac:dyDescent="0.2">
      <c r="A480" s="108">
        <v>1218</v>
      </c>
      <c r="B480" s="108" t="s">
        <v>496</v>
      </c>
    </row>
    <row r="481" spans="1:2" x14ac:dyDescent="0.2">
      <c r="A481" s="108">
        <v>1219</v>
      </c>
      <c r="B481" s="108" t="s">
        <v>497</v>
      </c>
    </row>
    <row r="482" spans="1:2" x14ac:dyDescent="0.2">
      <c r="A482" s="108">
        <v>1220</v>
      </c>
      <c r="B482" s="108" t="s">
        <v>498</v>
      </c>
    </row>
    <row r="483" spans="1:2" x14ac:dyDescent="0.2">
      <c r="A483" s="108">
        <v>1221</v>
      </c>
      <c r="B483" s="108" t="s">
        <v>499</v>
      </c>
    </row>
    <row r="484" spans="1:2" x14ac:dyDescent="0.2">
      <c r="A484" s="108">
        <v>1222</v>
      </c>
      <c r="B484" s="108" t="s">
        <v>500</v>
      </c>
    </row>
    <row r="485" spans="1:2" x14ac:dyDescent="0.2">
      <c r="A485" s="108">
        <v>1223</v>
      </c>
      <c r="B485" s="108" t="s">
        <v>501</v>
      </c>
    </row>
    <row r="486" spans="1:2" x14ac:dyDescent="0.2">
      <c r="A486" s="108">
        <v>1224</v>
      </c>
      <c r="B486" s="108" t="s">
        <v>502</v>
      </c>
    </row>
    <row r="487" spans="1:2" x14ac:dyDescent="0.2">
      <c r="A487" s="108">
        <v>1225</v>
      </c>
      <c r="B487" s="108" t="s">
        <v>503</v>
      </c>
    </row>
    <row r="488" spans="1:2" x14ac:dyDescent="0.2">
      <c r="A488" s="108">
        <v>1226</v>
      </c>
      <c r="B488" s="108" t="s">
        <v>504</v>
      </c>
    </row>
    <row r="489" spans="1:2" x14ac:dyDescent="0.2">
      <c r="A489" s="108">
        <v>1227</v>
      </c>
      <c r="B489" s="108" t="s">
        <v>505</v>
      </c>
    </row>
    <row r="490" spans="1:2" x14ac:dyDescent="0.2">
      <c r="A490" s="108">
        <v>1228</v>
      </c>
      <c r="B490" s="108" t="s">
        <v>506</v>
      </c>
    </row>
    <row r="491" spans="1:2" x14ac:dyDescent="0.2">
      <c r="A491" s="108">
        <v>1229</v>
      </c>
      <c r="B491" s="108" t="s">
        <v>507</v>
      </c>
    </row>
    <row r="492" spans="1:2" x14ac:dyDescent="0.2">
      <c r="A492" s="108">
        <v>1230</v>
      </c>
      <c r="B492" s="108" t="s">
        <v>508</v>
      </c>
    </row>
    <row r="493" spans="1:2" x14ac:dyDescent="0.2">
      <c r="A493" s="108">
        <v>1231</v>
      </c>
      <c r="B493" s="108" t="s">
        <v>509</v>
      </c>
    </row>
    <row r="494" spans="1:2" x14ac:dyDescent="0.2">
      <c r="A494" s="108">
        <v>1232</v>
      </c>
      <c r="B494" s="108" t="s">
        <v>510</v>
      </c>
    </row>
    <row r="495" spans="1:2" x14ac:dyDescent="0.2">
      <c r="A495" s="108">
        <v>1233</v>
      </c>
      <c r="B495" s="108" t="s">
        <v>511</v>
      </c>
    </row>
    <row r="496" spans="1:2" x14ac:dyDescent="0.2">
      <c r="A496" s="108">
        <v>1234</v>
      </c>
      <c r="B496" s="108" t="s">
        <v>512</v>
      </c>
    </row>
    <row r="497" spans="1:2" x14ac:dyDescent="0.2">
      <c r="A497" s="108">
        <v>1235</v>
      </c>
      <c r="B497" s="108" t="s">
        <v>513</v>
      </c>
    </row>
    <row r="498" spans="1:2" x14ac:dyDescent="0.2">
      <c r="A498" s="108">
        <v>1236</v>
      </c>
      <c r="B498" s="108" t="s">
        <v>514</v>
      </c>
    </row>
    <row r="499" spans="1:2" x14ac:dyDescent="0.2">
      <c r="A499" s="108">
        <v>1237</v>
      </c>
      <c r="B499" s="108" t="s">
        <v>515</v>
      </c>
    </row>
    <row r="500" spans="1:2" x14ac:dyDescent="0.2">
      <c r="A500" s="108">
        <v>1238</v>
      </c>
      <c r="B500" s="108" t="s">
        <v>516</v>
      </c>
    </row>
    <row r="501" spans="1:2" x14ac:dyDescent="0.2">
      <c r="A501" s="108">
        <v>1239</v>
      </c>
      <c r="B501" s="108" t="s">
        <v>517</v>
      </c>
    </row>
    <row r="502" spans="1:2" x14ac:dyDescent="0.2">
      <c r="A502" s="108">
        <v>1240</v>
      </c>
      <c r="B502" s="108" t="s">
        <v>518</v>
      </c>
    </row>
    <row r="503" spans="1:2" x14ac:dyDescent="0.2">
      <c r="A503" s="108">
        <v>1241</v>
      </c>
      <c r="B503" s="108" t="s">
        <v>519</v>
      </c>
    </row>
    <row r="504" spans="1:2" x14ac:dyDescent="0.2">
      <c r="B504" s="108" t="s">
        <v>520</v>
      </c>
    </row>
    <row r="506" spans="1:2" x14ac:dyDescent="0.2">
      <c r="B506" s="108" t="s">
        <v>521</v>
      </c>
    </row>
    <row r="508" spans="1:2" x14ac:dyDescent="0.2">
      <c r="B508" s="108" t="s">
        <v>522</v>
      </c>
    </row>
    <row r="510" spans="1:2" x14ac:dyDescent="0.2">
      <c r="B510" s="108" t="s">
        <v>523</v>
      </c>
    </row>
    <row r="512" spans="1:2" x14ac:dyDescent="0.2">
      <c r="B512" s="108" t="s">
        <v>524</v>
      </c>
    </row>
    <row r="513" spans="1:2" x14ac:dyDescent="0.2">
      <c r="A513" s="108">
        <v>2101</v>
      </c>
      <c r="B513" s="108" t="s">
        <v>525</v>
      </c>
    </row>
    <row r="514" spans="1:2" x14ac:dyDescent="0.2">
      <c r="A514" s="108">
        <v>2102</v>
      </c>
      <c r="B514" s="108" t="s">
        <v>526</v>
      </c>
    </row>
    <row r="515" spans="1:2" x14ac:dyDescent="0.2">
      <c r="A515" s="108">
        <v>2103</v>
      </c>
      <c r="B515" s="108" t="s">
        <v>527</v>
      </c>
    </row>
    <row r="516" spans="1:2" x14ac:dyDescent="0.2">
      <c r="A516" s="108">
        <v>1207</v>
      </c>
      <c r="B516" s="108" t="s">
        <v>528</v>
      </c>
    </row>
    <row r="517" spans="1:2" x14ac:dyDescent="0.2">
      <c r="B517" s="108" t="s">
        <v>529</v>
      </c>
    </row>
    <row r="519" spans="1:2" x14ac:dyDescent="0.2">
      <c r="B519" s="108" t="s">
        <v>88</v>
      </c>
    </row>
    <row r="520" spans="1:2" x14ac:dyDescent="0.2">
      <c r="A520" s="108">
        <v>3101</v>
      </c>
      <c r="B520" s="108" t="s">
        <v>530</v>
      </c>
    </row>
    <row r="521" spans="1:2" x14ac:dyDescent="0.2">
      <c r="A521" s="108" t="s">
        <v>531</v>
      </c>
      <c r="B521" s="108" t="s">
        <v>532</v>
      </c>
    </row>
    <row r="522" spans="1:2" x14ac:dyDescent="0.2">
      <c r="A522" s="108">
        <v>3103</v>
      </c>
      <c r="B522" s="108" t="s">
        <v>533</v>
      </c>
    </row>
    <row r="523" spans="1:2" x14ac:dyDescent="0.2">
      <c r="A523" s="108">
        <v>3104</v>
      </c>
      <c r="B523" s="108" t="s">
        <v>534</v>
      </c>
    </row>
    <row r="524" spans="1:2" x14ac:dyDescent="0.2">
      <c r="B524" s="108" t="s">
        <v>535</v>
      </c>
    </row>
    <row r="526" spans="1:2" x14ac:dyDescent="0.2">
      <c r="B526" s="108" t="s">
        <v>536</v>
      </c>
    </row>
    <row r="534" spans="1:12" x14ac:dyDescent="0.2">
      <c r="B534" s="108" t="s">
        <v>537</v>
      </c>
    </row>
    <row r="535" spans="1:12" x14ac:dyDescent="0.2">
      <c r="B535" s="108" t="s">
        <v>538</v>
      </c>
    </row>
    <row r="536" spans="1:12" x14ac:dyDescent="0.2">
      <c r="A536" s="108">
        <v>5101</v>
      </c>
      <c r="B536" s="108" t="s">
        <v>539</v>
      </c>
    </row>
    <row r="537" spans="1:12" x14ac:dyDescent="0.2">
      <c r="A537" s="108">
        <v>5102</v>
      </c>
      <c r="B537" s="108" t="s">
        <v>540</v>
      </c>
    </row>
    <row r="538" spans="1:12" x14ac:dyDescent="0.2">
      <c r="A538" s="108">
        <v>5103</v>
      </c>
      <c r="B538" s="108" t="s">
        <v>541</v>
      </c>
    </row>
    <row r="539" spans="1:12" x14ac:dyDescent="0.2">
      <c r="A539" s="108">
        <v>5104</v>
      </c>
      <c r="B539" s="108" t="s">
        <v>542</v>
      </c>
    </row>
    <row r="540" spans="1:12" x14ac:dyDescent="0.2">
      <c r="A540" s="108">
        <v>5105</v>
      </c>
      <c r="B540" s="108" t="s">
        <v>543</v>
      </c>
      <c r="E540" s="108" t="s">
        <v>544</v>
      </c>
      <c r="F540" s="108" t="s">
        <v>545</v>
      </c>
    </row>
    <row r="541" spans="1:12" x14ac:dyDescent="0.2">
      <c r="B541" s="108" t="s">
        <v>546</v>
      </c>
    </row>
    <row r="542" spans="1:12" x14ac:dyDescent="0.2">
      <c r="E542" s="108" t="s">
        <v>547</v>
      </c>
      <c r="G542" s="108"/>
      <c r="H542" s="108"/>
      <c r="I542" s="108"/>
      <c r="J542" s="108"/>
      <c r="K542" s="108"/>
      <c r="L542" s="108"/>
    </row>
    <row r="543" spans="1:12" x14ac:dyDescent="0.2">
      <c r="B543" s="108" t="s">
        <v>536</v>
      </c>
      <c r="E543" s="108" t="s">
        <v>548</v>
      </c>
      <c r="F543" s="108" t="s">
        <v>549</v>
      </c>
      <c r="G543" s="108" t="s">
        <v>101</v>
      </c>
      <c r="H543" s="108"/>
      <c r="I543" s="108"/>
      <c r="J543" s="108"/>
      <c r="K543" s="108"/>
      <c r="L543" s="108"/>
    </row>
    <row r="544" spans="1:12" x14ac:dyDescent="0.2">
      <c r="A544" s="108">
        <v>6190</v>
      </c>
      <c r="B544" s="108" t="s">
        <v>550</v>
      </c>
      <c r="E544" s="108" t="s">
        <v>551</v>
      </c>
      <c r="F544" s="108" t="s">
        <v>552</v>
      </c>
      <c r="G544" s="119">
        <v>15856000</v>
      </c>
      <c r="H544" s="108"/>
      <c r="I544" s="108"/>
      <c r="J544" s="108"/>
      <c r="K544" s="108"/>
      <c r="L544" s="108"/>
    </row>
    <row r="545" spans="1:12" x14ac:dyDescent="0.2">
      <c r="A545" s="108">
        <v>7101</v>
      </c>
      <c r="B545" s="108" t="s">
        <v>553</v>
      </c>
      <c r="E545" s="108" t="s">
        <v>554</v>
      </c>
      <c r="F545" s="108" t="s">
        <v>555</v>
      </c>
      <c r="G545" s="119">
        <v>89381000</v>
      </c>
      <c r="H545" s="108"/>
      <c r="I545" s="108"/>
      <c r="J545" s="108"/>
      <c r="K545" s="108"/>
      <c r="L545" s="108"/>
    </row>
    <row r="546" spans="1:12" x14ac:dyDescent="0.2">
      <c r="A546" s="108">
        <v>7102</v>
      </c>
      <c r="B546" s="108" t="s">
        <v>555</v>
      </c>
      <c r="E546" s="108" t="s">
        <v>556</v>
      </c>
      <c r="F546" s="108" t="s">
        <v>557</v>
      </c>
      <c r="G546" s="119">
        <v>42000000</v>
      </c>
      <c r="H546" s="108"/>
      <c r="I546" s="108"/>
      <c r="J546" s="108"/>
      <c r="K546" s="108"/>
      <c r="L546" s="108"/>
    </row>
    <row r="547" spans="1:12" x14ac:dyDescent="0.2">
      <c r="A547" s="108">
        <v>7103</v>
      </c>
      <c r="B547" s="108" t="s">
        <v>558</v>
      </c>
      <c r="E547" s="108" t="s">
        <v>342</v>
      </c>
      <c r="G547" s="119">
        <v>147237000</v>
      </c>
      <c r="H547" s="108"/>
      <c r="I547" s="108"/>
      <c r="J547" s="108"/>
      <c r="K547" s="108"/>
      <c r="L547" s="108"/>
    </row>
    <row r="548" spans="1:12" x14ac:dyDescent="0.2">
      <c r="A548" s="108">
        <v>7104</v>
      </c>
      <c r="B548" s="108" t="s">
        <v>559</v>
      </c>
      <c r="G548" s="108"/>
      <c r="H548" s="108"/>
      <c r="I548" s="108"/>
      <c r="J548" s="108"/>
      <c r="K548" s="108"/>
      <c r="L548" s="108"/>
    </row>
    <row r="549" spans="1:12" x14ac:dyDescent="0.2">
      <c r="A549" s="108">
        <v>7105</v>
      </c>
      <c r="B549" s="108" t="s">
        <v>560</v>
      </c>
      <c r="G549" s="108"/>
      <c r="H549" s="108"/>
      <c r="I549" s="108"/>
      <c r="J549" s="108"/>
      <c r="K549" s="108"/>
      <c r="L549" s="108"/>
    </row>
    <row r="550" spans="1:12" x14ac:dyDescent="0.2">
      <c r="A550" s="108" t="s">
        <v>561</v>
      </c>
      <c r="B550" s="108" t="s">
        <v>562</v>
      </c>
      <c r="G550" s="108"/>
      <c r="H550" s="108"/>
      <c r="I550" s="108"/>
      <c r="J550" s="108"/>
      <c r="K550" s="108"/>
      <c r="L550" s="108"/>
    </row>
    <row r="551" spans="1:12" x14ac:dyDescent="0.2">
      <c r="A551" s="108">
        <v>4101</v>
      </c>
      <c r="B551" s="108" t="s">
        <v>563</v>
      </c>
      <c r="G551" s="108"/>
      <c r="H551" s="108"/>
      <c r="I551" s="108"/>
      <c r="J551" s="108"/>
      <c r="K551" s="108"/>
    </row>
    <row r="552" spans="1:12" x14ac:dyDescent="0.2">
      <c r="A552" s="108">
        <v>4102</v>
      </c>
      <c r="B552" s="108" t="s">
        <v>552</v>
      </c>
      <c r="G552" s="108"/>
      <c r="H552" s="108"/>
      <c r="I552" s="108"/>
      <c r="J552" s="108"/>
      <c r="K552" s="108"/>
    </row>
    <row r="553" spans="1:12" x14ac:dyDescent="0.2">
      <c r="G553" s="108"/>
      <c r="H553" s="108"/>
      <c r="I553" s="108"/>
      <c r="J553" s="108"/>
      <c r="K553" s="108"/>
    </row>
    <row r="554" spans="1:12" x14ac:dyDescent="0.2">
      <c r="G554" s="108"/>
      <c r="H554" s="108"/>
      <c r="I554" s="108"/>
      <c r="J554" s="108"/>
      <c r="K554" s="108"/>
    </row>
    <row r="555" spans="1:12" x14ac:dyDescent="0.2">
      <c r="B555" s="108" t="s">
        <v>564</v>
      </c>
      <c r="G555" s="108"/>
      <c r="H555" s="108"/>
      <c r="I555" s="108"/>
      <c r="J555" s="108"/>
      <c r="K555" s="108"/>
    </row>
    <row r="556" spans="1:12" x14ac:dyDescent="0.2">
      <c r="A556" s="109" t="s">
        <v>565</v>
      </c>
      <c r="G556" s="108"/>
    </row>
    <row r="557" spans="1:12" x14ac:dyDescent="0.2">
      <c r="A557" s="123">
        <v>1110050100</v>
      </c>
      <c r="B557" s="124" t="s">
        <v>566</v>
      </c>
      <c r="G557" s="108"/>
    </row>
    <row r="558" spans="1:12" x14ac:dyDescent="0.2">
      <c r="A558" s="123">
        <v>1110050200</v>
      </c>
      <c r="B558" s="108" t="s">
        <v>567</v>
      </c>
      <c r="G558" s="108"/>
    </row>
    <row r="559" spans="1:12" x14ac:dyDescent="0.2">
      <c r="G559" s="108"/>
    </row>
    <row r="563" spans="1:2" x14ac:dyDescent="0.2">
      <c r="A563" s="108">
        <v>4170250000</v>
      </c>
      <c r="B563" s="108" t="s">
        <v>568</v>
      </c>
    </row>
    <row r="565" spans="1:2" x14ac:dyDescent="0.2">
      <c r="A565" s="108">
        <v>4218050000</v>
      </c>
      <c r="B565" s="108" t="s">
        <v>569</v>
      </c>
    </row>
    <row r="568" spans="1:2" x14ac:dyDescent="0.2">
      <c r="A568" s="108">
        <v>5210350000</v>
      </c>
      <c r="B568" s="108" t="s">
        <v>570</v>
      </c>
    </row>
    <row r="569" spans="1:2" x14ac:dyDescent="0.2">
      <c r="A569" s="108">
        <v>5140950000</v>
      </c>
    </row>
    <row r="571" spans="1:2" x14ac:dyDescent="0.2">
      <c r="A571" s="123">
        <v>5305950000</v>
      </c>
      <c r="B571" s="108" t="s">
        <v>571</v>
      </c>
    </row>
    <row r="572" spans="1:2" x14ac:dyDescent="0.2">
      <c r="A572" s="123">
        <v>5313050000</v>
      </c>
      <c r="B572" s="108" t="s">
        <v>569</v>
      </c>
    </row>
    <row r="573" spans="1:2" x14ac:dyDescent="0.2">
      <c r="A573" s="108">
        <v>5310950000</v>
      </c>
      <c r="B573" s="108" t="s">
        <v>572</v>
      </c>
    </row>
    <row r="577" spans="1:3" x14ac:dyDescent="0.2">
      <c r="A577" s="108">
        <v>1101</v>
      </c>
      <c r="B577" s="108" t="s">
        <v>573</v>
      </c>
    </row>
    <row r="578" spans="1:3" x14ac:dyDescent="0.2">
      <c r="A578" s="108">
        <v>1102</v>
      </c>
      <c r="B578" s="108" t="s">
        <v>574</v>
      </c>
    </row>
    <row r="579" spans="1:3" x14ac:dyDescent="0.2">
      <c r="A579" s="108">
        <v>1103</v>
      </c>
      <c r="B579" s="108" t="s">
        <v>575</v>
      </c>
    </row>
    <row r="580" spans="1:3" x14ac:dyDescent="0.2">
      <c r="A580" s="108">
        <v>1104</v>
      </c>
      <c r="B580" s="108" t="s">
        <v>576</v>
      </c>
    </row>
    <row r="581" spans="1:3" x14ac:dyDescent="0.2">
      <c r="A581" s="108">
        <v>1106</v>
      </c>
      <c r="B581" s="108" t="s">
        <v>577</v>
      </c>
    </row>
    <row r="582" spans="1:3" x14ac:dyDescent="0.2">
      <c r="A582" s="108">
        <v>9999</v>
      </c>
      <c r="B582" s="108" t="s">
        <v>578</v>
      </c>
      <c r="C582" s="108" t="s">
        <v>579</v>
      </c>
    </row>
    <row r="584" spans="1:3" x14ac:dyDescent="0.2">
      <c r="A584" s="108">
        <v>1218</v>
      </c>
      <c r="B584" s="108" t="s">
        <v>580</v>
      </c>
    </row>
    <row r="585" spans="1:3" x14ac:dyDescent="0.2">
      <c r="A585" s="108">
        <v>1223</v>
      </c>
      <c r="B585" s="108" t="s">
        <v>581</v>
      </c>
    </row>
    <row r="586" spans="1:3" x14ac:dyDescent="0.2">
      <c r="A586" s="108">
        <v>1231</v>
      </c>
      <c r="B586" s="108" t="s">
        <v>582</v>
      </c>
    </row>
    <row r="587" spans="1:3" x14ac:dyDescent="0.2">
      <c r="A587" s="108">
        <v>1235</v>
      </c>
      <c r="B587" s="108" t="s">
        <v>583</v>
      </c>
    </row>
    <row r="588" spans="1:3" x14ac:dyDescent="0.2">
      <c r="A588" s="108">
        <v>1201</v>
      </c>
      <c r="B588" s="108" t="s">
        <v>584</v>
      </c>
    </row>
    <row r="591" spans="1:3" x14ac:dyDescent="0.2">
      <c r="A591" s="108">
        <v>5103</v>
      </c>
      <c r="B591" s="108" t="s">
        <v>541</v>
      </c>
      <c r="C591" s="108" t="s">
        <v>585</v>
      </c>
    </row>
    <row r="592" spans="1:3" x14ac:dyDescent="0.2">
      <c r="A592" s="108">
        <v>5104</v>
      </c>
      <c r="B592" s="108" t="s">
        <v>542</v>
      </c>
      <c r="C592" s="108" t="s">
        <v>579</v>
      </c>
    </row>
    <row r="593" spans="1:3" x14ac:dyDescent="0.2">
      <c r="A593" s="108">
        <v>5105</v>
      </c>
      <c r="B593" s="108" t="s">
        <v>586</v>
      </c>
      <c r="C593" s="108" t="s">
        <v>579</v>
      </c>
    </row>
    <row r="594" spans="1:3" x14ac:dyDescent="0.2">
      <c r="A594" s="108">
        <v>5106</v>
      </c>
      <c r="B594" s="108" t="s">
        <v>587</v>
      </c>
      <c r="C594" s="108" t="s">
        <v>585</v>
      </c>
    </row>
    <row r="595" spans="1:3" x14ac:dyDescent="0.2">
      <c r="A595" s="108">
        <v>7101</v>
      </c>
      <c r="B595" s="108" t="s">
        <v>588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CDF56-8972-4C32-B9F4-77CB6490B2A9}">
  <sheetPr>
    <tabColor theme="2" tint="-0.749992370372631"/>
  </sheetPr>
  <dimension ref="A1:AG47"/>
  <sheetViews>
    <sheetView showGridLines="0" tabSelected="1" zoomScaleNormal="100" workbookViewId="0">
      <selection activeCell="V31" sqref="V31"/>
    </sheetView>
  </sheetViews>
  <sheetFormatPr baseColWidth="10" defaultRowHeight="12.75" x14ac:dyDescent="0.2"/>
  <cols>
    <col min="1" max="1" width="4.140625" style="10" customWidth="1"/>
    <col min="2" max="2" width="26.28515625" style="10" customWidth="1"/>
    <col min="3" max="3" width="9.42578125" style="10" customWidth="1"/>
    <col min="4" max="4" width="6.42578125" style="10" customWidth="1"/>
    <col min="5" max="5" width="10.28515625" style="10" customWidth="1"/>
    <col min="6" max="7" width="7.140625" style="10" customWidth="1"/>
    <col min="8" max="8" width="11" style="10" customWidth="1"/>
    <col min="9" max="9" width="6.42578125" style="10" customWidth="1"/>
    <col min="10" max="10" width="9.5703125" style="10" customWidth="1"/>
    <col min="11" max="11" width="10.5703125" style="10" customWidth="1"/>
    <col min="12" max="12" width="5.42578125" style="10" customWidth="1"/>
    <col min="13" max="13" width="9.140625" style="10" bestFit="1" customWidth="1"/>
    <col min="14" max="14" width="5.42578125" style="10" customWidth="1"/>
    <col min="15" max="15" width="7.140625" style="10" customWidth="1"/>
    <col min="16" max="16" width="10.7109375" style="10" customWidth="1"/>
    <col min="17" max="17" width="5.140625" style="10" customWidth="1"/>
    <col min="18" max="18" width="7.140625" style="10" customWidth="1"/>
    <col min="19" max="19" width="10.85546875" style="11" customWidth="1"/>
    <col min="20" max="20" width="17.42578125" style="10" customWidth="1"/>
    <col min="21" max="28" width="11.42578125" style="10"/>
    <col min="29" max="29" width="5.7109375" style="10" bestFit="1" customWidth="1"/>
    <col min="30" max="31" width="11.42578125" style="10"/>
    <col min="32" max="32" width="13.42578125" style="10" customWidth="1"/>
    <col min="33" max="16384" width="11.42578125" style="10"/>
  </cols>
  <sheetData>
    <row r="1" spans="1:33" s="7" customFormat="1" ht="12.75" customHeight="1" x14ac:dyDescent="0.2">
      <c r="B1" s="8"/>
      <c r="S1" s="9"/>
    </row>
    <row r="2" spans="1:33" ht="11.25" customHeight="1" x14ac:dyDescent="0.2">
      <c r="A2" s="7"/>
      <c r="X2" s="12"/>
      <c r="Y2" s="12"/>
      <c r="Z2" s="12"/>
      <c r="AA2" s="12"/>
      <c r="AB2" s="12"/>
    </row>
    <row r="3" spans="1:33" ht="18" x14ac:dyDescent="0.25">
      <c r="B3" s="13" t="s">
        <v>4</v>
      </c>
      <c r="S3" s="14"/>
      <c r="T3" s="15" t="str">
        <f>+B3</f>
        <v>MUSICAR S.A. COLOMBIA CONSOLIDADO</v>
      </c>
    </row>
    <row r="4" spans="1:33" x14ac:dyDescent="0.2">
      <c r="B4" s="2" t="s">
        <v>5</v>
      </c>
      <c r="S4" s="14"/>
      <c r="T4" s="16" t="s">
        <v>6</v>
      </c>
    </row>
    <row r="5" spans="1:33" x14ac:dyDescent="0.2">
      <c r="B5" s="3" t="s">
        <v>7</v>
      </c>
      <c r="S5" s="14"/>
      <c r="T5" s="16" t="s">
        <v>7</v>
      </c>
    </row>
    <row r="6" spans="1:33" ht="13.5" thickBot="1" x14ac:dyDescent="0.25">
      <c r="B6" s="17" t="str">
        <f>+'COLOMB$ '!B6</f>
        <v>OCTUBRE de 2022</v>
      </c>
      <c r="K6" s="18" t="s">
        <v>8</v>
      </c>
      <c r="L6" s="18"/>
      <c r="M6" s="18"/>
      <c r="N6" s="18"/>
      <c r="O6" s="18"/>
      <c r="P6" s="18"/>
      <c r="Q6" s="18"/>
      <c r="R6" s="18"/>
      <c r="S6" s="14"/>
      <c r="T6" s="10" t="str">
        <f>+B6</f>
        <v>OCTUBRE de 2022</v>
      </c>
      <c r="X6" s="18" t="s">
        <v>8</v>
      </c>
      <c r="Y6" s="18"/>
      <c r="Z6" s="18"/>
      <c r="AA6" s="18"/>
      <c r="AB6" s="18"/>
      <c r="AC6" s="18"/>
    </row>
    <row r="7" spans="1:33" ht="17.25" customHeight="1" x14ac:dyDescent="0.2">
      <c r="C7" s="19" t="str">
        <f>+'COLOMB$ '!D7:D7</f>
        <v>Ppto 2022</v>
      </c>
      <c r="E7" s="10" t="str">
        <f>+'COLOMB$ '!F7:F7</f>
        <v>Real 2022</v>
      </c>
      <c r="G7" s="7" t="s">
        <v>9</v>
      </c>
      <c r="H7" s="10" t="str">
        <f>+'COLOMB$ '!I7:I7</f>
        <v>Real 2021</v>
      </c>
      <c r="J7" s="7" t="s">
        <v>10</v>
      </c>
      <c r="K7" s="10" t="str">
        <f>+C7</f>
        <v>Ppto 2022</v>
      </c>
      <c r="M7" s="20" t="str">
        <f>+E7</f>
        <v>Real 2022</v>
      </c>
      <c r="N7" s="20"/>
      <c r="O7" s="7" t="s">
        <v>9</v>
      </c>
      <c r="P7" s="10" t="str">
        <f>+H7</f>
        <v>Real 2021</v>
      </c>
      <c r="R7" s="7" t="s">
        <v>10</v>
      </c>
      <c r="S7" s="21"/>
      <c r="T7" s="12"/>
      <c r="U7" s="12" t="str">
        <f>+C7</f>
        <v>Ppto 2022</v>
      </c>
      <c r="V7" s="12" t="str">
        <f>+M7</f>
        <v>Real 2022</v>
      </c>
      <c r="W7" s="12" t="str">
        <f>+H7</f>
        <v>Real 2021</v>
      </c>
      <c r="X7" s="12" t="str">
        <f>+U7</f>
        <v>Ppto 2022</v>
      </c>
      <c r="Y7" s="12" t="str">
        <f>+V7</f>
        <v>Real 2022</v>
      </c>
      <c r="Z7" s="12" t="s">
        <v>11</v>
      </c>
      <c r="AA7" s="12" t="s">
        <v>9</v>
      </c>
      <c r="AB7" s="12" t="str">
        <f>+W7</f>
        <v>Real 2021</v>
      </c>
      <c r="AC7" s="12" t="s">
        <v>10</v>
      </c>
    </row>
    <row r="8" spans="1:33" ht="15.75" customHeight="1" thickBot="1" x14ac:dyDescent="0.25">
      <c r="B8" s="22" t="s">
        <v>12</v>
      </c>
      <c r="C8" s="23" t="s">
        <v>13</v>
      </c>
      <c r="D8" s="23" t="s">
        <v>14</v>
      </c>
      <c r="E8" s="23" t="s">
        <v>13</v>
      </c>
      <c r="F8" s="23" t="s">
        <v>14</v>
      </c>
      <c r="G8" s="23" t="s">
        <v>15</v>
      </c>
      <c r="H8" s="23" t="s">
        <v>13</v>
      </c>
      <c r="I8" s="23" t="s">
        <v>14</v>
      </c>
      <c r="J8" s="23" t="s">
        <v>15</v>
      </c>
      <c r="K8" s="23" t="s">
        <v>13</v>
      </c>
      <c r="L8" s="23" t="s">
        <v>14</v>
      </c>
      <c r="M8" s="23" t="s">
        <v>13</v>
      </c>
      <c r="N8" s="23" t="s">
        <v>14</v>
      </c>
      <c r="O8" s="23" t="s">
        <v>15</v>
      </c>
      <c r="P8" s="23" t="s">
        <v>13</v>
      </c>
      <c r="Q8" s="23" t="s">
        <v>14</v>
      </c>
      <c r="R8" s="23" t="s">
        <v>15</v>
      </c>
      <c r="S8" s="9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3" x14ac:dyDescent="0.2">
      <c r="S9" s="14"/>
      <c r="U9" s="12"/>
      <c r="V9" s="12"/>
      <c r="W9" s="12"/>
      <c r="X9" s="12"/>
      <c r="Y9" s="12"/>
      <c r="Z9" s="12"/>
      <c r="AB9" s="12"/>
    </row>
    <row r="10" spans="1:33" x14ac:dyDescent="0.2">
      <c r="B10" s="16" t="str">
        <f>+'COLOMB$ '!B10</f>
        <v>Musical Experience  (Ambiental)</v>
      </c>
      <c r="C10" s="26">
        <f>+'COLOMB$ '!C10+'PROY SAT$'!C10</f>
        <v>398023</v>
      </c>
      <c r="D10" s="27">
        <f t="shared" ref="D10:D20" si="0">+C10/$C$20</f>
        <v>0.43132565372403253</v>
      </c>
      <c r="E10" s="26">
        <f>+'COLOMB$ '!E10+'PROY SAT$'!E10</f>
        <v>362196.033</v>
      </c>
      <c r="F10" s="27">
        <f t="shared" ref="F10:F20" si="1">+E10/$E$20</f>
        <v>0.40040347603372783</v>
      </c>
      <c r="G10" s="27">
        <f t="shared" ref="G10:G20" si="2">IF(C10=0,"",(E10-C10)/ABS(C10)+1)</f>
        <v>0.90998769669089474</v>
      </c>
      <c r="H10" s="26">
        <f>+'COLOMB$ '!H10+'PROY SAT$'!H10</f>
        <v>364096.71799999999</v>
      </c>
      <c r="I10" s="27">
        <f t="shared" ref="I10:I19" si="3">+H10/$H$20</f>
        <v>0.44262129966139352</v>
      </c>
      <c r="J10" s="28">
        <f t="shared" ref="J10:J20" si="4">IF(H10=0,"",(E10-H10)/ABS(H10))</f>
        <v>-5.2202750149480826E-3</v>
      </c>
      <c r="K10" s="26">
        <f>+'COLOMB$ '!K10+'PROY SAT$'!K10</f>
        <v>3677864</v>
      </c>
      <c r="L10" s="27">
        <f t="shared" ref="L10:L20" si="5">+K10/$K$20</f>
        <v>0.41247492310949851</v>
      </c>
      <c r="M10" s="26">
        <f>+'COLOMB$ '!M10+'PROY SAT$'!M10</f>
        <v>3577839.3790000002</v>
      </c>
      <c r="N10" s="27">
        <f t="shared" ref="N10:N20" si="6">+M10/$M$20</f>
        <v>0.40723505470269017</v>
      </c>
      <c r="O10" s="27">
        <f t="shared" ref="O10:O20" si="7">IF(K10=0,"",(M10-K10)/ABS(K10)+1)</f>
        <v>0.97280361073710175</v>
      </c>
      <c r="P10" s="26">
        <f>+'COLOMB$ '!P10+'PROY SAT$'!P10</f>
        <v>3423397.7719999999</v>
      </c>
      <c r="Q10" s="27">
        <f t="shared" ref="Q10:Q20" si="8">+P10/$P$20</f>
        <v>0.43893902840491922</v>
      </c>
      <c r="R10" s="28">
        <f t="shared" ref="R10:R20" si="9">IF(P10=0,"",(M10-P10)/ABS(P10))</f>
        <v>4.5113544287251561E-2</v>
      </c>
      <c r="S10" s="21"/>
      <c r="T10" s="16" t="s">
        <v>16</v>
      </c>
      <c r="U10" s="26">
        <f>+'COLOMB$ '!U10</f>
        <v>20359</v>
      </c>
      <c r="V10" s="26">
        <f>+'COLOMB$ '!V10</f>
        <v>71498</v>
      </c>
      <c r="W10" s="26">
        <f>+'COLOMB$ '!W10</f>
        <v>857728</v>
      </c>
      <c r="X10" s="26">
        <f>+'COLOMB$ '!X10</f>
        <v>484392</v>
      </c>
      <c r="Y10" s="26">
        <f>+'COLOMB$ '!Y10</f>
        <v>484392</v>
      </c>
      <c r="Z10" s="29">
        <f>+Y10-X10</f>
        <v>0</v>
      </c>
      <c r="AA10" s="30">
        <f>IF(X10=0,"",(Y10-X10)/ABS(X10)+1)</f>
        <v>1</v>
      </c>
      <c r="AB10" s="26">
        <f>+'COLOMB$ '!AB10</f>
        <v>590384</v>
      </c>
      <c r="AC10" s="28">
        <f>IF(W10=0,"",(Y10-AB10)/ABS(AB10))</f>
        <v>-0.17953061058565273</v>
      </c>
    </row>
    <row r="11" spans="1:33" x14ac:dyDescent="0.2">
      <c r="B11" s="16" t="str">
        <f>+'COLOMB$ '!B11</f>
        <v>Instalaciones</v>
      </c>
      <c r="C11" s="26">
        <f>+'COLOMB$ '!C11+'PROY SAT$'!C11</f>
        <v>49028</v>
      </c>
      <c r="D11" s="27">
        <f t="shared" si="0"/>
        <v>5.3130181298020135E-2</v>
      </c>
      <c r="E11" s="26">
        <f>+'COLOMB$ '!E11+'PROY SAT$'!E11</f>
        <v>55525.097000000002</v>
      </c>
      <c r="F11" s="27">
        <f t="shared" si="1"/>
        <v>6.1382344974247452E-2</v>
      </c>
      <c r="G11" s="27">
        <f t="shared" si="2"/>
        <v>1.1325180917027005</v>
      </c>
      <c r="H11" s="26">
        <f>+'COLOMB$ '!H11+'PROY SAT$'!H11</f>
        <v>27421.297999999999</v>
      </c>
      <c r="I11" s="27">
        <f t="shared" si="3"/>
        <v>3.3335237477099065E-2</v>
      </c>
      <c r="J11" s="28">
        <f t="shared" si="4"/>
        <v>1.0248894490698437</v>
      </c>
      <c r="K11" s="26">
        <f>+'COLOMB$ '!K11+'PROY SAT$'!K11</f>
        <v>452150</v>
      </c>
      <c r="L11" s="27">
        <f t="shared" si="5"/>
        <v>5.0708926834695293E-2</v>
      </c>
      <c r="M11" s="26">
        <f>+'COLOMB$ '!M11+'PROY SAT$'!M11</f>
        <v>392282.24</v>
      </c>
      <c r="N11" s="27">
        <f t="shared" si="6"/>
        <v>4.4650154057487054E-2</v>
      </c>
      <c r="O11" s="27">
        <f t="shared" si="7"/>
        <v>0.86759314386818531</v>
      </c>
      <c r="P11" s="26">
        <f>+'COLOMB$ '!P11+'PROY SAT$'!P11</f>
        <v>308381.53200000001</v>
      </c>
      <c r="Q11" s="27">
        <f t="shared" si="8"/>
        <v>3.9539866252533307E-2</v>
      </c>
      <c r="R11" s="28">
        <f t="shared" si="9"/>
        <v>0.27206787467415522</v>
      </c>
      <c r="S11" s="21"/>
      <c r="T11" s="16" t="s">
        <v>17</v>
      </c>
      <c r="U11" s="26">
        <f>+'COLOMB$ '!U11</f>
        <v>1018326</v>
      </c>
      <c r="V11" s="26">
        <f>+'COLOMB$ '!V11</f>
        <v>1077988.07595</v>
      </c>
      <c r="W11" s="26">
        <f>+'COLOMB$ '!W11</f>
        <v>970436.64448000002</v>
      </c>
      <c r="X11" s="26">
        <f>+'COLOMB$ '!X11</f>
        <v>10175263</v>
      </c>
      <c r="Y11" s="26">
        <f>+'COLOMB$ '!Y11</f>
        <v>10262662.22236</v>
      </c>
      <c r="Z11" s="29">
        <f>+Y11-X11</f>
        <v>87399.222360000014</v>
      </c>
      <c r="AA11" s="30">
        <f>IF(X11=0,"",(Y11-X11)/ABS(X11)+1)</f>
        <v>1.0085893821476655</v>
      </c>
      <c r="AB11" s="26">
        <f>+'COLOMB$ '!AB11</f>
        <v>9556108.3708199989</v>
      </c>
      <c r="AC11" s="28">
        <f>IF(AB11=0,"",(Y11-AB11)/ABS(AB11))</f>
        <v>7.3937404654963373E-2</v>
      </c>
    </row>
    <row r="12" spans="1:33" x14ac:dyDescent="0.2">
      <c r="B12" s="16" t="str">
        <f>+'COLOMB$ '!B12</f>
        <v>Voice Experience (Publihold)</v>
      </c>
      <c r="C12" s="26">
        <f>+'COLOMB$ '!C12+'PROY SAT$'!C12</f>
        <v>67338</v>
      </c>
      <c r="D12" s="27">
        <f t="shared" si="0"/>
        <v>7.297218218662968E-2</v>
      </c>
      <c r="E12" s="26">
        <f>+'COLOMB$ '!E12+'PROY SAT$'!E12</f>
        <v>77415.376999999993</v>
      </c>
      <c r="F12" s="27">
        <f t="shared" si="1"/>
        <v>8.5581793352390204E-2</v>
      </c>
      <c r="G12" s="27">
        <f t="shared" si="2"/>
        <v>1.1496536428168345</v>
      </c>
      <c r="H12" s="26">
        <f>+'COLOMB$ '!H12+'PROY SAT$'!H12</f>
        <v>75369.148000000001</v>
      </c>
      <c r="I12" s="27">
        <f t="shared" si="3"/>
        <v>9.1623979544171327E-2</v>
      </c>
      <c r="J12" s="28">
        <f t="shared" si="4"/>
        <v>2.7149424589488422E-2</v>
      </c>
      <c r="K12" s="26">
        <f>+'COLOMB$ '!K12+'PROY SAT$'!K12</f>
        <v>801402</v>
      </c>
      <c r="L12" s="27">
        <f t="shared" si="5"/>
        <v>8.9877773710446696E-2</v>
      </c>
      <c r="M12" s="26">
        <f>+'COLOMB$ '!M12+'PROY SAT$'!M12</f>
        <v>873317.96379999991</v>
      </c>
      <c r="N12" s="27">
        <f t="shared" si="6"/>
        <v>9.9402363015060016E-2</v>
      </c>
      <c r="O12" s="27">
        <f t="shared" si="7"/>
        <v>1.0897376894492401</v>
      </c>
      <c r="P12" s="26">
        <f>+'COLOMB$ '!P12+'PROY SAT$'!P12</f>
        <v>931081.40320000006</v>
      </c>
      <c r="Q12" s="27">
        <f t="shared" si="8"/>
        <v>0.11938080051028814</v>
      </c>
      <c r="R12" s="28">
        <f t="shared" si="9"/>
        <v>-6.2039086165264462E-2</v>
      </c>
      <c r="S12" s="21"/>
      <c r="AC12" s="2"/>
    </row>
    <row r="13" spans="1:33" x14ac:dyDescent="0.2">
      <c r="B13" s="16" t="str">
        <f>+'COLOMB$ '!B13</f>
        <v>Service &amp; Equipment Experience</v>
      </c>
      <c r="C13" s="26">
        <f>+'COLOMB$ '!C13+'PROY SAT$'!C13</f>
        <v>101429</v>
      </c>
      <c r="D13" s="27">
        <f t="shared" si="0"/>
        <v>0.10991558209343404</v>
      </c>
      <c r="E13" s="26">
        <f>+'COLOMB$ '!E13+'PROY SAT$'!E13</f>
        <v>95708.858999999997</v>
      </c>
      <c r="F13" s="27">
        <f t="shared" si="1"/>
        <v>0.10580502363155904</v>
      </c>
      <c r="G13" s="27">
        <f t="shared" si="2"/>
        <v>0.94360448195289315</v>
      </c>
      <c r="H13" s="26">
        <f>+'COLOMB$ '!H13+'PROY SAT$'!H13</f>
        <v>92916.345000000001</v>
      </c>
      <c r="I13" s="27">
        <f t="shared" si="3"/>
        <v>0.11295557293017516</v>
      </c>
      <c r="J13" s="28">
        <f t="shared" si="4"/>
        <v>3.0054066375512247E-2</v>
      </c>
      <c r="K13" s="26">
        <f>+'COLOMB$ '!K13+'PROY SAT$'!K13</f>
        <v>943805</v>
      </c>
      <c r="L13" s="27">
        <f t="shared" si="5"/>
        <v>0.10584836600955344</v>
      </c>
      <c r="M13" s="26">
        <f>+'COLOMB$ '!M13+'PROY SAT$'!M13</f>
        <v>885584.57700000005</v>
      </c>
      <c r="N13" s="27">
        <f t="shared" si="6"/>
        <v>0.10079856736309172</v>
      </c>
      <c r="O13" s="27">
        <f t="shared" si="7"/>
        <v>0.93831308056219243</v>
      </c>
      <c r="P13" s="26">
        <f>+'COLOMB$ '!P13+'PROY SAT$'!P13</f>
        <v>593802.48</v>
      </c>
      <c r="Q13" s="27">
        <f t="shared" si="8"/>
        <v>7.6135787014711964E-2</v>
      </c>
      <c r="R13" s="28">
        <f t="shared" si="9"/>
        <v>0.4913790474569929</v>
      </c>
      <c r="S13" s="21"/>
      <c r="T13" s="16" t="s">
        <v>18</v>
      </c>
      <c r="U13" s="26">
        <f>+'COLOMB$ '!U13</f>
        <v>96394</v>
      </c>
      <c r="V13" s="26">
        <f>+'COLOMB$ '!V13</f>
        <v>111801.783</v>
      </c>
      <c r="W13" s="26">
        <f>+'COLOMB$ '!W13</f>
        <v>347783.24050000001</v>
      </c>
      <c r="X13" s="26">
        <f>+'COLOMB$ '!X13</f>
        <v>1318428</v>
      </c>
      <c r="Y13" s="26">
        <f>+'COLOMB$ '!Y13</f>
        <v>1268600.92243</v>
      </c>
      <c r="Z13" s="29">
        <f>+X13-Y13</f>
        <v>49827.077569999965</v>
      </c>
      <c r="AA13" s="30">
        <f>IF(X13=0,"",(Y13-X13)/ABS(X13)+1)</f>
        <v>0.96220720618039057</v>
      </c>
      <c r="AB13" s="26">
        <f>+'COLOMB$ '!AB13</f>
        <v>2273322.9181300001</v>
      </c>
      <c r="AC13" s="28">
        <f>IF(AB13=0,"",(Y13-AB13)/ABS(AB13))</f>
        <v>-0.44196184698937035</v>
      </c>
      <c r="AE13" s="31"/>
      <c r="AF13" s="31"/>
    </row>
    <row r="14" spans="1:33" x14ac:dyDescent="0.2">
      <c r="B14" s="16" t="str">
        <f>+'COLOMB$ '!B14</f>
        <v>POP Satelital</v>
      </c>
      <c r="C14" s="26">
        <f>+'COLOMB$ '!C14+'PROY SAT$'!C14</f>
        <v>0</v>
      </c>
      <c r="D14" s="27">
        <f t="shared" si="0"/>
        <v>0</v>
      </c>
      <c r="E14" s="26">
        <f>+'COLOMB$ '!E14+'PROY SAT$'!E14</f>
        <v>0</v>
      </c>
      <c r="F14" s="27">
        <f t="shared" si="1"/>
        <v>0</v>
      </c>
      <c r="G14" s="27" t="str">
        <f t="shared" si="2"/>
        <v/>
      </c>
      <c r="H14" s="26">
        <f>+'COLOMB$ '!H14+'PROY SAT$'!H14</f>
        <v>0</v>
      </c>
      <c r="I14" s="27">
        <f t="shared" si="3"/>
        <v>0</v>
      </c>
      <c r="J14" s="28" t="str">
        <f t="shared" si="4"/>
        <v/>
      </c>
      <c r="K14" s="26">
        <f>+'COLOMB$ '!K14+'PROY SAT$'!K14</f>
        <v>0</v>
      </c>
      <c r="L14" s="27">
        <f t="shared" si="5"/>
        <v>0</v>
      </c>
      <c r="M14" s="26">
        <f>+'COLOMB$ '!M14+'PROY SAT$'!M14</f>
        <v>0</v>
      </c>
      <c r="N14" s="27">
        <f t="shared" si="6"/>
        <v>0</v>
      </c>
      <c r="O14" s="27" t="str">
        <f t="shared" si="7"/>
        <v/>
      </c>
      <c r="P14" s="26">
        <f>+'COLOMB$ '!P14+'PROY SAT$'!P14</f>
        <v>0</v>
      </c>
      <c r="Q14" s="27">
        <f t="shared" si="8"/>
        <v>0</v>
      </c>
      <c r="R14" s="28" t="str">
        <f t="shared" si="9"/>
        <v/>
      </c>
      <c r="S14" s="21"/>
      <c r="T14" s="16" t="s">
        <v>19</v>
      </c>
      <c r="U14" s="26">
        <f>+'COLOMB$ '!U14</f>
        <v>8353</v>
      </c>
      <c r="V14" s="26">
        <f>+'COLOMB$ '!V14</f>
        <v>13046.406999999999</v>
      </c>
      <c r="W14" s="26">
        <f>+'COLOMB$ '!W14</f>
        <v>8309.9050000000007</v>
      </c>
      <c r="X14" s="26">
        <f>+'COLOMB$ '!X14</f>
        <v>83530</v>
      </c>
      <c r="Y14" s="26">
        <f>+'COLOMB$ '!Y14</f>
        <v>103277.56396</v>
      </c>
      <c r="Z14" s="29">
        <f>+X14-Y14</f>
        <v>-19747.563959999999</v>
      </c>
      <c r="AA14" s="30">
        <f>IF(X14=0,"",(Y14-X14)/ABS(X14)+1)</f>
        <v>1.2364128332335689</v>
      </c>
      <c r="AB14" s="26">
        <f>+'COLOMB$ '!AB14</f>
        <v>73455.004000000001</v>
      </c>
      <c r="AC14" s="28">
        <f>IF(AB14=0,"",(Y14-AB14)/ABS(AB14))</f>
        <v>0.40599766300468787</v>
      </c>
      <c r="AE14" s="31"/>
    </row>
    <row r="15" spans="1:33" x14ac:dyDescent="0.2">
      <c r="B15" s="16" t="str">
        <f>+'COLOMB$ '!B15</f>
        <v>Voice Experience (Audicóm)</v>
      </c>
      <c r="C15" s="26">
        <f>+'COLOMB$ '!C15+'PROY SAT$'!C15</f>
        <v>126553</v>
      </c>
      <c r="D15" s="27">
        <f t="shared" si="0"/>
        <v>0.13714171154867305</v>
      </c>
      <c r="E15" s="26">
        <f>+'COLOMB$ '!E15+'PROY SAT$'!E15</f>
        <v>127452.204</v>
      </c>
      <c r="F15" s="27">
        <f t="shared" si="1"/>
        <v>0.14089692006582466</v>
      </c>
      <c r="G15" s="27">
        <f t="shared" si="2"/>
        <v>1.0071053550686273</v>
      </c>
      <c r="H15" s="26">
        <f>+'COLOMB$ '!H15+'PROY SAT$'!H15</f>
        <v>112958.29700000001</v>
      </c>
      <c r="I15" s="27">
        <f t="shared" si="3"/>
        <v>0.13731996404778823</v>
      </c>
      <c r="J15" s="28">
        <f t="shared" si="4"/>
        <v>0.12831201766435971</v>
      </c>
      <c r="K15" s="26">
        <f>+'COLOMB$ '!K15+'PROY SAT$'!K15</f>
        <v>1243823</v>
      </c>
      <c r="L15" s="27">
        <f t="shared" si="5"/>
        <v>0.13949558664671283</v>
      </c>
      <c r="M15" s="26">
        <f>+'COLOMB$ '!M15+'PROY SAT$'!M15</f>
        <v>1228006.3019999999</v>
      </c>
      <c r="N15" s="27">
        <f t="shared" si="6"/>
        <v>0.13977352267557402</v>
      </c>
      <c r="O15" s="27">
        <f t="shared" si="7"/>
        <v>0.98728380324210108</v>
      </c>
      <c r="P15" s="26">
        <f>+'COLOMB$ '!P15+'PROY SAT$'!P15</f>
        <v>1155129.2860000001</v>
      </c>
      <c r="Q15" s="27">
        <f t="shared" si="8"/>
        <v>0.14810762880840833</v>
      </c>
      <c r="R15" s="28">
        <f t="shared" si="9"/>
        <v>6.3089921520697922E-2</v>
      </c>
      <c r="S15" s="21"/>
      <c r="T15" s="16" t="s">
        <v>20</v>
      </c>
      <c r="U15" s="26">
        <f>+'COLOMB$ '!U15</f>
        <v>361598</v>
      </c>
      <c r="V15" s="26">
        <f>+'COLOMB$ '!V15</f>
        <v>354025.772</v>
      </c>
      <c r="W15" s="26">
        <f>+'COLOMB$ '!W15</f>
        <v>301239.52500000002</v>
      </c>
      <c r="X15" s="26">
        <f>+'COLOMB$ '!X15</f>
        <v>3906261</v>
      </c>
      <c r="Y15" s="26">
        <f>+'COLOMB$ '!Y15</f>
        <v>3815633.38528</v>
      </c>
      <c r="Z15" s="29">
        <f>+X15-Y15</f>
        <v>90627.614719999954</v>
      </c>
      <c r="AA15" s="30">
        <f>IF(X15=0,"",(Y15-X15)/ABS(X15)+1)</f>
        <v>0.97679939596458099</v>
      </c>
      <c r="AB15" s="26">
        <f>+'COLOMB$ '!AB15</f>
        <v>3280654.6860000002</v>
      </c>
      <c r="AC15" s="28">
        <f>IF(AB15=0,"",(Y15-AB15)/ABS(AB15))</f>
        <v>0.16307071316069618</v>
      </c>
      <c r="AE15" s="31"/>
      <c r="AF15" s="31"/>
      <c r="AG15" s="31"/>
    </row>
    <row r="16" spans="1:33" x14ac:dyDescent="0.2">
      <c r="B16" s="16" t="str">
        <f>+'COLOMB$ '!B16</f>
        <v>Fact. Servicio Satelital</v>
      </c>
      <c r="C16" s="26">
        <f>+'COLOMB$ '!C16+'PROY SAT$'!C16</f>
        <v>0</v>
      </c>
      <c r="D16" s="27">
        <f t="shared" si="0"/>
        <v>0</v>
      </c>
      <c r="E16" s="26">
        <f>+'COLOMB$ '!E16+'PROY SAT$'!E16</f>
        <v>0</v>
      </c>
      <c r="F16" s="27">
        <f t="shared" si="1"/>
        <v>0</v>
      </c>
      <c r="G16" s="27" t="str">
        <f t="shared" si="2"/>
        <v/>
      </c>
      <c r="H16" s="26">
        <f>+'COLOMB$ '!H16+'PROY SAT$'!H16</f>
        <v>0</v>
      </c>
      <c r="I16" s="27">
        <f t="shared" si="3"/>
        <v>0</v>
      </c>
      <c r="J16" s="28" t="str">
        <f t="shared" si="4"/>
        <v/>
      </c>
      <c r="K16" s="26">
        <f>+'COLOMB$ '!K16+'PROY SAT$'!K16</f>
        <v>0</v>
      </c>
      <c r="L16" s="27">
        <f t="shared" si="5"/>
        <v>0</v>
      </c>
      <c r="M16" s="26">
        <f>+'COLOMB$ '!M16+'PROY SAT$'!M16</f>
        <v>0</v>
      </c>
      <c r="N16" s="27">
        <f t="shared" si="6"/>
        <v>0</v>
      </c>
      <c r="O16" s="27" t="str">
        <f t="shared" si="7"/>
        <v/>
      </c>
      <c r="P16" s="26">
        <f>+'COLOMB$ '!P16+'PROY SAT$'!P16</f>
        <v>0</v>
      </c>
      <c r="Q16" s="27">
        <f t="shared" si="8"/>
        <v>0</v>
      </c>
      <c r="R16" s="28" t="str">
        <f t="shared" si="9"/>
        <v/>
      </c>
      <c r="S16" s="21"/>
      <c r="T16" s="16" t="s">
        <v>21</v>
      </c>
      <c r="U16" s="26">
        <f>+'COLOMB$ '!U16</f>
        <v>231866</v>
      </c>
      <c r="V16" s="26">
        <f>+'COLOMB$ '!V16</f>
        <v>248184.70413</v>
      </c>
      <c r="W16" s="26">
        <f>+'COLOMB$ '!W16</f>
        <v>145419.16829</v>
      </c>
      <c r="X16" s="26">
        <f>+'COLOMB$ '!X16</f>
        <v>2480279</v>
      </c>
      <c r="Y16" s="26">
        <f>+'COLOMB$ '!Y16</f>
        <v>2454183.6383699998</v>
      </c>
      <c r="Z16" s="29">
        <f>+X16-Y16</f>
        <v>26095.361630000174</v>
      </c>
      <c r="AA16" s="30">
        <f>IF(X16=0,"",(Y16-X16)/ABS(X16)+1)</f>
        <v>0.98947886039030275</v>
      </c>
      <c r="AB16" s="26">
        <f>+'COLOMB$ '!AB16</f>
        <v>1632225.1492899999</v>
      </c>
      <c r="AC16" s="28">
        <f>IF(AB16=0,"",(Y16-AB16)/ABS(AB16))</f>
        <v>0.50358156130454368</v>
      </c>
      <c r="AE16" s="31"/>
      <c r="AF16" s="11"/>
    </row>
    <row r="17" spans="2:32" x14ac:dyDescent="0.2">
      <c r="B17" s="16" t="str">
        <f>+'COLOMB$ '!B17</f>
        <v>Visual Experience</v>
      </c>
      <c r="C17" s="26">
        <f>+'COLOMB$ '!C17+'PROY SAT$'!C17</f>
        <v>19341</v>
      </c>
      <c r="D17" s="27">
        <f t="shared" si="0"/>
        <v>2.0959264838153861E-2</v>
      </c>
      <c r="E17" s="26">
        <f>+'COLOMB$ '!E17+'PROY SAT$'!E17</f>
        <v>19985.629000000001</v>
      </c>
      <c r="F17" s="27">
        <f t="shared" si="1"/>
        <v>2.2093878986025439E-2</v>
      </c>
      <c r="G17" s="27">
        <f t="shared" si="2"/>
        <v>1.033329662375265</v>
      </c>
      <c r="H17" s="26">
        <f>+'COLOMB$ '!H17+'PROY SAT$'!H17</f>
        <v>18121.957999999999</v>
      </c>
      <c r="I17" s="27">
        <f t="shared" si="3"/>
        <v>2.2030312842229977E-2</v>
      </c>
      <c r="J17" s="28">
        <f t="shared" si="4"/>
        <v>0.10284048776627791</v>
      </c>
      <c r="K17" s="26">
        <f>+'COLOMB$ '!K17+'PROY SAT$'!K17</f>
        <v>265865</v>
      </c>
      <c r="L17" s="27">
        <f t="shared" si="5"/>
        <v>2.9816938699339299E-2</v>
      </c>
      <c r="M17" s="26">
        <f>+'COLOMB$ '!M17+'PROY SAT$'!M17</f>
        <v>266371.55300000001</v>
      </c>
      <c r="N17" s="27">
        <f t="shared" si="6"/>
        <v>3.0318810451327286E-2</v>
      </c>
      <c r="O17" s="27">
        <f t="shared" si="7"/>
        <v>1.0019053015628232</v>
      </c>
      <c r="P17" s="26">
        <f>+'COLOMB$ '!P17+'PROY SAT$'!P17</f>
        <v>228507.24400000001</v>
      </c>
      <c r="Q17" s="27">
        <f t="shared" si="8"/>
        <v>2.9298595823484638E-2</v>
      </c>
      <c r="R17" s="28">
        <f t="shared" si="9"/>
        <v>0.16570288248717405</v>
      </c>
      <c r="S17" s="21"/>
      <c r="T17" s="16" t="s">
        <v>22</v>
      </c>
      <c r="U17" s="26">
        <f>U13+U14+U15+U16</f>
        <v>698211</v>
      </c>
      <c r="V17" s="26">
        <f>V13+V14+V15+V16</f>
        <v>727058.66613000003</v>
      </c>
      <c r="W17" s="26">
        <f>W13+W14+W15+W16</f>
        <v>802751.83878999995</v>
      </c>
      <c r="X17" s="26">
        <f>X13+X14+X15+X16</f>
        <v>7788498</v>
      </c>
      <c r="Y17" s="26">
        <f>Y13+Y14+Y15+Y16</f>
        <v>7641695.5100400001</v>
      </c>
      <c r="Z17" s="29">
        <f>+Y17-X17</f>
        <v>-146802.48995999992</v>
      </c>
      <c r="AA17" s="30">
        <f>IF(X17=0,"",(Y17-X17)/ABS(X17)+1)</f>
        <v>0.98115137347919967</v>
      </c>
      <c r="AB17" s="26">
        <f>+'COLOMB$ '!AB17</f>
        <v>7259657.7574200006</v>
      </c>
      <c r="AC17" s="28">
        <f>IF(AB17=0,"",(Y17-AB17)/ABS(AB17))</f>
        <v>5.2624760751224631E-2</v>
      </c>
      <c r="AE17" s="31"/>
      <c r="AF17" s="31"/>
    </row>
    <row r="18" spans="2:32" x14ac:dyDescent="0.2">
      <c r="B18" s="16" t="str">
        <f>+'COLOMB$ '!B18</f>
        <v>Olfa Experience</v>
      </c>
      <c r="C18" s="26">
        <f>+'COLOMB$ '!C18+'PROY SAT$'!C18</f>
        <v>117236</v>
      </c>
      <c r="D18" s="27">
        <f t="shared" si="0"/>
        <v>0.12704515653615667</v>
      </c>
      <c r="E18" s="26">
        <f>+'COLOMB$ '!E18+'PROY SAT$'!E18</f>
        <v>113440.302</v>
      </c>
      <c r="F18" s="27">
        <f t="shared" si="1"/>
        <v>0.12540692637325448</v>
      </c>
      <c r="G18" s="27">
        <f t="shared" si="2"/>
        <v>0.96762344331092831</v>
      </c>
      <c r="H18" s="26">
        <f>+'COLOMB$ '!H18+'PROY SAT$'!H18</f>
        <v>97362.558000000005</v>
      </c>
      <c r="I18" s="27">
        <f t="shared" si="3"/>
        <v>0.11836069876443601</v>
      </c>
      <c r="J18" s="32">
        <f t="shared" si="4"/>
        <v>0.1651327197052484</v>
      </c>
      <c r="K18" s="26">
        <f>+'COLOMB$ '!K18+'PROY SAT$'!K18</f>
        <v>1098780</v>
      </c>
      <c r="L18" s="27">
        <f t="shared" si="5"/>
        <v>0.12322891657066569</v>
      </c>
      <c r="M18" s="26">
        <f>+'COLOMB$ '!M18+'PROY SAT$'!M18</f>
        <v>1036877.603</v>
      </c>
      <c r="N18" s="27">
        <f t="shared" si="6"/>
        <v>0.11801896693744765</v>
      </c>
      <c r="O18" s="27">
        <f t="shared" si="7"/>
        <v>0.94366261034966059</v>
      </c>
      <c r="P18" s="26">
        <f>+'COLOMB$ '!P18+'PROY SAT$'!P18</f>
        <v>820030.41</v>
      </c>
      <c r="Q18" s="27">
        <f t="shared" si="8"/>
        <v>0.10514213521194277</v>
      </c>
      <c r="R18" s="28">
        <f t="shared" si="9"/>
        <v>0.26443798956187486</v>
      </c>
      <c r="S18" s="21"/>
      <c r="AC18" s="2"/>
      <c r="AE18" s="31"/>
    </row>
    <row r="19" spans="2:32" x14ac:dyDescent="0.2">
      <c r="B19" s="16" t="str">
        <f>+'COLOMB$ '!B19</f>
        <v>Locutor virtual</v>
      </c>
      <c r="C19" s="26">
        <f>+'COLOMB$ '!C19+'PROY SAT$'!C19</f>
        <v>43842</v>
      </c>
      <c r="D19" s="27">
        <f t="shared" si="0"/>
        <v>4.7510267774900035E-2</v>
      </c>
      <c r="E19" s="26">
        <f>+'COLOMB$ '!E19+'PROY SAT$'!E19</f>
        <v>52854.142999999996</v>
      </c>
      <c r="F19" s="27">
        <f t="shared" si="1"/>
        <v>5.8429636582970866E-2</v>
      </c>
      <c r="G19" s="27">
        <f t="shared" si="2"/>
        <v>1.2055595775740158</v>
      </c>
      <c r="H19" s="26">
        <f>+'COLOMB$ '!H19+'PROY SAT$'!H19</f>
        <v>34345.627999999997</v>
      </c>
      <c r="I19" s="27">
        <f t="shared" si="3"/>
        <v>4.1752934732706783E-2</v>
      </c>
      <c r="J19" s="28">
        <f t="shared" si="4"/>
        <v>0.53888998623056195</v>
      </c>
      <c r="K19" s="26">
        <f>+'COLOMB$ '!K19+'PROY SAT$'!K19</f>
        <v>432887</v>
      </c>
      <c r="L19" s="27">
        <f t="shared" si="5"/>
        <v>4.8548568419088223E-2</v>
      </c>
      <c r="M19" s="26">
        <f>+'COLOMB$ '!M19+'PROY SAT$'!M19</f>
        <v>525406.53</v>
      </c>
      <c r="N19" s="27">
        <f t="shared" si="6"/>
        <v>5.9802560797322088E-2</v>
      </c>
      <c r="O19" s="27">
        <f t="shared" si="7"/>
        <v>1.213726746240936</v>
      </c>
      <c r="P19" s="26">
        <f>+'COLOMB$ '!P19+'PROY SAT$'!P19</f>
        <v>338925.69300000003</v>
      </c>
      <c r="Q19" s="27">
        <f t="shared" si="8"/>
        <v>4.3456157973711489E-2</v>
      </c>
      <c r="R19" s="28">
        <f t="shared" si="9"/>
        <v>0.55021156805601035</v>
      </c>
      <c r="S19" s="21"/>
      <c r="T19" s="16" t="s">
        <v>23</v>
      </c>
      <c r="U19" s="26">
        <f>U11-U17</f>
        <v>320115</v>
      </c>
      <c r="V19" s="26">
        <f>V11-V17</f>
        <v>350929.40981999994</v>
      </c>
      <c r="W19" s="26">
        <f>W11-W17</f>
        <v>167684.80569000007</v>
      </c>
      <c r="X19" s="26">
        <f>X11-X17</f>
        <v>2386765</v>
      </c>
      <c r="Y19" s="26">
        <f>Y11-Y17</f>
        <v>2620966.7123199999</v>
      </c>
      <c r="Z19" s="29">
        <f>+Y19-X19</f>
        <v>234201.71231999993</v>
      </c>
      <c r="AA19" s="30">
        <f>IF(X19=0,"",(Y19-X19)/ABS(X19)+1)</f>
        <v>1.0981251662061409</v>
      </c>
      <c r="AB19" s="26">
        <f>AB11-AB17</f>
        <v>2296450.6133999983</v>
      </c>
      <c r="AC19" s="28">
        <f>IF(AB19=0,"",(Y19-AB19)/ABS(AB19))</f>
        <v>0.14131203041181059</v>
      </c>
      <c r="AE19" s="31"/>
    </row>
    <row r="20" spans="2:32" x14ac:dyDescent="0.2">
      <c r="B20" s="33" t="s">
        <v>24</v>
      </c>
      <c r="C20" s="34">
        <f>SUM(C10:C19)</f>
        <v>922790</v>
      </c>
      <c r="D20" s="35">
        <f t="shared" si="0"/>
        <v>1</v>
      </c>
      <c r="E20" s="34">
        <f>SUM(E10:E19)</f>
        <v>904577.64399999997</v>
      </c>
      <c r="F20" s="35">
        <f t="shared" si="1"/>
        <v>1</v>
      </c>
      <c r="G20" s="35">
        <f t="shared" si="2"/>
        <v>0.98026381300187471</v>
      </c>
      <c r="H20" s="34">
        <f>SUM(H10:H19)</f>
        <v>822591.95</v>
      </c>
      <c r="I20" s="35">
        <f>+H22/$H$22</f>
        <v>1</v>
      </c>
      <c r="J20" s="36">
        <f t="shared" si="4"/>
        <v>9.966751315764763E-2</v>
      </c>
      <c r="K20" s="34">
        <f>SUM(K10:K19)</f>
        <v>8916576</v>
      </c>
      <c r="L20" s="35">
        <f t="shared" si="5"/>
        <v>1</v>
      </c>
      <c r="M20" s="34">
        <f>SUM(M10:M19)</f>
        <v>8785686.1478000004</v>
      </c>
      <c r="N20" s="35">
        <f t="shared" si="6"/>
        <v>1</v>
      </c>
      <c r="O20" s="35">
        <f t="shared" si="7"/>
        <v>0.9853206149759729</v>
      </c>
      <c r="P20" s="34">
        <f>SUM(P10:P19)</f>
        <v>7799255.8202000009</v>
      </c>
      <c r="Q20" s="35">
        <f t="shared" si="8"/>
        <v>1</v>
      </c>
      <c r="R20" s="36">
        <f t="shared" si="9"/>
        <v>0.12647749353792884</v>
      </c>
      <c r="S20" s="21"/>
      <c r="T20" s="16"/>
      <c r="U20" s="26"/>
      <c r="V20" s="26"/>
      <c r="W20" s="26"/>
      <c r="X20" s="26"/>
      <c r="Y20" s="26"/>
      <c r="Z20" s="29"/>
      <c r="AA20" s="30"/>
      <c r="AB20" s="26"/>
      <c r="AC20" s="28" t="str">
        <f>IF(AB20=0,"",(Y20-AB20)/ABS(AB20))</f>
        <v/>
      </c>
      <c r="AE20" s="31"/>
    </row>
    <row r="21" spans="2:32" x14ac:dyDescent="0.2">
      <c r="J21" s="28"/>
      <c r="R21" s="28"/>
      <c r="S21" s="21"/>
      <c r="T21" s="16" t="s">
        <v>25</v>
      </c>
      <c r="U21" s="26">
        <f>+U10+U19</f>
        <v>340474</v>
      </c>
      <c r="V21" s="26">
        <f>+V10+V19</f>
        <v>422427.40981999994</v>
      </c>
      <c r="W21" s="26">
        <f>+'COLOMB$ '!W21</f>
        <v>1025412.8056900001</v>
      </c>
      <c r="X21" s="26">
        <f>+X10+X19</f>
        <v>2871157</v>
      </c>
      <c r="Y21" s="26">
        <f>+Y10+Y19</f>
        <v>3105358.7123199999</v>
      </c>
      <c r="Z21" s="29">
        <f>+Y21-X21</f>
        <v>234201.71231999993</v>
      </c>
      <c r="AA21" s="30">
        <f>IF(X21=0,"",(Y21-X21)/ABS(X21)+1)</f>
        <v>1.0815705000875953</v>
      </c>
      <c r="AB21" s="26">
        <f>+'COLOMB$ '!AB21</f>
        <v>2886834.6133999983</v>
      </c>
      <c r="AC21" s="28">
        <f>IF(AB21=0,"",(Y21-AB21)/ABS(AB21))</f>
        <v>7.569678495112428E-2</v>
      </c>
    </row>
    <row r="22" spans="2:32" x14ac:dyDescent="0.2">
      <c r="B22" s="16" t="s">
        <v>26</v>
      </c>
      <c r="C22" s="26">
        <f>+'COLOMB$ '!C22+'PROY SAT$'!C22</f>
        <v>86126</v>
      </c>
      <c r="D22" s="27">
        <f>+C22/$C$20</f>
        <v>9.3332177418480905E-2</v>
      </c>
      <c r="E22" s="26">
        <f>+'COLOMB$ '!E22+'PROY SAT$'!E22</f>
        <v>87107.421059999993</v>
      </c>
      <c r="F22" s="27">
        <f>+E22/$E$20</f>
        <v>9.6296234643623357E-2</v>
      </c>
      <c r="G22" s="27">
        <f>IF(C22=0,"",(E22-C22)/ABS(C22)+1)</f>
        <v>1.0113951775305947</v>
      </c>
      <c r="H22" s="26">
        <f>+'COLOMB$ '!H22+'PROY SAT$'!H22</f>
        <v>80669.58593999999</v>
      </c>
      <c r="I22" s="27">
        <f>+H22/$H$20</f>
        <v>9.8067560641700899E-2</v>
      </c>
      <c r="J22" s="28">
        <f>IF(H22=0,"",(E22-H22)/ABS(H22))</f>
        <v>7.9804985298775472E-2</v>
      </c>
      <c r="K22" s="26">
        <f>+'COLOMB$ '!K22+'PROY SAT$'!K22</f>
        <v>762370</v>
      </c>
      <c r="L22" s="27">
        <f>+K22/$K$20</f>
        <v>8.5500308638652323E-2</v>
      </c>
      <c r="M22" s="26">
        <f>+'COLOMB$ '!M22+'PROY SAT$'!M22</f>
        <v>791198.90737999999</v>
      </c>
      <c r="N22" s="27">
        <f>+M22/$M$20</f>
        <v>9.0055448609226943E-2</v>
      </c>
      <c r="O22" s="27">
        <f>IF(K22=0,"",(M22-K22)/ABS(K22)+1)</f>
        <v>1.0378148502433202</v>
      </c>
      <c r="P22" s="26">
        <f>+'COLOMB$ '!P22+'PROY SAT$'!P22</f>
        <v>476666.34918999998</v>
      </c>
      <c r="Q22" s="27">
        <f>+P22/$P$20</f>
        <v>6.1116901429933673E-2</v>
      </c>
      <c r="R22" s="28">
        <f>IF(P22=0,"",(M22-P22)/ABS(P22))</f>
        <v>0.65985895317444954</v>
      </c>
      <c r="S22" s="21"/>
      <c r="AC22" s="28"/>
      <c r="AE22" s="31"/>
    </row>
    <row r="23" spans="2:32" x14ac:dyDescent="0.2">
      <c r="J23" s="28"/>
      <c r="R23" s="28"/>
      <c r="S23" s="21"/>
      <c r="T23" s="16" t="s">
        <v>27</v>
      </c>
      <c r="U23" s="26">
        <f>+'COLOMB$ '!U23</f>
        <v>0</v>
      </c>
      <c r="V23" s="26">
        <f>+'COLOMB$ '!V23</f>
        <v>95093.876380000002</v>
      </c>
      <c r="W23" s="26">
        <f>+'COLOMB$ '!W23</f>
        <v>0</v>
      </c>
      <c r="X23" s="26">
        <f>+'COLOMB$ '!X23</f>
        <v>424785</v>
      </c>
      <c r="Y23" s="26">
        <f>+'COLOMB$ '!Y23</f>
        <v>810691.31287999998</v>
      </c>
      <c r="Z23" s="29">
        <f>+Y23-X23</f>
        <v>385906.31287999998</v>
      </c>
      <c r="AA23" s="30">
        <f>IF(X23=0,"",(Y23-X23)/ABS(X23)+1)</f>
        <v>1.9084744350200689</v>
      </c>
      <c r="AB23" s="26">
        <f>+'COLOMB$ '!AB23</f>
        <v>384691.76899999997</v>
      </c>
      <c r="AC23" s="28">
        <f>IF(AB23=0,"",(Y23-AB23)/ABS(AB23))</f>
        <v>1.1073788893050114</v>
      </c>
    </row>
    <row r="24" spans="2:32" x14ac:dyDescent="0.2">
      <c r="B24" s="37" t="s">
        <v>28</v>
      </c>
      <c r="C24" s="26">
        <f>+C20-C22</f>
        <v>836664</v>
      </c>
      <c r="D24" s="27">
        <f>+C24/$C$20</f>
        <v>0.90666782258151912</v>
      </c>
      <c r="E24" s="26">
        <f>+E20-E22</f>
        <v>817470.22294000001</v>
      </c>
      <c r="F24" s="27">
        <f>+E24/$E$20</f>
        <v>0.90370376535637664</v>
      </c>
      <c r="G24" s="27">
        <f>IF(C24=0,"",(E24-C24)/ABS(C24)+1)</f>
        <v>0.9770591574873545</v>
      </c>
      <c r="H24" s="26">
        <f>+H20-H22</f>
        <v>741922.36405999993</v>
      </c>
      <c r="I24" s="27">
        <f>+H24/$H$20</f>
        <v>0.90193243935829903</v>
      </c>
      <c r="J24" s="28">
        <f>IF(H24=0,"",(E24-H24)/ABS(H24))</f>
        <v>0.1018271756448771</v>
      </c>
      <c r="K24" s="26">
        <f>+K20-K22</f>
        <v>8154206</v>
      </c>
      <c r="L24" s="27">
        <f>+K24/$K$20</f>
        <v>0.91449969136134768</v>
      </c>
      <c r="M24" s="26">
        <f>+M20-M22</f>
        <v>7994487.2404200006</v>
      </c>
      <c r="N24" s="27">
        <f>+M24/$M$20</f>
        <v>0.90994455139077313</v>
      </c>
      <c r="O24" s="27">
        <f>IF(K24=0,"",(M24-K24)/ABS(K24)+1)</f>
        <v>0.98041271466774327</v>
      </c>
      <c r="P24" s="26">
        <f>+P20-P22</f>
        <v>7322589.4710100014</v>
      </c>
      <c r="Q24" s="27">
        <f>+P24/$P$20</f>
        <v>0.93888309857006635</v>
      </c>
      <c r="R24" s="28">
        <f>IF(P24=0,"",(M24-P24)/ABS(P24))</f>
        <v>9.1756853510637226E-2</v>
      </c>
      <c r="S24" s="21"/>
      <c r="AC24" s="28"/>
    </row>
    <row r="25" spans="2:32" x14ac:dyDescent="0.2">
      <c r="J25" s="28"/>
      <c r="R25" s="28"/>
      <c r="T25" s="16" t="s">
        <v>29</v>
      </c>
      <c r="U25" s="26">
        <f>+'COLOMB$ '!U25</f>
        <v>51504</v>
      </c>
      <c r="V25" s="26">
        <f>+'COLOMB$ '!V25</f>
        <v>47801.537149999996</v>
      </c>
      <c r="W25" s="26">
        <f>+'COLOMB$ '!W25</f>
        <v>56428.950920000003</v>
      </c>
      <c r="X25" s="26">
        <f>+'COLOMB$ '!X25</f>
        <v>1707887</v>
      </c>
      <c r="Y25" s="26">
        <f>+'COLOMB$ '!Y25</f>
        <v>1656850.3485000001</v>
      </c>
      <c r="Z25" s="29">
        <f>+Y25-X25</f>
        <v>-51036.65149999992</v>
      </c>
      <c r="AA25" s="30">
        <f>IF(X25=0,"",(Y25-X25)/ABS(X25)+1)</f>
        <v>0.97011707946720138</v>
      </c>
      <c r="AB25" s="26">
        <f>+'COLOMB$ '!AB25</f>
        <v>1476952.9512799999</v>
      </c>
      <c r="AC25" s="28">
        <f>IF(AB25=0,"",(Y25-AB25)/ABS(AB25))</f>
        <v>0.12180306560482665</v>
      </c>
    </row>
    <row r="26" spans="2:32" x14ac:dyDescent="0.2">
      <c r="B26" s="16" t="s">
        <v>30</v>
      </c>
      <c r="C26" s="26">
        <f>+'COLOMB$ '!C26+'PROY SAT$'!C26</f>
        <v>198061</v>
      </c>
      <c r="D26" s="27">
        <f>+C26/$C$20</f>
        <v>0.21463279836149068</v>
      </c>
      <c r="E26" s="26">
        <f>+'COLOMB$ '!E26+'PROY SAT$'!E26</f>
        <v>204830.93006000001</v>
      </c>
      <c r="F26" s="27">
        <f>+E26/$E$20</f>
        <v>0.22643819623293721</v>
      </c>
      <c r="G26" s="27">
        <f>IF(C26=0,"",(E26-C26)/ABS(C26)+1)</f>
        <v>1.034181035438577</v>
      </c>
      <c r="H26" s="26">
        <f>+'COLOMB$ '!H26+'PROY SAT$'!H26</f>
        <v>171651.51464000001</v>
      </c>
      <c r="I26" s="27">
        <f>+H26/$H$20</f>
        <v>0.20867152254529117</v>
      </c>
      <c r="J26" s="28">
        <f>IF(H26=0,"",(E26-H26)/ABS(H26))</f>
        <v>0.19329520913104833</v>
      </c>
      <c r="K26" s="26">
        <f>+'COLOMB$ '!K26+'PROY SAT$'!K26</f>
        <v>1982066</v>
      </c>
      <c r="L26" s="27">
        <f>+K26/$K$20</f>
        <v>0.22229003599588004</v>
      </c>
      <c r="M26" s="26">
        <f>+'COLOMB$ '!M26+'PROY SAT$'!M26</f>
        <v>1949722.3700299999</v>
      </c>
      <c r="N26" s="27">
        <f>+M26/$M$20</f>
        <v>0.22192033009490381</v>
      </c>
      <c r="O26" s="27">
        <f>IF(K26=0,"",(M26-K26)/ABS(K26)+1)</f>
        <v>0.98368186025591475</v>
      </c>
      <c r="P26" s="26">
        <f>+'COLOMB$ '!P26+'PROY SAT$'!P26</f>
        <v>1625186.80409</v>
      </c>
      <c r="Q26" s="27">
        <f>+P26/$P$20</f>
        <v>0.20837716335458328</v>
      </c>
      <c r="R26" s="28">
        <f>IF(P26=0,"",(M26-P26)/ABS(P26))</f>
        <v>0.19969123864608224</v>
      </c>
      <c r="S26" s="21"/>
      <c r="AC26" s="28"/>
    </row>
    <row r="27" spans="2:32" x14ac:dyDescent="0.2">
      <c r="B27" s="16" t="s">
        <v>31</v>
      </c>
      <c r="C27" s="26">
        <f>+'COLOMB$ '!C27+'PROY SAT$'!C27</f>
        <v>280018</v>
      </c>
      <c r="D27" s="27">
        <f>+C27/$C$20</f>
        <v>0.30344715482395779</v>
      </c>
      <c r="E27" s="26">
        <f>+'COLOMB$ '!E27+'PROY SAT$'!E27</f>
        <v>310138.17663999996</v>
      </c>
      <c r="F27" s="27">
        <f>+E27/$E$20</f>
        <v>0.34285412501306517</v>
      </c>
      <c r="G27" s="27">
        <f>IF(C27=0,"",(E27-C27)/ABS(C27)+1)</f>
        <v>1.1075651445264232</v>
      </c>
      <c r="H27" s="26">
        <f>+'COLOMB$ '!H27+'PROY SAT$'!H27</f>
        <v>301261.03382000001</v>
      </c>
      <c r="I27" s="27">
        <f>+H27/$H$20</f>
        <v>0.36623387065725604</v>
      </c>
      <c r="J27" s="28">
        <f>IF(H27=0,"",(E27-H27)/ABS(H27))</f>
        <v>2.9466614740836148E-2</v>
      </c>
      <c r="K27" s="26">
        <f>+'COLOMB$ '!K27+'PROY SAT$'!K27</f>
        <v>2827094</v>
      </c>
      <c r="L27" s="27">
        <f>+K27/$K$20</f>
        <v>0.31706049497026662</v>
      </c>
      <c r="M27" s="26">
        <f>+'COLOMB$ '!M27+'PROY SAT$'!M27</f>
        <v>2857779.3622300001</v>
      </c>
      <c r="N27" s="27">
        <f>+M27/$M$20</f>
        <v>0.32527674152639846</v>
      </c>
      <c r="O27" s="27">
        <f>IF(K27=0,"",(M27-K27)/ABS(K27)+1)</f>
        <v>1.0108540296962181</v>
      </c>
      <c r="P27" s="26">
        <f>+'COLOMB$ '!P27+'PROY SAT$'!P27</f>
        <v>2944162.8583400003</v>
      </c>
      <c r="Q27" s="27">
        <f>+P27/$P$20</f>
        <v>0.37749279241676437</v>
      </c>
      <c r="R27" s="28">
        <f>IF(P27=0,"",(M27-P27)/ABS(P27))</f>
        <v>-2.9340597061504121E-2</v>
      </c>
      <c r="S27" s="21"/>
      <c r="T27" s="16" t="s">
        <v>32</v>
      </c>
      <c r="U27" s="26">
        <f>+'COLOMB$ '!U27</f>
        <v>81080</v>
      </c>
      <c r="V27" s="26">
        <f>+'COLOMB$ '!V27</f>
        <v>40478.183140000001</v>
      </c>
      <c r="W27" s="26">
        <f>+'COLOMB$ '!W27</f>
        <v>83627.57703</v>
      </c>
      <c r="X27" s="26">
        <f>+'COLOMB$ '!X27</f>
        <v>65595</v>
      </c>
      <c r="Y27" s="26">
        <f>+'COLOMB$ '!Y27</f>
        <v>-25119.89948</v>
      </c>
      <c r="Z27" s="29">
        <f>+Y27-X27</f>
        <v>-90714.899479999993</v>
      </c>
      <c r="AA27" s="30">
        <f>IF(X27=0,"",(Y27-X27)/ABS(X27)+1)</f>
        <v>-0.38295448555530132</v>
      </c>
      <c r="AB27" s="26">
        <f>+'COLOMB$ '!AB27</f>
        <v>139832.73436</v>
      </c>
      <c r="AC27" s="28">
        <f>IF(AB27=0,"",(Y27-AB27)/ABS(AB27))</f>
        <v>-1.1796424821052895</v>
      </c>
    </row>
    <row r="28" spans="2:32" x14ac:dyDescent="0.2">
      <c r="B28" s="16" t="s">
        <v>33</v>
      </c>
      <c r="C28" s="26">
        <f>SUM(C26:C27)</f>
        <v>478079</v>
      </c>
      <c r="D28" s="27">
        <f>+C28/$C$20</f>
        <v>0.51807995318544853</v>
      </c>
      <c r="E28" s="26">
        <f>SUM(E26:E27)</f>
        <v>514969.1067</v>
      </c>
      <c r="F28" s="27">
        <f>+E28/$E$20</f>
        <v>0.56929232124600238</v>
      </c>
      <c r="G28" s="27">
        <f>IF(C28=0,"",(E28-C28)/ABS(C28)+1)</f>
        <v>1.0771632025251057</v>
      </c>
      <c r="H28" s="26">
        <f>SUM(H26:H27)</f>
        <v>472912.54846000002</v>
      </c>
      <c r="I28" s="27">
        <f>+H28/$H$20</f>
        <v>0.57490539320254719</v>
      </c>
      <c r="J28" s="28">
        <f>IF(H28=0,"",(E28-H28)/ABS(H28))</f>
        <v>8.8930941623252824E-2</v>
      </c>
      <c r="K28" s="26">
        <f>SUM(K26:K27)</f>
        <v>4809160</v>
      </c>
      <c r="L28" s="27">
        <f>+K28/$K$20</f>
        <v>0.5393505309661466</v>
      </c>
      <c r="M28" s="26">
        <f>SUM(M26:M27)</f>
        <v>4807501.73226</v>
      </c>
      <c r="N28" s="27">
        <f>+M28/$M$20</f>
        <v>0.54719707162130227</v>
      </c>
      <c r="O28" s="27">
        <f>IF(K28=0,"",(M28-K28)/ABS(K28)+1)</f>
        <v>0.99965518557502764</v>
      </c>
      <c r="P28" s="26">
        <f>SUM(P26:P27)</f>
        <v>4569349.6624300005</v>
      </c>
      <c r="Q28" s="27">
        <f>+P28/$P$20</f>
        <v>0.58586995577134771</v>
      </c>
      <c r="R28" s="28">
        <f>IF(P28=0,"",(M28-P28)/ABS(P28))</f>
        <v>5.2119467194232875E-2</v>
      </c>
      <c r="S28" s="21"/>
      <c r="T28" s="16" t="s">
        <v>34</v>
      </c>
      <c r="U28" s="26">
        <f>+'COLOMB$ '!U28</f>
        <v>77500</v>
      </c>
      <c r="V28" s="26">
        <f>+'COLOMB$ '!V28</f>
        <v>60688.877</v>
      </c>
      <c r="W28" s="26">
        <f>+'COLOMB$ '!W28</f>
        <v>0</v>
      </c>
      <c r="X28" s="26">
        <f>+'COLOMB$ '!X28</f>
        <v>542500</v>
      </c>
      <c r="Y28" s="26">
        <f>+'COLOMB$ '!Y28</f>
        <v>484571.64</v>
      </c>
      <c r="Z28" s="29">
        <f>+Y28-X28</f>
        <v>-57928.359999999986</v>
      </c>
      <c r="AA28" s="30">
        <f>IF(X28=0,"",(Y28-X28)/ABS(X28)+1)</f>
        <v>0.89321961290322582</v>
      </c>
      <c r="AB28" s="26">
        <f>+'COLOMB$ '!AB28</f>
        <v>0</v>
      </c>
      <c r="AC28" s="28" t="str">
        <f>IF(AB28=0,"",(Y28-AB28)/ABS(AB28))</f>
        <v/>
      </c>
    </row>
    <row r="29" spans="2:32" x14ac:dyDescent="0.2">
      <c r="J29" s="28"/>
      <c r="R29" s="28"/>
      <c r="S29" s="21"/>
      <c r="AC29" s="2"/>
    </row>
    <row r="30" spans="2:32" x14ac:dyDescent="0.2">
      <c r="B30" s="16" t="s">
        <v>35</v>
      </c>
      <c r="C30" s="26">
        <f>+'COLOMB$ '!C30+'PROY SAT$'!C30</f>
        <v>60448</v>
      </c>
      <c r="D30" s="27">
        <f>+C30/$C$20</f>
        <v>6.5505694686765134E-2</v>
      </c>
      <c r="E30" s="26">
        <f>+'COLOMB$ '!E30+'PROY SAT$'!E30</f>
        <v>56461.033260000004</v>
      </c>
      <c r="F30" s="27">
        <f>+E30/$E$20</f>
        <v>6.2417011557274353E-2</v>
      </c>
      <c r="G30" s="27">
        <f>IF(C30=0,"",(E30-C30)/ABS(C30)+1)</f>
        <v>0.93404303302011649</v>
      </c>
      <c r="H30" s="26">
        <f>+'COLOMB$ '!H30+'PROY SAT$'!H30</f>
        <v>41376.214970000001</v>
      </c>
      <c r="I30" s="27">
        <f>+H30/$H$20</f>
        <v>5.0299805353067217E-2</v>
      </c>
      <c r="J30" s="28">
        <f>IF(H30=0,"",(E30-H30)/ABS(H30))</f>
        <v>0.36457704748820824</v>
      </c>
      <c r="K30" s="26">
        <f>+'COLOMB$ '!K30+'PROY SAT$'!K30</f>
        <v>537970</v>
      </c>
      <c r="L30" s="27">
        <f>+K30/$K$20</f>
        <v>6.033369759871951E-2</v>
      </c>
      <c r="M30" s="26">
        <f>+'COLOMB$ '!M30+'PROY SAT$'!M30</f>
        <v>507905.82883000001</v>
      </c>
      <c r="N30" s="27">
        <f>+M30/$M$20</f>
        <v>5.7810604691038651E-2</v>
      </c>
      <c r="O30" s="27">
        <f>IF(K30=0,"",(M30-K30)/ABS(K30)+1)</f>
        <v>0.94411552471327398</v>
      </c>
      <c r="P30" s="26">
        <f>+'COLOMB$ '!P30+'PROY SAT$'!P30</f>
        <v>405917.91566</v>
      </c>
      <c r="Q30" s="27">
        <f>+P30/$P$20</f>
        <v>5.204572397903353E-2</v>
      </c>
      <c r="R30" s="28">
        <f>IF(P30=0,"",(M30-P30)/ABS(P30))</f>
        <v>0.25125255435984717</v>
      </c>
      <c r="S30" s="21"/>
      <c r="T30" s="33" t="s">
        <v>36</v>
      </c>
      <c r="U30" s="34">
        <f>U21-U23-U25-U27-U28</f>
        <v>130390</v>
      </c>
      <c r="V30" s="34">
        <f>V21-V23-V25-V27-V28</f>
        <v>178364.93614999991</v>
      </c>
      <c r="W30" s="34">
        <f>W21-W23-W25-W27-W28</f>
        <v>885356.27774000005</v>
      </c>
      <c r="X30" s="34">
        <f>X21-X23-X25-X27-X28</f>
        <v>130390</v>
      </c>
      <c r="Y30" s="34">
        <f>Y21-Y23-Y25-Y27-Y28</f>
        <v>178365.31041999976</v>
      </c>
      <c r="Z30" s="38">
        <f>+Y30-X30</f>
        <v>47975.310419999762</v>
      </c>
      <c r="AA30" s="39">
        <f>IF(U30=0,"",(V30-U30)/ABS(U30)+1)</f>
        <v>1.3679341678809718</v>
      </c>
      <c r="AB30" s="34">
        <f>AB21-AB23-AB25-AB27-AB28</f>
        <v>885357.15875999851</v>
      </c>
      <c r="AC30" s="28">
        <f>IF(AB30=0,"",(Y30-AB30)/ABS(AB30))</f>
        <v>-0.79853857998978373</v>
      </c>
    </row>
    <row r="31" spans="2:32" x14ac:dyDescent="0.2">
      <c r="B31" s="16" t="s">
        <v>37</v>
      </c>
      <c r="C31" s="26">
        <f>+'COLOMB$ '!C31+'PROY SAT$'!C31</f>
        <v>159631</v>
      </c>
      <c r="D31" s="27">
        <f>+C31/$C$20</f>
        <v>0.17298735356906772</v>
      </c>
      <c r="E31" s="26">
        <f>+'COLOMB$ '!E31+'PROY SAT$'!E31</f>
        <v>181834.88284000001</v>
      </c>
      <c r="F31" s="27">
        <f>+E31/$E$20</f>
        <v>0.20101633513286341</v>
      </c>
      <c r="G31" s="27">
        <f>IF(C31=0,"",(E31-C31)/ABS(C31)+1)</f>
        <v>1.1390950557222594</v>
      </c>
      <c r="H31" s="26">
        <f>+'COLOMB$ '!H31+'PROY SAT$'!H31</f>
        <v>151312.48852000001</v>
      </c>
      <c r="I31" s="27">
        <f>+H31/$H$20</f>
        <v>0.18394598746073315</v>
      </c>
      <c r="J31" s="28">
        <f>IF(H31=0,"",(E31-H31)/ABS(H31))</f>
        <v>0.20171761510594438</v>
      </c>
      <c r="K31" s="26">
        <f>+'COLOMB$ '!K31+'PROY SAT$'!K31</f>
        <v>1732606</v>
      </c>
      <c r="L31" s="27">
        <f>+K31/$K$20</f>
        <v>0.19431292908847522</v>
      </c>
      <c r="M31" s="26">
        <f>+'COLOMB$ '!M31+'PROY SAT$'!M31</f>
        <v>1703864.0978099999</v>
      </c>
      <c r="N31" s="27">
        <f>+M31/$M$20</f>
        <v>0.19393637208821304</v>
      </c>
      <c r="O31" s="27">
        <f>IF(K31=0,"",(M31-K31)/ABS(K31)+1)</f>
        <v>0.9834111724246597</v>
      </c>
      <c r="P31" s="26">
        <f>+'COLOMB$ '!P31+'PROY SAT$'!P31</f>
        <v>1514843.67781</v>
      </c>
      <c r="Q31" s="27">
        <f>+P31/$P$20</f>
        <v>0.19422925888474754</v>
      </c>
      <c r="R31" s="28">
        <f>IF(P31=0,"",(M31-P31)/ABS(P31))</f>
        <v>0.12477882884474625</v>
      </c>
      <c r="S31" s="21"/>
    </row>
    <row r="32" spans="2:32" x14ac:dyDescent="0.2">
      <c r="B32" s="16" t="s">
        <v>38</v>
      </c>
      <c r="C32" s="26">
        <f>SUM(C30:C31)</f>
        <v>220079</v>
      </c>
      <c r="D32" s="27">
        <f>+C32/$C$20</f>
        <v>0.23849304825583287</v>
      </c>
      <c r="E32" s="26">
        <f>SUM(E30:E31)</f>
        <v>238295.9161</v>
      </c>
      <c r="F32" s="27">
        <f>+E32/$E$20</f>
        <v>0.26343334669013774</v>
      </c>
      <c r="G32" s="27">
        <f>IF(C32=0,"",(E32-C32)/ABS(C32)+1)</f>
        <v>1.0827744405418054</v>
      </c>
      <c r="H32" s="26">
        <f>SUM(H30:H31)</f>
        <v>192688.70349000001</v>
      </c>
      <c r="I32" s="27">
        <f>+H32/$H$20</f>
        <v>0.23424579281380037</v>
      </c>
      <c r="J32" s="28">
        <f>IF(H32=0,"",(E32-H32)/ABS(H32))</f>
        <v>0.23668856442519409</v>
      </c>
      <c r="K32" s="26">
        <f>SUM(K30:K31)</f>
        <v>2270576</v>
      </c>
      <c r="L32" s="27">
        <f>+K32/$K$20</f>
        <v>0.25464662668719473</v>
      </c>
      <c r="M32" s="26">
        <f>SUM(M30:M31)</f>
        <v>2211769.9266400002</v>
      </c>
      <c r="N32" s="27">
        <f>+M32/$M$20</f>
        <v>0.25174697677925173</v>
      </c>
      <c r="O32" s="27">
        <f>IF(K32=0,"",(M32-K32)/ABS(K32)+1)</f>
        <v>0.97410081258676218</v>
      </c>
      <c r="P32" s="26">
        <f t="shared" ref="P32" si="10">SUM(P30:P31)</f>
        <v>1920761.59347</v>
      </c>
      <c r="Q32" s="27">
        <f>+P32/$P$20</f>
        <v>0.24627498286378108</v>
      </c>
      <c r="R32" s="28">
        <f>IF(P32=0,"",(M32-P32)/ABS(P32))</f>
        <v>0.15150674303325268</v>
      </c>
      <c r="S32" s="21"/>
    </row>
    <row r="33" spans="2:20" x14ac:dyDescent="0.2">
      <c r="J33" s="28"/>
      <c r="R33" s="28"/>
      <c r="S33" s="21"/>
    </row>
    <row r="34" spans="2:20" x14ac:dyDescent="0.2">
      <c r="B34" s="16" t="s">
        <v>39</v>
      </c>
      <c r="C34" s="26">
        <f>C28+C32</f>
        <v>698158</v>
      </c>
      <c r="D34" s="27">
        <f>+C34/$C$20</f>
        <v>0.75657300144128137</v>
      </c>
      <c r="E34" s="26">
        <f>E28+E32</f>
        <v>753265.02280000004</v>
      </c>
      <c r="F34" s="27">
        <f>+E34/$E$20</f>
        <v>0.83272566793614022</v>
      </c>
      <c r="G34" s="27">
        <f>IF(C34=0,"",(E34-C34)/ABS(C34)+1)</f>
        <v>1.0789320222643013</v>
      </c>
      <c r="H34" s="26">
        <f>H28+H32</f>
        <v>665601.25195000006</v>
      </c>
      <c r="I34" s="27">
        <f>+H34/$H$20</f>
        <v>0.80915118601634761</v>
      </c>
      <c r="J34" s="28">
        <f>IF(H34=0,"",(E34-H34)/ABS(H34))</f>
        <v>0.13170613876276974</v>
      </c>
      <c r="K34" s="26">
        <f>K28+K32</f>
        <v>7079736</v>
      </c>
      <c r="L34" s="27">
        <f>+K34/$K$20</f>
        <v>0.79399715765334133</v>
      </c>
      <c r="M34" s="26">
        <f>M28+M32</f>
        <v>7019271.6589000002</v>
      </c>
      <c r="N34" s="27">
        <f>+M34/$M$20</f>
        <v>0.798944048400554</v>
      </c>
      <c r="O34" s="27">
        <f>IF(K34=0,"",(M34-K34)/ABS(K34)+1)</f>
        <v>0.99145952036912111</v>
      </c>
      <c r="P34" s="26">
        <f>P28+P32</f>
        <v>6490111.2559000002</v>
      </c>
      <c r="Q34" s="27">
        <f>+P34/$P$20</f>
        <v>0.83214493863512873</v>
      </c>
      <c r="R34" s="28">
        <f>IF(P34=0,"",(M34-P34)/ABS(P34))</f>
        <v>8.1533333117972867E-2</v>
      </c>
      <c r="S34" s="21"/>
    </row>
    <row r="35" spans="2:20" x14ac:dyDescent="0.2">
      <c r="J35" s="28"/>
      <c r="R35" s="28"/>
      <c r="S35" s="21"/>
    </row>
    <row r="36" spans="2:20" x14ac:dyDescent="0.2">
      <c r="B36" s="33" t="s">
        <v>40</v>
      </c>
      <c r="C36" s="34">
        <f>C24-C34</f>
        <v>138506</v>
      </c>
      <c r="D36" s="35">
        <f>+C36/$C$20</f>
        <v>0.15009482114023776</v>
      </c>
      <c r="E36" s="34">
        <f>E24-E34</f>
        <v>64205.200139999972</v>
      </c>
      <c r="F36" s="35">
        <f>+E36/$E$20</f>
        <v>7.0978097420236461E-2</v>
      </c>
      <c r="G36" s="35">
        <f>IF(C36=0,"",(E36-C36)/ABS(C36)+1)</f>
        <v>0.46355537045326534</v>
      </c>
      <c r="H36" s="34">
        <f>H24-H34</f>
        <v>76321.112109999871</v>
      </c>
      <c r="I36" s="35">
        <f>+H36/$H$20</f>
        <v>9.2781253341951475E-2</v>
      </c>
      <c r="J36" s="36">
        <f>IF(H36=0,"",(E36-H36)/ABS(H36))</f>
        <v>-0.15874915387157243</v>
      </c>
      <c r="K36" s="34">
        <f>K24-K34</f>
        <v>1074470</v>
      </c>
      <c r="L36" s="35">
        <f>+K36/$K$20</f>
        <v>0.1205025337080063</v>
      </c>
      <c r="M36" s="34">
        <f>+M24-M34</f>
        <v>975215.58152000047</v>
      </c>
      <c r="N36" s="35">
        <f>+M36/$M$20</f>
        <v>0.1110005029902191</v>
      </c>
      <c r="O36" s="35">
        <f>IF(K36=0,"",(M36-K36)/ABS(K36)+1)</f>
        <v>0.90762476525170599</v>
      </c>
      <c r="P36" s="34">
        <f>P24-P34</f>
        <v>832478.21511000115</v>
      </c>
      <c r="Q36" s="35">
        <f>+P36/$P$20</f>
        <v>0.10673815993493767</v>
      </c>
      <c r="R36" s="36">
        <f>IF(P36=0,"",(M36-P36)/ABS(P36))</f>
        <v>0.17146078277992949</v>
      </c>
      <c r="S36" s="21"/>
    </row>
    <row r="37" spans="2:20" x14ac:dyDescent="0.2">
      <c r="J37" s="28"/>
      <c r="R37" s="28"/>
      <c r="S37" s="21"/>
    </row>
    <row r="38" spans="2:20" x14ac:dyDescent="0.2">
      <c r="B38" s="16" t="s">
        <v>41</v>
      </c>
      <c r="C38" s="26">
        <f>+'COLOMB$ '!C38+'PROY SAT$'!C38</f>
        <v>640</v>
      </c>
      <c r="D38" s="27">
        <f>+C38/$C$20</f>
        <v>6.9354891145331006E-4</v>
      </c>
      <c r="E38" s="26">
        <f>+'COLOMB$ '!E38+'PROY SAT$'!E38</f>
        <v>7000.2719000000006</v>
      </c>
      <c r="F38" s="27">
        <f>+E38/$E$20</f>
        <v>7.7387186676923896E-3</v>
      </c>
      <c r="G38" s="27">
        <f>IF(C38=0,"",(E38-C38)/ABS(C38)+1)</f>
        <v>10.93792484375</v>
      </c>
      <c r="H38" s="26">
        <f>+'COLOMB$ '!H38+'PROY SAT$'!H38</f>
        <v>10044.670269999999</v>
      </c>
      <c r="I38" s="27">
        <f>+H38/$H$20</f>
        <v>1.2210999961767192E-2</v>
      </c>
      <c r="J38" s="28">
        <f>IF(H38=0,"",(E38-H38)/ABS(H38))</f>
        <v>-0.30308594390525456</v>
      </c>
      <c r="K38" s="26">
        <f>+'COLOMB$ '!K38+'PROY SAT$'!K38</f>
        <v>6400</v>
      </c>
      <c r="L38" s="27">
        <f>+K38/$K$20</f>
        <v>7.1776430773426935E-4</v>
      </c>
      <c r="M38" s="26">
        <f>+'COLOMB$ '!M38+'PROY SAT$'!M38</f>
        <v>24037.310359999999</v>
      </c>
      <c r="N38" s="27">
        <f>+M38/$M$20</f>
        <v>2.7359627871545488E-3</v>
      </c>
      <c r="O38" s="27">
        <f>IF(K38=0,"",(M38-K38)/ABS(K38)+1)</f>
        <v>3.7558297437500001</v>
      </c>
      <c r="P38" s="26">
        <f>+'COLOMB$ '!P38+'PROY SAT$'!P38</f>
        <v>213082.39149000001</v>
      </c>
      <c r="Q38" s="27">
        <f>+P38/$P$20</f>
        <v>2.7320861938919683E-2</v>
      </c>
      <c r="R38" s="28">
        <f>IF(P38=0,"",(M38-P38)/ABS(P38))</f>
        <v>-0.88719241326363618</v>
      </c>
      <c r="S38" s="21"/>
    </row>
    <row r="39" spans="2:20" x14ac:dyDescent="0.2">
      <c r="B39" s="16" t="s">
        <v>42</v>
      </c>
      <c r="C39" s="26">
        <f>+'COLOMB$ '!C39+'PROY SAT$'!C39</f>
        <v>14346</v>
      </c>
      <c r="D39" s="27">
        <f>+C39/$C$20</f>
        <v>1.5546332318295603E-2</v>
      </c>
      <c r="E39" s="26">
        <f>+'COLOMB$ '!E39+'PROY SAT$'!E39</f>
        <v>21985.835010000003</v>
      </c>
      <c r="F39" s="27">
        <f>+E39/$E$20</f>
        <v>2.4305083323505179E-2</v>
      </c>
      <c r="G39" s="27">
        <f>IF(C39=0,"",(E39-C39)/ABS(C39)+1)</f>
        <v>1.5325411271434548</v>
      </c>
      <c r="H39" s="26">
        <f>+'COLOMB$ '!H39+'PROY SAT$'!H39</f>
        <v>25951.922450000002</v>
      </c>
      <c r="I39" s="27">
        <f>+H39/$H$20</f>
        <v>3.1548962337888189E-2</v>
      </c>
      <c r="J39" s="28">
        <f>IF(H39=0,"",(E39-H39)/ABS(H39))</f>
        <v>-0.15282441783036382</v>
      </c>
      <c r="K39" s="26">
        <f>+'COLOMB$ '!K39+'PROY SAT$'!K39</f>
        <v>149888</v>
      </c>
      <c r="L39" s="27">
        <f>+K39/$K$20</f>
        <v>1.6810040087136588E-2</v>
      </c>
      <c r="M39" s="26">
        <f>+'COLOMB$ '!M39+'PROY SAT$'!M39</f>
        <v>191495.26314</v>
      </c>
      <c r="N39" s="27">
        <f>+M39/$M$20</f>
        <v>2.1796278619394094E-2</v>
      </c>
      <c r="O39" s="27">
        <f>IF(K39=0,"",(M39-K39)/ABS(K39)+1)</f>
        <v>1.2775890207354825</v>
      </c>
      <c r="P39" s="26">
        <f>+'COLOMB$ '!P39+'PROY SAT$'!P39</f>
        <v>268757.96529000002</v>
      </c>
      <c r="Q39" s="27">
        <f>+P39/$P$20</f>
        <v>3.4459437090641309E-2</v>
      </c>
      <c r="R39" s="28">
        <f>IF(P39=0,"",(M39-P39)/ABS(P39))</f>
        <v>-0.28748060384603169</v>
      </c>
      <c r="S39" s="21"/>
    </row>
    <row r="40" spans="2:20" x14ac:dyDescent="0.2">
      <c r="J40" s="28"/>
      <c r="R40" s="28"/>
    </row>
    <row r="41" spans="2:20" x14ac:dyDescent="0.2">
      <c r="B41" s="16" t="s">
        <v>43</v>
      </c>
      <c r="C41" s="26">
        <f>C36+C38-C39</f>
        <v>124800</v>
      </c>
      <c r="D41" s="27">
        <f>+C41/$C$20</f>
        <v>0.13524203773339546</v>
      </c>
      <c r="E41" s="26">
        <f>E36+E38-E39</f>
        <v>49219.637029999976</v>
      </c>
      <c r="F41" s="27">
        <f>+E41/$E$20</f>
        <v>5.4411732764423681E-2</v>
      </c>
      <c r="G41" s="27">
        <f>IF(C41=0,"",(E41-C41)/ABS(C41)+1)</f>
        <v>0.39438811722756395</v>
      </c>
      <c r="H41" s="26">
        <f>H36+H38-H39</f>
        <v>60413.859929999875</v>
      </c>
      <c r="I41" s="27">
        <f>+H41/$H$20</f>
        <v>7.3443290965830479E-2</v>
      </c>
      <c r="J41" s="28">
        <f>IF(H41=0,"",(E41-H41)/ABS(H41))</f>
        <v>-0.18529229737961425</v>
      </c>
      <c r="K41" s="26">
        <f>K36+K38-K39</f>
        <v>930982</v>
      </c>
      <c r="L41" s="27">
        <f>+K41/$K$20</f>
        <v>0.10441025792860398</v>
      </c>
      <c r="M41" s="26">
        <f>M36+M38-M39</f>
        <v>807757.62874000054</v>
      </c>
      <c r="N41" s="27">
        <f>+M41/$M$20</f>
        <v>9.1940187157979567E-2</v>
      </c>
      <c r="O41" s="27">
        <f>IF(K41=0,"",(M41-K41)/ABS(K41)+1)</f>
        <v>0.86764043637793264</v>
      </c>
      <c r="P41" s="26">
        <f>P36+P38-P39</f>
        <v>776802.64131000126</v>
      </c>
      <c r="Q41" s="27">
        <f>+P41/$P$20</f>
        <v>9.9599584783216052E-2</v>
      </c>
      <c r="R41" s="28">
        <f>IF(P41=0,"",(M41-P41)/ABS(P41))</f>
        <v>3.9849230401426981E-2</v>
      </c>
    </row>
    <row r="42" spans="2:20" x14ac:dyDescent="0.2">
      <c r="B42" s="16" t="s">
        <v>29</v>
      </c>
      <c r="C42" s="26">
        <f>+'COLOMB$ '!C42+'PROY SAT$'!C42</f>
        <v>44930</v>
      </c>
      <c r="D42" s="27">
        <f>+C42/$C$20</f>
        <v>4.8689300924370661E-2</v>
      </c>
      <c r="E42" s="26">
        <f>+'COLOMB$ '!E42+'PROY SAT$'!E42</f>
        <v>20557.055</v>
      </c>
      <c r="F42" s="27">
        <f>+E42/$E$20</f>
        <v>2.2725583742151383E-2</v>
      </c>
      <c r="G42" s="27">
        <f>IF(C42=0,"",(E42-C42)/ABS(C42)+1)</f>
        <v>0.45753516581348763</v>
      </c>
      <c r="H42" s="26">
        <f>+'COLOMB$ '!H42+'PROY SAT$'!H42</f>
        <v>16426.134999999998</v>
      </c>
      <c r="I42" s="27">
        <f>+H42/$H$20</f>
        <v>1.996875242943965E-2</v>
      </c>
      <c r="J42" s="28">
        <f>IF(H42=0,"",(E42-H42)/ABS(H42))</f>
        <v>0.2514846006075076</v>
      </c>
      <c r="K42" s="26">
        <f>+'COLOMB$ '!K42+'PROY SAT$'!K42</f>
        <v>335160</v>
      </c>
      <c r="L42" s="27">
        <f>+K42/$K$20</f>
        <v>3.7588419590659013E-2</v>
      </c>
      <c r="M42" s="26">
        <f>+'COLOMB$ '!M42+'PROY SAT$'!M42</f>
        <v>299890.45199999999</v>
      </c>
      <c r="N42" s="27">
        <f>+M42/$M$20</f>
        <v>3.4133981905908939E-2</v>
      </c>
      <c r="O42" s="27">
        <f>IF(K42=0,"",(M42-K42)/ABS(K42)+1)</f>
        <v>0.89476802721088433</v>
      </c>
      <c r="P42" s="26">
        <f>+'COLOMB$ '!P42+'PROY SAT$'!P42</f>
        <v>277929.185</v>
      </c>
      <c r="Q42" s="27">
        <f>+P42/$P$20</f>
        <v>3.56353466801494E-2</v>
      </c>
      <c r="R42" s="28">
        <f>IF(P42=0,"",(M42-P42)/ABS(P42))</f>
        <v>7.9017491452004193E-2</v>
      </c>
    </row>
    <row r="43" spans="2:20" x14ac:dyDescent="0.2">
      <c r="B43" s="33" t="s">
        <v>44</v>
      </c>
      <c r="C43" s="34">
        <f>C41-C42</f>
        <v>79870</v>
      </c>
      <c r="D43" s="35">
        <f>+C43/$C$20</f>
        <v>8.6552736809024811E-2</v>
      </c>
      <c r="E43" s="34">
        <f>E41-E42</f>
        <v>28662.582029999976</v>
      </c>
      <c r="F43" s="35">
        <f>+E43/$E$20</f>
        <v>3.1686149022272299E-2</v>
      </c>
      <c r="G43" s="35">
        <f>IF(C43=0,"",(E43-C43)/ABS(C43)+1)</f>
        <v>0.35886543170151464</v>
      </c>
      <c r="H43" s="34">
        <f>H41-H42</f>
        <v>43987.72492999988</v>
      </c>
      <c r="I43" s="35">
        <f>+H43/$H$20</f>
        <v>5.3474538536390837E-2</v>
      </c>
      <c r="J43" s="36">
        <f>IF(H43=0,"",(E43-H43)/ABS(H43))</f>
        <v>-0.34839589736426829</v>
      </c>
      <c r="K43" s="34">
        <f>+K41-K42</f>
        <v>595822</v>
      </c>
      <c r="L43" s="35">
        <f>+K43/$K$20</f>
        <v>6.6821838337944972E-2</v>
      </c>
      <c r="M43" s="34">
        <f>+M41-M42</f>
        <v>507867.17674000055</v>
      </c>
      <c r="N43" s="35">
        <f>+M43/$M$20</f>
        <v>5.7806205252070628E-2</v>
      </c>
      <c r="O43" s="35">
        <f>IF(K43=0,"",(M43-K43)/ABS(K43)+1)</f>
        <v>0.8523807055462882</v>
      </c>
      <c r="P43" s="34">
        <f>+P41-P42</f>
        <v>498873.45631000126</v>
      </c>
      <c r="Q43" s="35">
        <f>+P43/$P$20</f>
        <v>6.3964238103066659E-2</v>
      </c>
      <c r="R43" s="36">
        <f>IF(P43=0,"",(M43-P43)/ABS(P43))</f>
        <v>1.8028059653690146E-2</v>
      </c>
      <c r="T43" s="31"/>
    </row>
    <row r="44" spans="2:20" x14ac:dyDescent="0.2">
      <c r="J44" s="28"/>
      <c r="R44" s="28"/>
    </row>
    <row r="45" spans="2:20" x14ac:dyDescent="0.2">
      <c r="B45" s="16" t="s">
        <v>45</v>
      </c>
      <c r="C45" s="26">
        <f>+'COLOMB$ '!C45+'PROY SAT$'!C45</f>
        <v>179681</v>
      </c>
      <c r="D45" s="27">
        <f>+C45/$C$20</f>
        <v>0.19471494056069094</v>
      </c>
      <c r="E45" s="26">
        <f>+'COLOMB$ '!E45+'PROY SAT$'!E45</f>
        <v>105527.92346000002</v>
      </c>
      <c r="F45" s="27">
        <f>+E45/$E$20</f>
        <v>0.11665988448858905</v>
      </c>
      <c r="G45" s="27">
        <f>IF(C45=0,"",(E45-C45)/ABS(C45)+1)</f>
        <v>0.58730708010307164</v>
      </c>
      <c r="H45" s="26">
        <f>+'COLOMB$ '!H45+'PROY SAT$'!H45</f>
        <v>76282.089549999801</v>
      </c>
      <c r="I45" s="27">
        <f>+H45/$H$20</f>
        <v>9.2733814803317494E-2</v>
      </c>
      <c r="J45" s="28">
        <f>IF(H45=0,"",(E45-H45)/ABS(H45))</f>
        <v>0.38339057152899264</v>
      </c>
      <c r="K45" s="26">
        <f>+'COLOMB$ '!K45+'PROY SAT$'!K45</f>
        <v>1487081</v>
      </c>
      <c r="L45" s="27">
        <f>+K45/$K$20</f>
        <v>0.16677713507965389</v>
      </c>
      <c r="M45" s="26">
        <f>+'COLOMB$ '!M45+'PROY SAT$'!M45</f>
        <v>1399930.5223500009</v>
      </c>
      <c r="N45" s="27">
        <f>+M45/$M$20</f>
        <v>0.15934219579429817</v>
      </c>
      <c r="O45" s="27">
        <f>IF(K45=0,"",(M45-K45)/ABS(K45)+1)</f>
        <v>0.94139493568272403</v>
      </c>
      <c r="P45" s="26">
        <f>+'COLOMB$ '!P45+'PROY SAT$'!P45</f>
        <v>1192496.6609799997</v>
      </c>
      <c r="Q45" s="27">
        <f>+P45/$P$20</f>
        <v>0.15289877502048904</v>
      </c>
      <c r="R45" s="28">
        <f>IF(P45=0,"",(M45-P45)/ABS(P45))</f>
        <v>0.17394921776932359</v>
      </c>
    </row>
    <row r="46" spans="2:20" x14ac:dyDescent="0.2">
      <c r="B46" s="16" t="s">
        <v>20</v>
      </c>
      <c r="C46" s="26">
        <f>+'COLOMB$ '!C46+'PROY SAT$'!C46</f>
        <v>369971</v>
      </c>
      <c r="D46" s="27">
        <f>+C46/$C$20</f>
        <v>0.40092653799889466</v>
      </c>
      <c r="E46" s="26">
        <f>+'COLOMB$ '!E46+'PROY SAT$'!E46</f>
        <v>363758.83</v>
      </c>
      <c r="F46" s="27">
        <f>+E46/$E$20</f>
        <v>0.40213112982924881</v>
      </c>
      <c r="G46" s="27">
        <f>IF(C46=0,"",(E46-C46)/ABS(C46)+1)</f>
        <v>0.98320903530276704</v>
      </c>
      <c r="H46" s="26">
        <f>+'COLOMB$ '!H46+'PROY SAT$'!H46</f>
        <v>311008.18300000002</v>
      </c>
      <c r="I46" s="27">
        <f>+H46/$H$20</f>
        <v>0.37808318328425172</v>
      </c>
      <c r="J46" s="28">
        <f>IF(H46=0,"",(E46-H46)/ABS(H46))</f>
        <v>0.16961176548849841</v>
      </c>
      <c r="K46" s="26">
        <f>+'COLOMB$ '!K46+'PROY SAT$'!K46</f>
        <v>3648751</v>
      </c>
      <c r="L46" s="27">
        <f>+K46/$K$20</f>
        <v>0.40920988056401919</v>
      </c>
      <c r="M46" s="26">
        <f>+'COLOMB$ '!M46+'PROY SAT$'!M46</f>
        <v>3507519.9210000001</v>
      </c>
      <c r="N46" s="27">
        <f>+M46/$M$20</f>
        <v>0.39923118832082438</v>
      </c>
      <c r="O46" s="27">
        <f>IF(K46=0,"",(M46-K46)/ABS(K46)+1)</f>
        <v>0.96129330858696582</v>
      </c>
      <c r="P46" s="26">
        <f>+'COLOMB$ '!P46+'PROY SAT$'!P46</f>
        <v>3173979.8739999998</v>
      </c>
      <c r="Q46" s="27">
        <f>+P46/$P$20</f>
        <v>0.40695932370616966</v>
      </c>
      <c r="R46" s="28">
        <f>IF(P46=0,"",(M46-P46)/ABS(P46))</f>
        <v>0.10508574730804997</v>
      </c>
    </row>
    <row r="47" spans="2:20" x14ac:dyDescent="0.2">
      <c r="C47" s="26" t="s">
        <v>46</v>
      </c>
      <c r="D47" s="26"/>
      <c r="E47" s="26" t="s">
        <v>47</v>
      </c>
      <c r="F47" s="26"/>
      <c r="G47" s="26"/>
      <c r="H47" s="26" t="s">
        <v>47</v>
      </c>
      <c r="I47" s="26"/>
      <c r="J47" s="26"/>
      <c r="K47" s="26" t="s">
        <v>46</v>
      </c>
      <c r="L47" s="26"/>
      <c r="M47" s="26" t="s">
        <v>46</v>
      </c>
      <c r="N47" s="26"/>
      <c r="O47" s="26"/>
      <c r="P47" s="26" t="s">
        <v>47</v>
      </c>
      <c r="Q47" s="26"/>
      <c r="R47" s="26"/>
    </row>
  </sheetData>
  <conditionalFormatting sqref="R10:R46">
    <cfRule type="cellIs" dxfId="68" priority="3" operator="lessThan">
      <formula>0</formula>
    </cfRule>
  </conditionalFormatting>
  <conditionalFormatting sqref="J10:J46">
    <cfRule type="cellIs" dxfId="67" priority="2" operator="lessThan">
      <formula>0</formula>
    </cfRule>
  </conditionalFormatting>
  <conditionalFormatting sqref="AC19:AC28 AC30 AC10:AC11 AC13:AC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02B72-80C8-47D8-BB5C-C2AE9CCFE777}">
  <sheetPr>
    <tabColor theme="2" tint="-0.499984740745262"/>
  </sheetPr>
  <dimension ref="A1:AI56"/>
  <sheetViews>
    <sheetView showGridLines="0" zoomScale="95" zoomScaleNormal="95" workbookViewId="0">
      <selection activeCell="H5" sqref="H5"/>
    </sheetView>
  </sheetViews>
  <sheetFormatPr baseColWidth="10" defaultRowHeight="12.75" x14ac:dyDescent="0.2"/>
  <cols>
    <col min="1" max="1" width="3.140625" style="44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9.4257812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45" customWidth="1"/>
    <col min="20" max="20" width="20.42578125" style="2" customWidth="1"/>
    <col min="21" max="21" width="9.8554687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42" customFormat="1" x14ac:dyDescent="0.2">
      <c r="A1" s="40"/>
      <c r="B1" s="41"/>
      <c r="S1" s="43"/>
    </row>
    <row r="2" spans="1:35" x14ac:dyDescent="0.2">
      <c r="X2" s="46"/>
      <c r="Y2" s="46"/>
      <c r="Z2" s="46"/>
      <c r="AA2" s="46"/>
      <c r="AB2" s="46"/>
    </row>
    <row r="3" spans="1:35" ht="18" x14ac:dyDescent="0.25">
      <c r="B3" s="13" t="s">
        <v>48</v>
      </c>
      <c r="T3" s="15" t="str">
        <f>+B3</f>
        <v>MUSICAR COLOMBIA</v>
      </c>
      <c r="Y3" s="47"/>
    </row>
    <row r="4" spans="1:35" x14ac:dyDescent="0.2">
      <c r="B4" s="2" t="s">
        <v>5</v>
      </c>
      <c r="T4" s="3" t="s">
        <v>6</v>
      </c>
      <c r="U4" s="46"/>
      <c r="V4" s="46"/>
      <c r="W4" s="46"/>
      <c r="X4" s="46"/>
      <c r="Y4" s="46"/>
      <c r="Z4" s="46"/>
      <c r="AA4" s="46"/>
      <c r="AB4" s="46"/>
      <c r="AC4" s="46"/>
    </row>
    <row r="5" spans="1:35" x14ac:dyDescent="0.2">
      <c r="B5" s="3" t="s">
        <v>7</v>
      </c>
      <c r="T5" s="3" t="s">
        <v>7</v>
      </c>
      <c r="U5" s="46"/>
      <c r="V5" s="46"/>
      <c r="W5" s="46"/>
      <c r="X5" s="46"/>
      <c r="Y5" s="46"/>
      <c r="Z5" s="46"/>
      <c r="AA5" s="46"/>
      <c r="AB5" s="46"/>
      <c r="AC5" s="46"/>
    </row>
    <row r="6" spans="1:35" ht="13.5" thickBot="1" x14ac:dyDescent="0.25">
      <c r="B6" s="3" t="s">
        <v>49</v>
      </c>
      <c r="C6" s="48"/>
      <c r="D6" s="48"/>
      <c r="E6" s="48"/>
      <c r="F6" s="48"/>
      <c r="G6" s="48"/>
      <c r="H6" s="48"/>
      <c r="I6" s="48"/>
      <c r="J6" s="49"/>
      <c r="K6" s="18" t="s">
        <v>8</v>
      </c>
      <c r="L6" s="18"/>
      <c r="M6" s="18"/>
      <c r="N6" s="18"/>
      <c r="O6" s="18"/>
      <c r="P6" s="18"/>
      <c r="Q6" s="18"/>
      <c r="R6" s="18"/>
      <c r="S6" s="50"/>
      <c r="T6" s="3" t="str">
        <f>+B6</f>
        <v>OCTUBRE de 2022</v>
      </c>
      <c r="U6" s="51"/>
      <c r="V6" s="51"/>
      <c r="W6" s="51"/>
      <c r="X6" s="18" t="s">
        <v>8</v>
      </c>
      <c r="Y6" s="18"/>
      <c r="Z6" s="18"/>
      <c r="AA6" s="18"/>
      <c r="AB6" s="18"/>
      <c r="AC6" s="18"/>
    </row>
    <row r="7" spans="1:35" s="53" customFormat="1" ht="15.75" customHeight="1" x14ac:dyDescent="0.2">
      <c r="A7" s="52"/>
      <c r="D7" s="53" t="s">
        <v>50</v>
      </c>
      <c r="F7" s="53" t="s">
        <v>51</v>
      </c>
      <c r="G7" s="54" t="s">
        <v>9</v>
      </c>
      <c r="I7" s="53" t="s">
        <v>52</v>
      </c>
      <c r="J7" s="54" t="s">
        <v>10</v>
      </c>
      <c r="K7" s="54"/>
      <c r="L7" s="53" t="str">
        <f>+D7</f>
        <v>Ppto 2022</v>
      </c>
      <c r="M7" s="54"/>
      <c r="N7" s="53" t="str">
        <f>+F7</f>
        <v>Real 2022</v>
      </c>
      <c r="O7" s="54" t="s">
        <v>9</v>
      </c>
      <c r="P7" s="54" t="str">
        <f>+I7</f>
        <v>Real 2021</v>
      </c>
      <c r="Q7" s="54"/>
      <c r="R7" s="54" t="s">
        <v>10</v>
      </c>
      <c r="S7" s="55"/>
      <c r="U7" s="53" t="str">
        <f>+D7</f>
        <v>Ppto 2022</v>
      </c>
      <c r="V7" s="53" t="str">
        <f>+N7</f>
        <v>Real 2022</v>
      </c>
      <c r="W7" s="53" t="str">
        <f>+I7</f>
        <v>Real 2021</v>
      </c>
      <c r="X7" s="53" t="str">
        <f>+U7</f>
        <v>Ppto 2022</v>
      </c>
      <c r="Y7" s="53" t="str">
        <f>+V7</f>
        <v>Real 2022</v>
      </c>
      <c r="Z7" s="53" t="s">
        <v>11</v>
      </c>
      <c r="AA7" s="53" t="s">
        <v>9</v>
      </c>
      <c r="AB7" s="53" t="str">
        <f>+W7</f>
        <v>Real 2021</v>
      </c>
      <c r="AC7" s="53" t="s">
        <v>10</v>
      </c>
    </row>
    <row r="8" spans="1:35" ht="13.5" thickBot="1" x14ac:dyDescent="0.25">
      <c r="A8" s="56" t="s">
        <v>53</v>
      </c>
      <c r="B8" s="57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0"/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  <c r="AD8" s="46"/>
      <c r="AE8" s="46"/>
      <c r="AF8" s="46"/>
    </row>
    <row r="9" spans="1:35" x14ac:dyDescent="0.2">
      <c r="A9" s="56"/>
      <c r="B9" s="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50"/>
      <c r="T9" s="3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</row>
    <row r="10" spans="1:35" x14ac:dyDescent="0.2">
      <c r="A10" s="44" t="s">
        <v>54</v>
      </c>
      <c r="B10" s="3" t="s">
        <v>55</v>
      </c>
      <c r="C10" s="59">
        <v>398023</v>
      </c>
      <c r="D10" s="28">
        <f t="shared" ref="D10:D15" si="0">+C10/$C$20</f>
        <v>0.43209217144166062</v>
      </c>
      <c r="E10" s="59">
        <v>362196.033</v>
      </c>
      <c r="F10" s="28">
        <f t="shared" ref="F10:F20" si="1">+E10/$E$20</f>
        <v>0.40048904671082181</v>
      </c>
      <c r="G10" s="28">
        <f t="shared" ref="G10:G20" si="2">IF(C10=0,"",(E10-C10)/ABS(C10)+1)</f>
        <v>0.90998769669089474</v>
      </c>
      <c r="H10" s="59">
        <v>364096.71799999999</v>
      </c>
      <c r="I10" s="28">
        <f t="shared" ref="I10:I18" si="3">+H10/$H$20</f>
        <v>0.44262129966139352</v>
      </c>
      <c r="J10" s="28">
        <f t="shared" ref="J10:J20" si="4">IF(H10=0,"",(E10-H10)/ABS(H10))</f>
        <v>-5.2202750149480826E-3</v>
      </c>
      <c r="K10" s="59">
        <v>3677864</v>
      </c>
      <c r="L10" s="28">
        <f t="shared" ref="L10:L46" si="5">+K10/$K$20</f>
        <v>0.41317467049000306</v>
      </c>
      <c r="M10" s="59">
        <v>3577839.3790000002</v>
      </c>
      <c r="N10" s="28">
        <f t="shared" ref="N10:N20" si="6">+M10/$M$20</f>
        <v>0.4072782212463803</v>
      </c>
      <c r="O10" s="28">
        <f t="shared" ref="O10:O18" si="7">IF(K10=0,"",(M10-K10)/ABS(K10)+1)</f>
        <v>0.97280361073710175</v>
      </c>
      <c r="P10" s="59">
        <v>3423397.7719999999</v>
      </c>
      <c r="Q10" s="28">
        <f t="shared" ref="Q10:Q46" si="8">+P10/$P$20</f>
        <v>0.43978600404961399</v>
      </c>
      <c r="R10" s="28">
        <f t="shared" ref="R10:R18" si="9">IF(P10=0,"",(M10-P10)/ABS(P10))</f>
        <v>4.5113544287251561E-2</v>
      </c>
      <c r="S10" s="60"/>
      <c r="T10" s="3" t="s">
        <v>16</v>
      </c>
      <c r="U10" s="59">
        <v>20359</v>
      </c>
      <c r="V10" s="59">
        <v>71498</v>
      </c>
      <c r="W10" s="59">
        <v>857728</v>
      </c>
      <c r="X10" s="59">
        <v>484392</v>
      </c>
      <c r="Y10" s="59">
        <v>484392</v>
      </c>
      <c r="Z10" s="55">
        <f>+Y10-X10</f>
        <v>0</v>
      </c>
      <c r="AA10" s="61">
        <f>IF(X10=0,"",(Y10-X10)/ABS(X10)+1)</f>
        <v>1</v>
      </c>
      <c r="AB10" s="59">
        <v>590384</v>
      </c>
      <c r="AC10" s="28">
        <f>IF(W10=0,"",(Y10-AB10)/ABS(AB10))</f>
        <v>-0.17953061058565273</v>
      </c>
      <c r="AD10" s="45"/>
      <c r="AE10" s="45"/>
      <c r="AF10" s="45"/>
      <c r="AH10" s="45"/>
    </row>
    <row r="11" spans="1:35" x14ac:dyDescent="0.2">
      <c r="A11" s="62" t="s">
        <v>56</v>
      </c>
      <c r="B11" s="3" t="s">
        <v>57</v>
      </c>
      <c r="C11" s="59">
        <v>49028</v>
      </c>
      <c r="D11" s="28">
        <f t="shared" si="0"/>
        <v>5.3224600039298575E-2</v>
      </c>
      <c r="E11" s="59">
        <v>55525.097000000002</v>
      </c>
      <c r="F11" s="28">
        <f t="shared" si="1"/>
        <v>6.1395463064212834E-2</v>
      </c>
      <c r="G11" s="28">
        <f t="shared" si="2"/>
        <v>1.1325180917027005</v>
      </c>
      <c r="H11" s="59">
        <v>27421.297999999999</v>
      </c>
      <c r="I11" s="28">
        <f t="shared" si="3"/>
        <v>3.3335237477099065E-2</v>
      </c>
      <c r="J11" s="28">
        <f t="shared" si="4"/>
        <v>1.0248894490698437</v>
      </c>
      <c r="K11" s="59">
        <v>452150</v>
      </c>
      <c r="L11" s="28">
        <f t="shared" si="5"/>
        <v>5.0794952521913503E-2</v>
      </c>
      <c r="M11" s="59">
        <v>392231.82</v>
      </c>
      <c r="N11" s="28">
        <f t="shared" si="6"/>
        <v>4.464914744453384E-2</v>
      </c>
      <c r="O11" s="28">
        <f t="shared" si="7"/>
        <v>0.86748163220170293</v>
      </c>
      <c r="P11" s="59">
        <v>308381.53200000001</v>
      </c>
      <c r="Q11" s="28">
        <f t="shared" si="8"/>
        <v>3.9616162278958852E-2</v>
      </c>
      <c r="R11" s="28">
        <f t="shared" si="9"/>
        <v>0.27190437590795807</v>
      </c>
      <c r="S11" s="60"/>
      <c r="T11" s="3" t="s">
        <v>17</v>
      </c>
      <c r="U11" s="59">
        <v>1018326</v>
      </c>
      <c r="V11" s="59">
        <v>1077988.07595</v>
      </c>
      <c r="W11" s="59">
        <v>970436.64448000002</v>
      </c>
      <c r="X11" s="59">
        <v>10175263</v>
      </c>
      <c r="Y11" s="59">
        <v>10262662.22236</v>
      </c>
      <c r="Z11" s="55">
        <f>+Y11-X11</f>
        <v>87399.222360000014</v>
      </c>
      <c r="AA11" s="61">
        <f>IF(X11=0,"",(Y11-X11)/ABS(X11)+1)</f>
        <v>1.0085893821476655</v>
      </c>
      <c r="AB11" s="59">
        <v>9556108.3708199989</v>
      </c>
      <c r="AC11" s="28">
        <f>IF(AB11=0,"",(Y11-AB11)/ABS(AB11))</f>
        <v>7.3937404654963373E-2</v>
      </c>
      <c r="AD11" s="45"/>
      <c r="AE11" s="45"/>
      <c r="AF11" s="45"/>
      <c r="AG11" s="45"/>
      <c r="AH11" s="45"/>
      <c r="AI11" s="47"/>
    </row>
    <row r="12" spans="1:35" x14ac:dyDescent="0.2">
      <c r="A12" s="62" t="s">
        <v>58</v>
      </c>
      <c r="B12" s="3" t="s">
        <v>59</v>
      </c>
      <c r="C12" s="59">
        <v>67338</v>
      </c>
      <c r="D12" s="28">
        <f t="shared" si="0"/>
        <v>7.3101862557034505E-2</v>
      </c>
      <c r="E12" s="59">
        <v>77415.376999999993</v>
      </c>
      <c r="F12" s="28">
        <f t="shared" si="1"/>
        <v>8.5600083133679367E-2</v>
      </c>
      <c r="G12" s="28">
        <f t="shared" si="2"/>
        <v>1.1496536428168345</v>
      </c>
      <c r="H12" s="59">
        <v>75369.148000000001</v>
      </c>
      <c r="I12" s="28">
        <f t="shared" si="3"/>
        <v>9.1623979544171327E-2</v>
      </c>
      <c r="J12" s="28">
        <f t="shared" si="4"/>
        <v>2.7149424589488422E-2</v>
      </c>
      <c r="K12" s="59">
        <v>801402</v>
      </c>
      <c r="L12" s="28">
        <f t="shared" si="5"/>
        <v>9.0030247796011334E-2</v>
      </c>
      <c r="M12" s="59">
        <v>873317.96379999991</v>
      </c>
      <c r="N12" s="28">
        <f t="shared" si="6"/>
        <v>9.9412899574711361E-2</v>
      </c>
      <c r="O12" s="28">
        <f t="shared" si="7"/>
        <v>1.0897376894492401</v>
      </c>
      <c r="P12" s="59">
        <v>931081.40320000006</v>
      </c>
      <c r="Q12" s="28">
        <f t="shared" si="8"/>
        <v>0.11961115740255132</v>
      </c>
      <c r="R12" s="28">
        <f t="shared" si="9"/>
        <v>-6.2039086165264462E-2</v>
      </c>
      <c r="S12" s="60"/>
      <c r="AD12" s="45"/>
      <c r="AE12" s="45"/>
      <c r="AF12" s="45"/>
      <c r="AG12" s="45"/>
      <c r="AH12" s="45"/>
      <c r="AI12" s="47"/>
    </row>
    <row r="13" spans="1:35" x14ac:dyDescent="0.2">
      <c r="A13" s="62" t="s">
        <v>60</v>
      </c>
      <c r="B13" s="3" t="s">
        <v>61</v>
      </c>
      <c r="C13" s="59">
        <v>99792</v>
      </c>
      <c r="D13" s="28">
        <f t="shared" si="0"/>
        <v>0.10833379471162771</v>
      </c>
      <c r="E13" s="59">
        <v>95515.581999999995</v>
      </c>
      <c r="F13" s="28">
        <f t="shared" si="1"/>
        <v>0.1056139242176883</v>
      </c>
      <c r="G13" s="28">
        <f t="shared" si="2"/>
        <v>0.95714668510501844</v>
      </c>
      <c r="H13" s="59">
        <v>92916.345000000001</v>
      </c>
      <c r="I13" s="28">
        <f t="shared" si="3"/>
        <v>0.11295557293017516</v>
      </c>
      <c r="J13" s="28">
        <f t="shared" si="4"/>
        <v>2.7973947963622479E-2</v>
      </c>
      <c r="K13" s="59">
        <v>928704</v>
      </c>
      <c r="L13" s="28">
        <f t="shared" si="5"/>
        <v>0.10433147315472997</v>
      </c>
      <c r="M13" s="59">
        <v>884987.93900000001</v>
      </c>
      <c r="N13" s="28">
        <f t="shared" si="6"/>
        <v>0.1007413344869499</v>
      </c>
      <c r="O13" s="28">
        <f t="shared" si="7"/>
        <v>0.9529278855264971</v>
      </c>
      <c r="P13" s="59">
        <v>578782.03899999999</v>
      </c>
      <c r="Q13" s="28">
        <f t="shared" si="8"/>
        <v>7.4353100954082721E-2</v>
      </c>
      <c r="R13" s="28">
        <f t="shared" si="9"/>
        <v>0.52905218090224815</v>
      </c>
      <c r="S13" s="60"/>
      <c r="T13" s="3" t="s">
        <v>18</v>
      </c>
      <c r="U13" s="59">
        <v>96394</v>
      </c>
      <c r="V13" s="59">
        <v>111801.783</v>
      </c>
      <c r="W13" s="59">
        <v>347783.24050000001</v>
      </c>
      <c r="X13" s="59">
        <v>1318428</v>
      </c>
      <c r="Y13" s="59">
        <v>1268600.92243</v>
      </c>
      <c r="Z13" s="55">
        <f>+X13-Y13</f>
        <v>49827.077569999965</v>
      </c>
      <c r="AA13" s="61">
        <f>IF(X13=0,"",(Y13-X13)/ABS(X13)+1)</f>
        <v>0.96220720618039057</v>
      </c>
      <c r="AB13" s="59">
        <v>2273322.9181300001</v>
      </c>
      <c r="AC13" s="28">
        <f>IF(AB13=0,"",(Y13-AB13)/ABS(AB13))</f>
        <v>-0.44196184698937035</v>
      </c>
      <c r="AD13" s="45"/>
      <c r="AE13" s="45"/>
      <c r="AF13" s="45"/>
      <c r="AG13" s="45"/>
      <c r="AH13" s="45"/>
      <c r="AI13" s="47"/>
    </row>
    <row r="14" spans="1:35" x14ac:dyDescent="0.2">
      <c r="A14" s="62">
        <v>4170250500</v>
      </c>
      <c r="B14" s="3" t="s">
        <v>62</v>
      </c>
      <c r="C14" s="59">
        <v>0</v>
      </c>
      <c r="D14" s="28">
        <f t="shared" si="0"/>
        <v>0</v>
      </c>
      <c r="E14" s="59">
        <v>0</v>
      </c>
      <c r="F14" s="28">
        <f t="shared" si="1"/>
        <v>0</v>
      </c>
      <c r="G14" s="28" t="str">
        <f t="shared" si="2"/>
        <v/>
      </c>
      <c r="H14" s="59">
        <v>0</v>
      </c>
      <c r="I14" s="28">
        <f t="shared" si="3"/>
        <v>0</v>
      </c>
      <c r="J14" s="28" t="e">
        <f t="shared" si="4"/>
        <v>#DIV/0!</v>
      </c>
      <c r="K14" s="59">
        <v>0</v>
      </c>
      <c r="L14" s="28">
        <f t="shared" si="5"/>
        <v>0</v>
      </c>
      <c r="M14" s="59">
        <v>0</v>
      </c>
      <c r="N14" s="28">
        <f t="shared" si="6"/>
        <v>0</v>
      </c>
      <c r="O14" s="28" t="str">
        <f t="shared" si="7"/>
        <v/>
      </c>
      <c r="P14" s="59">
        <v>0</v>
      </c>
      <c r="Q14" s="28">
        <f t="shared" si="8"/>
        <v>0</v>
      </c>
      <c r="R14" s="28" t="str">
        <f t="shared" si="9"/>
        <v/>
      </c>
      <c r="S14" s="60"/>
      <c r="T14" s="3" t="s">
        <v>19</v>
      </c>
      <c r="U14" s="59">
        <v>8353</v>
      </c>
      <c r="V14" s="59">
        <v>13046.406999999999</v>
      </c>
      <c r="W14" s="59">
        <v>8309.9050000000007</v>
      </c>
      <c r="X14" s="59">
        <v>83530</v>
      </c>
      <c r="Y14" s="59">
        <v>103277.56396</v>
      </c>
      <c r="Z14" s="55">
        <f>+X14-Y14</f>
        <v>-19747.563959999999</v>
      </c>
      <c r="AA14" s="61">
        <f>IF(X14=0,"",(Y14-X14)/ABS(X14)+1)</f>
        <v>1.2364128332335689</v>
      </c>
      <c r="AB14" s="59">
        <v>73455.004000000001</v>
      </c>
      <c r="AC14" s="28">
        <f>IF(AB14=0,"",(Y14-AB14)/ABS(AB14))</f>
        <v>0.40599766300468787</v>
      </c>
      <c r="AD14" s="45"/>
      <c r="AE14" s="45"/>
      <c r="AF14" s="45"/>
      <c r="AG14" s="45"/>
      <c r="AH14" s="45"/>
      <c r="AI14" s="47"/>
    </row>
    <row r="15" spans="1:35" x14ac:dyDescent="0.2">
      <c r="A15" s="62" t="s">
        <v>63</v>
      </c>
      <c r="B15" s="3" t="s">
        <v>64</v>
      </c>
      <c r="C15" s="59">
        <v>126553</v>
      </c>
      <c r="D15" s="28">
        <f t="shared" si="0"/>
        <v>0.13738542891354638</v>
      </c>
      <c r="E15" s="59">
        <v>127452.204</v>
      </c>
      <c r="F15" s="28">
        <f t="shared" si="1"/>
        <v>0.14092703130504244</v>
      </c>
      <c r="G15" s="28">
        <f t="shared" si="2"/>
        <v>1.0071053550686273</v>
      </c>
      <c r="H15" s="59">
        <v>112958.29700000001</v>
      </c>
      <c r="I15" s="28">
        <f t="shared" si="3"/>
        <v>0.13731996404778823</v>
      </c>
      <c r="J15" s="28">
        <f t="shared" si="4"/>
        <v>0.12831201766435971</v>
      </c>
      <c r="K15" s="59">
        <v>1243823</v>
      </c>
      <c r="L15" s="28">
        <f t="shared" si="5"/>
        <v>0.13973223538795537</v>
      </c>
      <c r="M15" s="59">
        <v>1228006.3019999999</v>
      </c>
      <c r="N15" s="28">
        <f t="shared" si="6"/>
        <v>0.13978833854126049</v>
      </c>
      <c r="O15" s="28">
        <f t="shared" si="7"/>
        <v>0.98728380324210108</v>
      </c>
      <c r="P15" s="59">
        <v>1155129.2860000001</v>
      </c>
      <c r="Q15" s="28">
        <f t="shared" si="8"/>
        <v>0.14839341691626939</v>
      </c>
      <c r="R15" s="28">
        <f t="shared" si="9"/>
        <v>6.3089921520697922E-2</v>
      </c>
      <c r="S15" s="60"/>
      <c r="T15" s="3" t="s">
        <v>20</v>
      </c>
      <c r="U15" s="59">
        <v>361598</v>
      </c>
      <c r="V15" s="59">
        <v>354025.772</v>
      </c>
      <c r="W15" s="59">
        <v>301239.52500000002</v>
      </c>
      <c r="X15" s="59">
        <v>3906261</v>
      </c>
      <c r="Y15" s="59">
        <v>3815633.38528</v>
      </c>
      <c r="Z15" s="55">
        <f>+X15-Y15</f>
        <v>90627.614719999954</v>
      </c>
      <c r="AA15" s="61">
        <f>IF(X15=0,"",(Y15-X15)/ABS(X15)+1)</f>
        <v>0.97679939596458099</v>
      </c>
      <c r="AB15" s="59">
        <v>3280654.6860000002</v>
      </c>
      <c r="AC15" s="28">
        <f>IF(AB15=0,"",(Y15-AB15)/ABS(AB15))</f>
        <v>0.16307071316069618</v>
      </c>
      <c r="AD15" s="45"/>
      <c r="AE15" s="45"/>
      <c r="AF15" s="45"/>
      <c r="AG15" s="45"/>
      <c r="AH15" s="45"/>
      <c r="AI15" s="47"/>
    </row>
    <row r="16" spans="1:35" x14ac:dyDescent="0.2">
      <c r="A16" s="62">
        <v>4155951000</v>
      </c>
      <c r="B16" s="3" t="s">
        <v>65</v>
      </c>
      <c r="C16" s="59">
        <v>0</v>
      </c>
      <c r="D16" s="28"/>
      <c r="E16" s="59">
        <v>0</v>
      </c>
      <c r="F16" s="28">
        <f t="shared" si="1"/>
        <v>0</v>
      </c>
      <c r="G16" s="28" t="str">
        <f t="shared" si="2"/>
        <v/>
      </c>
      <c r="H16" s="59">
        <v>0</v>
      </c>
      <c r="I16" s="28">
        <f t="shared" si="3"/>
        <v>0</v>
      </c>
      <c r="J16" s="28" t="e">
        <f t="shared" si="4"/>
        <v>#DIV/0!</v>
      </c>
      <c r="K16" s="59">
        <v>0</v>
      </c>
      <c r="L16" s="28">
        <f t="shared" si="5"/>
        <v>0</v>
      </c>
      <c r="M16" s="59">
        <v>0</v>
      </c>
      <c r="N16" s="28">
        <f t="shared" si="6"/>
        <v>0</v>
      </c>
      <c r="O16" s="28" t="str">
        <f t="shared" si="7"/>
        <v/>
      </c>
      <c r="P16" s="59">
        <v>0</v>
      </c>
      <c r="Q16" s="28">
        <f t="shared" si="8"/>
        <v>0</v>
      </c>
      <c r="R16" s="28" t="str">
        <f t="shared" si="9"/>
        <v/>
      </c>
      <c r="S16" s="60"/>
      <c r="T16" s="3" t="s">
        <v>21</v>
      </c>
      <c r="U16" s="59">
        <v>231866</v>
      </c>
      <c r="V16" s="59">
        <v>248184.70413</v>
      </c>
      <c r="W16" s="59">
        <v>145419.16829</v>
      </c>
      <c r="X16" s="59">
        <v>2480279</v>
      </c>
      <c r="Y16" s="59">
        <v>2454183.6383699998</v>
      </c>
      <c r="Z16" s="55">
        <f>+X16-Y16</f>
        <v>26095.361630000174</v>
      </c>
      <c r="AA16" s="61">
        <f>IF(X16=0,"",(Y16-X16)/ABS(X16)+1)</f>
        <v>0.98947886039030275</v>
      </c>
      <c r="AB16" s="59">
        <v>1632225.1492899999</v>
      </c>
      <c r="AC16" s="28">
        <f>IF(AB16=0,"",(Y16-AB16)/ABS(AB16))</f>
        <v>0.50358156130454368</v>
      </c>
      <c r="AD16" s="45"/>
      <c r="AE16" s="45"/>
      <c r="AF16" s="45"/>
      <c r="AG16" s="45"/>
      <c r="AH16" s="45"/>
      <c r="AI16" s="47"/>
    </row>
    <row r="17" spans="1:35" x14ac:dyDescent="0.2">
      <c r="A17" s="62">
        <v>4155951500</v>
      </c>
      <c r="B17" s="3" t="s">
        <v>66</v>
      </c>
      <c r="C17" s="59">
        <v>19341</v>
      </c>
      <c r="D17" s="28">
        <f>+C17/$C$20</f>
        <v>2.0996511980094511E-2</v>
      </c>
      <c r="E17" s="59">
        <v>19985.629000000001</v>
      </c>
      <c r="F17" s="28">
        <f t="shared" si="1"/>
        <v>2.2098600693746844E-2</v>
      </c>
      <c r="G17" s="28">
        <f t="shared" si="2"/>
        <v>1.033329662375265</v>
      </c>
      <c r="H17" s="59">
        <v>18121.957999999999</v>
      </c>
      <c r="I17" s="28">
        <f t="shared" si="3"/>
        <v>2.2030312842229977E-2</v>
      </c>
      <c r="J17" s="28">
        <f t="shared" si="4"/>
        <v>0.10284048776627791</v>
      </c>
      <c r="K17" s="59">
        <v>265865</v>
      </c>
      <c r="L17" s="28">
        <f t="shared" si="5"/>
        <v>2.986752195563095E-2</v>
      </c>
      <c r="M17" s="59">
        <v>266371.55300000001</v>
      </c>
      <c r="N17" s="28">
        <f t="shared" si="6"/>
        <v>3.0322024217531513E-2</v>
      </c>
      <c r="O17" s="28">
        <f t="shared" si="7"/>
        <v>1.0019053015628232</v>
      </c>
      <c r="P17" s="59">
        <v>228507.24400000001</v>
      </c>
      <c r="Q17" s="28">
        <f t="shared" si="8"/>
        <v>2.9355130320260703E-2</v>
      </c>
      <c r="R17" s="28">
        <f t="shared" si="9"/>
        <v>0.16570288248717405</v>
      </c>
      <c r="S17" s="60"/>
      <c r="T17" s="3" t="s">
        <v>22</v>
      </c>
      <c r="U17" s="59">
        <f t="shared" ref="U17:AB17" si="10">SUM(U13:U16)</f>
        <v>698211</v>
      </c>
      <c r="V17" s="59">
        <f>SUM(V13:V16)</f>
        <v>727058.66613000003</v>
      </c>
      <c r="W17" s="59">
        <f t="shared" si="10"/>
        <v>802751.83878999995</v>
      </c>
      <c r="X17" s="59">
        <f t="shared" si="10"/>
        <v>7788498</v>
      </c>
      <c r="Y17" s="59">
        <f>SUM(Y13:Y16)</f>
        <v>7641695.5100400001</v>
      </c>
      <c r="Z17" s="55">
        <f>+Y17-X17</f>
        <v>-146802.48995999992</v>
      </c>
      <c r="AA17" s="61">
        <f>IF(X17=0,"",(Y17-X17)/ABS(X17)+1)</f>
        <v>0.98115137347919967</v>
      </c>
      <c r="AB17" s="59">
        <f t="shared" si="10"/>
        <v>7259657.7574200006</v>
      </c>
      <c r="AC17" s="28">
        <f>IF(AB17=0,"",(Y17-AB17)/ABS(AB17))</f>
        <v>5.2624760751224631E-2</v>
      </c>
      <c r="AD17" s="45"/>
      <c r="AE17" s="45"/>
      <c r="AF17" s="45"/>
      <c r="AG17" s="45"/>
      <c r="AH17" s="45"/>
      <c r="AI17" s="47"/>
    </row>
    <row r="18" spans="1:35" x14ac:dyDescent="0.2">
      <c r="A18" s="62" t="s">
        <v>67</v>
      </c>
      <c r="B18" s="3" t="s">
        <v>68</v>
      </c>
      <c r="C18" s="59">
        <v>117236</v>
      </c>
      <c r="D18" s="32">
        <f t="shared" ref="D18:D46" si="11">+C18/$C$20</f>
        <v>0.1272709311048219</v>
      </c>
      <c r="E18" s="59">
        <v>113440.302</v>
      </c>
      <c r="F18" s="28">
        <f t="shared" si="1"/>
        <v>0.1254337272285026</v>
      </c>
      <c r="G18" s="32">
        <f t="shared" si="2"/>
        <v>0.96762344331092831</v>
      </c>
      <c r="H18" s="59">
        <v>97362.558000000005</v>
      </c>
      <c r="I18" s="28">
        <f t="shared" si="3"/>
        <v>0.11836069876443601</v>
      </c>
      <c r="J18" s="32">
        <f t="shared" si="4"/>
        <v>0.1651327197052484</v>
      </c>
      <c r="K18" s="59">
        <v>1098780</v>
      </c>
      <c r="L18" s="28">
        <f t="shared" si="5"/>
        <v>0.12343796954999031</v>
      </c>
      <c r="M18" s="59">
        <v>1036593.485</v>
      </c>
      <c r="N18" s="28">
        <f t="shared" si="6"/>
        <v>0.11799913467451004</v>
      </c>
      <c r="O18" s="28">
        <f t="shared" si="7"/>
        <v>0.94340403447459908</v>
      </c>
      <c r="P18" s="59">
        <v>820030.41</v>
      </c>
      <c r="Q18" s="28">
        <f t="shared" si="8"/>
        <v>0.10534501721147543</v>
      </c>
      <c r="R18" s="32">
        <f t="shared" si="9"/>
        <v>0.26409151704508121</v>
      </c>
      <c r="S18" s="60"/>
      <c r="AD18" s="45"/>
      <c r="AE18" s="45"/>
      <c r="AF18" s="45"/>
      <c r="AG18" s="45"/>
      <c r="AH18" s="45"/>
      <c r="AI18" s="47"/>
    </row>
    <row r="19" spans="1:35" x14ac:dyDescent="0.2">
      <c r="A19" s="44" t="s">
        <v>69</v>
      </c>
      <c r="B19" s="3" t="s">
        <v>70</v>
      </c>
      <c r="C19" s="59">
        <v>43842</v>
      </c>
      <c r="D19" s="28">
        <f t="shared" si="11"/>
        <v>4.7594699251915805E-2</v>
      </c>
      <c r="E19" s="59">
        <v>52854.142999999996</v>
      </c>
      <c r="F19" s="28">
        <f t="shared" si="1"/>
        <v>5.8442123646305792E-2</v>
      </c>
      <c r="G19" s="28">
        <f t="shared" si="2"/>
        <v>1.2055595775740158</v>
      </c>
      <c r="H19" s="59">
        <v>34345.627999999997</v>
      </c>
      <c r="I19" s="28"/>
      <c r="J19" s="28">
        <f t="shared" si="4"/>
        <v>0.53888998623056195</v>
      </c>
      <c r="K19" s="59">
        <v>432887</v>
      </c>
      <c r="L19" s="28">
        <f t="shared" si="5"/>
        <v>4.8630929143765503E-2</v>
      </c>
      <c r="M19" s="59">
        <v>525406.53</v>
      </c>
      <c r="N19" s="28">
        <f t="shared" si="6"/>
        <v>5.9808899814122414E-2</v>
      </c>
      <c r="O19" s="28"/>
      <c r="P19" s="59">
        <v>338925.69300000003</v>
      </c>
      <c r="Q19" s="28">
        <f t="shared" si="8"/>
        <v>4.3540010866787542E-2</v>
      </c>
      <c r="R19" s="28"/>
      <c r="S19" s="60"/>
      <c r="T19" s="3" t="s">
        <v>23</v>
      </c>
      <c r="U19" s="59">
        <f>U11-U17</f>
        <v>320115</v>
      </c>
      <c r="V19" s="59">
        <f>V11-V17</f>
        <v>350929.40981999994</v>
      </c>
      <c r="W19" s="59">
        <f>W11-W17</f>
        <v>167684.80569000007</v>
      </c>
      <c r="X19" s="59">
        <f>X11-X17</f>
        <v>2386765</v>
      </c>
      <c r="Y19" s="59">
        <f>Y11-Y17</f>
        <v>2620966.7123199999</v>
      </c>
      <c r="Z19" s="59">
        <f>+Y19-X19</f>
        <v>234201.71231999993</v>
      </c>
      <c r="AA19" s="61">
        <f>IF(X19=0,"",(Y19-X19)/ABS(X19)+1)</f>
        <v>1.0981251662061409</v>
      </c>
      <c r="AB19" s="59">
        <f>AB11-AB17</f>
        <v>2296450.6133999983</v>
      </c>
      <c r="AC19" s="28">
        <f>IF(AB19=0,"",(Y19-AB19)/ABS(AB19))</f>
        <v>0.14131203041181059</v>
      </c>
      <c r="AD19" s="45"/>
      <c r="AE19" s="45"/>
      <c r="AF19" s="45"/>
      <c r="AG19" s="45"/>
      <c r="AH19" s="45"/>
    </row>
    <row r="20" spans="1:35" x14ac:dyDescent="0.2">
      <c r="B20" s="17" t="s">
        <v>24</v>
      </c>
      <c r="C20" s="63">
        <f>SUM(C10:C19)</f>
        <v>921153</v>
      </c>
      <c r="D20" s="36">
        <f t="shared" si="11"/>
        <v>1</v>
      </c>
      <c r="E20" s="63">
        <f>SUM(E10:E19)</f>
        <v>904384.36699999997</v>
      </c>
      <c r="F20" s="36">
        <f t="shared" si="1"/>
        <v>1</v>
      </c>
      <c r="G20" s="36">
        <f t="shared" si="2"/>
        <v>0.98179603931160186</v>
      </c>
      <c r="H20" s="63">
        <f>SUM(H10:H19)</f>
        <v>822591.95</v>
      </c>
      <c r="I20" s="36">
        <f>+H22/$H$22</f>
        <v>1</v>
      </c>
      <c r="J20" s="36">
        <f t="shared" si="4"/>
        <v>9.9432552190670015E-2</v>
      </c>
      <c r="K20" s="63">
        <f>SUM(K10:K19)</f>
        <v>8901475</v>
      </c>
      <c r="L20" s="36">
        <f t="shared" si="5"/>
        <v>1</v>
      </c>
      <c r="M20" s="63">
        <f>SUM(M10:M19)</f>
        <v>8784754.9718000013</v>
      </c>
      <c r="N20" s="36">
        <f t="shared" si="6"/>
        <v>1</v>
      </c>
      <c r="O20" s="36">
        <f>IF(K20=0,"",(M20-K20)/ABS(K20)+1)</f>
        <v>0.9868875632184555</v>
      </c>
      <c r="P20" s="63">
        <f>SUM(P10:P19)</f>
        <v>7784235.3792000003</v>
      </c>
      <c r="Q20" s="36">
        <f t="shared" si="8"/>
        <v>1</v>
      </c>
      <c r="R20" s="36">
        <f>IF(P20=0,"",(M20-P20)/ABS(P20))</f>
        <v>0.1285315183651122</v>
      </c>
      <c r="S20" s="60"/>
      <c r="T20" s="3"/>
      <c r="U20" s="59"/>
      <c r="V20" s="59"/>
      <c r="W20" s="59"/>
      <c r="X20" s="59"/>
      <c r="Y20" s="59"/>
      <c r="Z20" s="55"/>
      <c r="AA20" s="61"/>
      <c r="AB20" s="59"/>
      <c r="AC20" s="28" t="str">
        <f>IF(AB20=0,"",(Y20-AB20)/ABS(AB20))</f>
        <v/>
      </c>
      <c r="AD20" s="45"/>
      <c r="AE20" s="45"/>
      <c r="AF20" s="45"/>
      <c r="AG20" s="45"/>
      <c r="AH20" s="45"/>
      <c r="AI20" s="47"/>
    </row>
    <row r="21" spans="1:35" x14ac:dyDescent="0.2">
      <c r="B21" s="3"/>
      <c r="C21" s="59"/>
      <c r="D21" s="28"/>
      <c r="E21" s="59"/>
      <c r="F21" s="28"/>
      <c r="G21" s="28"/>
      <c r="H21" s="59"/>
      <c r="I21" s="28"/>
      <c r="J21" s="28"/>
      <c r="K21" s="59"/>
      <c r="L21" s="28"/>
      <c r="M21" s="59"/>
      <c r="N21" s="28"/>
      <c r="O21" s="28"/>
      <c r="P21" s="59"/>
      <c r="Q21" s="28"/>
      <c r="R21" s="28"/>
      <c r="S21" s="60"/>
      <c r="T21" s="3" t="s">
        <v>25</v>
      </c>
      <c r="U21" s="59">
        <f>+U10+U19</f>
        <v>340474</v>
      </c>
      <c r="V21" s="59">
        <f>+V10+V19</f>
        <v>422427.40981999994</v>
      </c>
      <c r="W21" s="59">
        <f>+W10+W19</f>
        <v>1025412.8056900001</v>
      </c>
      <c r="X21" s="59">
        <f>+X10+X19</f>
        <v>2871157</v>
      </c>
      <c r="Y21" s="59">
        <f>+Y10+Y19</f>
        <v>3105358.7123199999</v>
      </c>
      <c r="Z21" s="55">
        <f>+Y21-X21</f>
        <v>234201.71231999993</v>
      </c>
      <c r="AA21" s="61">
        <f>IF(X21=0,"",(Y21-X21)/ABS(X21)+1)</f>
        <v>1.0815705000875953</v>
      </c>
      <c r="AB21" s="59">
        <f>+AB10+AB19</f>
        <v>2886834.6133999983</v>
      </c>
      <c r="AC21" s="28">
        <f>IF(AB21=0,"",(Y21-AB21)/ABS(AB21))</f>
        <v>7.569678495112428E-2</v>
      </c>
      <c r="AD21" s="45"/>
      <c r="AE21" s="45"/>
      <c r="AF21" s="45"/>
      <c r="AG21" s="45"/>
      <c r="AH21" s="45"/>
      <c r="AI21" s="47"/>
    </row>
    <row r="22" spans="1:35" x14ac:dyDescent="0.2">
      <c r="A22" s="64"/>
      <c r="B22" s="3" t="s">
        <v>26</v>
      </c>
      <c r="C22" s="59">
        <v>83532</v>
      </c>
      <c r="D22" s="28">
        <f t="shared" si="11"/>
        <v>9.0682003966767732E-2</v>
      </c>
      <c r="E22" s="59">
        <v>86945.082269999999</v>
      </c>
      <c r="F22" s="28">
        <f>+E22/$E$20</f>
        <v>9.6137312234190794E-2</v>
      </c>
      <c r="G22" s="28">
        <f>IF(C22=0,"",(E22-C22)/ABS(C22)+1)</f>
        <v>1.0408595780060337</v>
      </c>
      <c r="H22" s="59">
        <v>75005.647939999995</v>
      </c>
      <c r="I22" s="28">
        <f t="shared" ref="I22:I46" si="12">+H22/$H$20</f>
        <v>9.1182083583482676E-2</v>
      </c>
      <c r="J22" s="28">
        <f>IF(H22=0,"",(E22-H22)/ABS(H22))</f>
        <v>0.15918047051004522</v>
      </c>
      <c r="K22" s="59">
        <v>738448</v>
      </c>
      <c r="L22" s="28">
        <f t="shared" si="5"/>
        <v>8.2957936746438088E-2</v>
      </c>
      <c r="M22" s="59">
        <v>790719.00959000003</v>
      </c>
      <c r="N22" s="28">
        <f>+M22/$M$20</f>
        <v>9.0010365926914554E-2</v>
      </c>
      <c r="O22" s="28">
        <f>IF(K22=0,"",(M22-K22)/ABS(K22)+1)</f>
        <v>1.0707849565439951</v>
      </c>
      <c r="P22" s="59">
        <v>459507.40318999998</v>
      </c>
      <c r="Q22" s="28">
        <f t="shared" si="8"/>
        <v>5.9030512414595608E-2</v>
      </c>
      <c r="R22" s="28">
        <f>IF(P22=0,"",(M22-P22)/ABS(P22))</f>
        <v>0.72079710598927738</v>
      </c>
      <c r="S22" s="60"/>
      <c r="T22" s="3"/>
      <c r="U22" s="59"/>
      <c r="V22" s="59"/>
      <c r="W22" s="59"/>
      <c r="X22" s="59"/>
      <c r="Y22" s="59"/>
      <c r="Z22" s="55"/>
      <c r="AA22" s="61"/>
      <c r="AB22" s="59"/>
      <c r="AC22" s="28"/>
      <c r="AD22" s="45"/>
      <c r="AE22" s="45"/>
      <c r="AF22" s="45"/>
      <c r="AG22" s="45"/>
      <c r="AH22" s="45"/>
      <c r="AI22" s="47"/>
    </row>
    <row r="23" spans="1:35" x14ac:dyDescent="0.2">
      <c r="A23" s="64"/>
      <c r="B23" s="3"/>
      <c r="C23" s="59"/>
      <c r="D23" s="28"/>
      <c r="E23" s="59"/>
      <c r="F23" s="28"/>
      <c r="G23" s="28"/>
      <c r="H23" s="59"/>
      <c r="I23" s="28"/>
      <c r="J23" s="28"/>
      <c r="K23" s="59"/>
      <c r="L23" s="28"/>
      <c r="M23" s="59"/>
      <c r="N23" s="28"/>
      <c r="O23" s="28"/>
      <c r="P23" s="59"/>
      <c r="Q23" s="28"/>
      <c r="R23" s="28"/>
      <c r="S23" s="60"/>
      <c r="T23" s="3" t="s">
        <v>27</v>
      </c>
      <c r="U23" s="59">
        <v>0</v>
      </c>
      <c r="V23" s="59">
        <v>95093.876380000002</v>
      </c>
      <c r="W23" s="59">
        <v>0</v>
      </c>
      <c r="X23" s="59">
        <v>424785</v>
      </c>
      <c r="Y23" s="59">
        <v>810691.31287999998</v>
      </c>
      <c r="Z23" s="55">
        <f>+Y23-X23</f>
        <v>385906.31287999998</v>
      </c>
      <c r="AA23" s="61">
        <f>IF(X23=0,"",(Y23-X23)/ABS(X23)+1)</f>
        <v>1.9084744350200689</v>
      </c>
      <c r="AB23" s="59">
        <v>384691.76899999997</v>
      </c>
      <c r="AC23" s="28">
        <f>IF(AB23=0,"",(Y23-AB23)/ABS(AB23))</f>
        <v>1.1073788893050114</v>
      </c>
      <c r="AD23" s="45"/>
      <c r="AE23" s="45"/>
      <c r="AF23" s="45"/>
      <c r="AG23" s="45"/>
      <c r="AH23" s="45"/>
      <c r="AI23" s="47"/>
    </row>
    <row r="24" spans="1:35" x14ac:dyDescent="0.2">
      <c r="B24" s="3" t="s">
        <v>28</v>
      </c>
      <c r="C24" s="59">
        <f>+C20-C22</f>
        <v>837621</v>
      </c>
      <c r="D24" s="28">
        <f t="shared" si="11"/>
        <v>0.90931799603323227</v>
      </c>
      <c r="E24" s="59">
        <f>+E20-E22</f>
        <v>817439.28472999996</v>
      </c>
      <c r="F24" s="28">
        <f>+E24/$E$20</f>
        <v>0.90386268776580914</v>
      </c>
      <c r="G24" s="28">
        <f>IF(C24=0,"",(E24-C24)/ABS(C24)+1)</f>
        <v>0.97590591058485876</v>
      </c>
      <c r="H24" s="59">
        <f>+H20-H22</f>
        <v>747586.3020599999</v>
      </c>
      <c r="I24" s="28">
        <f t="shared" si="12"/>
        <v>0.90881791641651721</v>
      </c>
      <c r="J24" s="28">
        <f>IF(H24=0,"",(E24-H24)/ABS(H24))</f>
        <v>9.3438018430136757E-2</v>
      </c>
      <c r="K24" s="59">
        <f>+K20-K22</f>
        <v>8163027</v>
      </c>
      <c r="L24" s="28">
        <f t="shared" si="5"/>
        <v>0.91704206325356186</v>
      </c>
      <c r="M24" s="59">
        <f>+M20-M22</f>
        <v>7994035.9622100014</v>
      </c>
      <c r="N24" s="28">
        <f>+M24/$M$20</f>
        <v>0.90998963407308542</v>
      </c>
      <c r="O24" s="28">
        <f>IF(K24=0,"",(M24-K24)/ABS(K24)+1)</f>
        <v>0.97929799352740121</v>
      </c>
      <c r="P24" s="59">
        <f>+P20-P22</f>
        <v>7324727.9760100003</v>
      </c>
      <c r="Q24" s="28">
        <f t="shared" si="8"/>
        <v>0.94096948758540444</v>
      </c>
      <c r="R24" s="28">
        <f>IF(P24=0,"",(M24-P24)/ABS(P24))</f>
        <v>9.1376497310497157E-2</v>
      </c>
      <c r="S24" s="60"/>
      <c r="T24" s="3"/>
      <c r="U24" s="59"/>
      <c r="V24" s="59"/>
      <c r="W24" s="59"/>
      <c r="X24" s="59"/>
      <c r="Y24" s="59"/>
      <c r="Z24" s="55"/>
      <c r="AA24" s="61"/>
      <c r="AB24" s="59"/>
      <c r="AC24" s="28"/>
      <c r="AD24" s="45"/>
      <c r="AE24" s="45"/>
      <c r="AF24" s="45"/>
      <c r="AG24" s="45"/>
      <c r="AH24" s="45"/>
      <c r="AI24" s="47"/>
    </row>
    <row r="25" spans="1:35" x14ac:dyDescent="0.2">
      <c r="B25" s="3"/>
      <c r="C25" s="59"/>
      <c r="D25" s="28"/>
      <c r="E25" s="59"/>
      <c r="F25" s="28"/>
      <c r="G25" s="28"/>
      <c r="H25" s="59"/>
      <c r="I25" s="28"/>
      <c r="J25" s="28"/>
      <c r="K25" s="59"/>
      <c r="L25" s="28"/>
      <c r="M25" s="59"/>
      <c r="N25" s="28"/>
      <c r="O25" s="28"/>
      <c r="P25" s="59"/>
      <c r="Q25" s="28"/>
      <c r="R25" s="28"/>
      <c r="S25" s="60"/>
      <c r="T25" s="3" t="s">
        <v>29</v>
      </c>
      <c r="U25" s="59">
        <v>51504</v>
      </c>
      <c r="V25" s="59">
        <v>47801.537149999996</v>
      </c>
      <c r="W25" s="59">
        <v>56428.950920000003</v>
      </c>
      <c r="X25" s="59">
        <v>1707887</v>
      </c>
      <c r="Y25" s="59">
        <v>1656850.3485000001</v>
      </c>
      <c r="Z25" s="55">
        <f>+Y25-X25</f>
        <v>-51036.65149999992</v>
      </c>
      <c r="AA25" s="61">
        <f>IF(X25=0,"",(Y25-X25)/ABS(X25)+1)</f>
        <v>0.97011707946720138</v>
      </c>
      <c r="AB25" s="59">
        <v>1476952.9512799999</v>
      </c>
      <c r="AC25" s="28">
        <f>IF(AB25=0,"",(Y25-AB25)/ABS(AB25))</f>
        <v>0.12180306560482665</v>
      </c>
      <c r="AD25" s="45"/>
      <c r="AE25" s="45"/>
      <c r="AF25" s="45"/>
      <c r="AG25" s="45"/>
      <c r="AH25" s="45"/>
      <c r="AI25" s="47"/>
    </row>
    <row r="26" spans="1:35" x14ac:dyDescent="0.2">
      <c r="B26" s="3" t="s">
        <v>30</v>
      </c>
      <c r="C26" s="59">
        <v>198053</v>
      </c>
      <c r="D26" s="28">
        <f t="shared" si="11"/>
        <v>0.21500554196751245</v>
      </c>
      <c r="E26" s="59">
        <v>204507.12006000002</v>
      </c>
      <c r="F26" s="28">
        <f>+E26/$E$20</f>
        <v>0.22612854392694298</v>
      </c>
      <c r="G26" s="28">
        <f>IF(C26=0,"",(E26-C26)/ABS(C26)+1)</f>
        <v>1.0325878429511293</v>
      </c>
      <c r="H26" s="59">
        <v>161886.91232</v>
      </c>
      <c r="I26" s="28">
        <f t="shared" si="12"/>
        <v>0.19680099266714196</v>
      </c>
      <c r="J26" s="28">
        <f>IF(H26=0,"",(E26-H26)/ABS(H26))</f>
        <v>0.26327148457654892</v>
      </c>
      <c r="K26" s="59">
        <v>1981997</v>
      </c>
      <c r="L26" s="28">
        <f t="shared" si="5"/>
        <v>0.22265939071895388</v>
      </c>
      <c r="M26" s="59">
        <v>1928753.5573399998</v>
      </c>
      <c r="N26" s="28">
        <f>+M26/$M$20</f>
        <v>0.2195568986877271</v>
      </c>
      <c r="O26" s="28">
        <f>IF(K26=0,"",(M26-K26)/ABS(K26)+1)</f>
        <v>0.97313646657386454</v>
      </c>
      <c r="P26" s="59">
        <v>1590786.91448</v>
      </c>
      <c r="Q26" s="28">
        <f t="shared" si="8"/>
        <v>0.20436007353152366</v>
      </c>
      <c r="R26" s="28">
        <f>IF(P26=0,"",(M26-P26)/ABS(P26))</f>
        <v>0.21245249114365206</v>
      </c>
      <c r="S26" s="60"/>
      <c r="T26" s="3"/>
      <c r="U26" s="59"/>
      <c r="V26" s="59"/>
      <c r="W26" s="59"/>
      <c r="X26" s="59"/>
      <c r="Y26" s="59"/>
      <c r="Z26" s="55"/>
      <c r="AA26" s="61"/>
      <c r="AB26" s="59"/>
      <c r="AC26" s="28"/>
      <c r="AD26" s="45"/>
      <c r="AE26" s="45"/>
      <c r="AF26" s="45"/>
      <c r="AG26" s="45"/>
      <c r="AH26" s="45"/>
      <c r="AI26" s="47"/>
    </row>
    <row r="27" spans="1:35" x14ac:dyDescent="0.2">
      <c r="B27" s="3" t="s">
        <v>31</v>
      </c>
      <c r="C27" s="59">
        <v>280018</v>
      </c>
      <c r="D27" s="28">
        <f t="shared" si="11"/>
        <v>0.30398641702301354</v>
      </c>
      <c r="E27" s="59">
        <v>310138.17663999996</v>
      </c>
      <c r="F27" s="28">
        <f>+E27/$E$20</f>
        <v>0.34292739675364153</v>
      </c>
      <c r="G27" s="28">
        <f>IF(C27=0,"",(E27-C27)/ABS(C27)+1)</f>
        <v>1.1075651445264232</v>
      </c>
      <c r="H27" s="59">
        <v>300045.89182000002</v>
      </c>
      <c r="I27" s="28">
        <f t="shared" si="12"/>
        <v>0.36475665950779124</v>
      </c>
      <c r="J27" s="28">
        <f>IF(H27=0,"",(E27-H27)/ABS(H27))</f>
        <v>3.3635804039118075E-2</v>
      </c>
      <c r="K27" s="59">
        <v>2827094</v>
      </c>
      <c r="L27" s="28">
        <f t="shared" si="5"/>
        <v>0.31759837555011949</v>
      </c>
      <c r="M27" s="59">
        <v>2856351.4302600003</v>
      </c>
      <c r="N27" s="28">
        <f>+M27/$M$20</f>
        <v>0.32514867397317199</v>
      </c>
      <c r="O27" s="28">
        <f>IF(K27=0,"",(M27-K27)/ABS(K27)+1)</f>
        <v>1.0103489414430509</v>
      </c>
      <c r="P27" s="59">
        <v>2941630.8703400004</v>
      </c>
      <c r="Q27" s="28">
        <f t="shared" si="8"/>
        <v>0.37789593030552948</v>
      </c>
      <c r="R27" s="28">
        <f>IF(P27=0,"",(M27-P27)/ABS(P27))</f>
        <v>-2.899053070861447E-2</v>
      </c>
      <c r="S27" s="60"/>
      <c r="T27" s="3" t="s">
        <v>32</v>
      </c>
      <c r="U27" s="59">
        <v>81080</v>
      </c>
      <c r="V27" s="59">
        <v>40478.183140000001</v>
      </c>
      <c r="W27" s="59">
        <v>83627.57703</v>
      </c>
      <c r="X27" s="59">
        <v>65595</v>
      </c>
      <c r="Y27" s="59">
        <v>-25119.89948</v>
      </c>
      <c r="Z27" s="55">
        <f>+Y27-X27</f>
        <v>-90714.899479999993</v>
      </c>
      <c r="AA27" s="61">
        <f>IF(X27=0,"",(Y27-X27)/ABS(X27)+1)</f>
        <v>-0.38295448555530132</v>
      </c>
      <c r="AB27" s="59">
        <v>139832.73436</v>
      </c>
      <c r="AC27" s="28">
        <f>IF(AB27=0,"",(Y27-AB27)/ABS(AB27))</f>
        <v>-1.1796424821052895</v>
      </c>
      <c r="AD27" s="45"/>
      <c r="AE27" s="45"/>
      <c r="AF27" s="45"/>
      <c r="AG27" s="45"/>
      <c r="AH27" s="45"/>
      <c r="AI27" s="47"/>
    </row>
    <row r="28" spans="1:35" x14ac:dyDescent="0.2">
      <c r="B28" s="3" t="s">
        <v>33</v>
      </c>
      <c r="C28" s="59">
        <f>SUM(C26:C27)</f>
        <v>478071</v>
      </c>
      <c r="D28" s="28">
        <f t="shared" si="11"/>
        <v>0.51899195899052597</v>
      </c>
      <c r="E28" s="59">
        <f>SUM(E26:E27)</f>
        <v>514645.29669999995</v>
      </c>
      <c r="F28" s="28">
        <f>+E28/$E$20</f>
        <v>0.56905594068058452</v>
      </c>
      <c r="G28" s="28">
        <f>IF(C28=0,"",(E28-C28)/ABS(C28)+1)</f>
        <v>1.0765039015125368</v>
      </c>
      <c r="H28" s="59">
        <f>SUM(H26:H27)</f>
        <v>461932.80414000002</v>
      </c>
      <c r="I28" s="28">
        <f t="shared" si="12"/>
        <v>0.56155765217493325</v>
      </c>
      <c r="J28" s="28">
        <f>IF(H28=0,"",(E28-H28)/ABS(H28))</f>
        <v>0.11411290146006629</v>
      </c>
      <c r="K28" s="59">
        <f>SUM(K26:K27)</f>
        <v>4809091</v>
      </c>
      <c r="L28" s="28">
        <f t="shared" si="5"/>
        <v>0.5402577662690734</v>
      </c>
      <c r="M28" s="59">
        <f>SUM(M26:M27)</f>
        <v>4785104.9876000006</v>
      </c>
      <c r="N28" s="28">
        <f>+M28/$M$20</f>
        <v>0.54470557266089914</v>
      </c>
      <c r="O28" s="28">
        <f>IF(K28=0,"",(M28-K28)/ABS(K28)+1)</f>
        <v>0.9950123604647948</v>
      </c>
      <c r="P28" s="59">
        <f>SUM(P26:P27)</f>
        <v>4532417.7848200006</v>
      </c>
      <c r="Q28" s="28">
        <f t="shared" si="8"/>
        <v>0.58225600383705323</v>
      </c>
      <c r="R28" s="28">
        <f>IF(P28=0,"",(M28-P28)/ABS(P28))</f>
        <v>5.5751083588609453E-2</v>
      </c>
      <c r="S28" s="60"/>
      <c r="T28" s="3" t="s">
        <v>34</v>
      </c>
      <c r="U28" s="59">
        <v>77500</v>
      </c>
      <c r="V28" s="59">
        <v>60688.877</v>
      </c>
      <c r="W28" s="59">
        <v>0</v>
      </c>
      <c r="X28" s="59">
        <v>542500</v>
      </c>
      <c r="Y28" s="59">
        <v>484571.64</v>
      </c>
      <c r="Z28" s="55">
        <f>+Y28-X28</f>
        <v>-57928.359999999986</v>
      </c>
      <c r="AA28" s="61">
        <f>IF(X28=0,"",(Y28-X28)/ABS(X28)+1)</f>
        <v>0.89321961290322582</v>
      </c>
      <c r="AB28" s="59">
        <v>0</v>
      </c>
      <c r="AC28" s="28" t="str">
        <f>IF(AB28=0,"",(Y28-AB28)/ABS(AB28))</f>
        <v/>
      </c>
      <c r="AD28" s="45"/>
      <c r="AE28" s="45"/>
      <c r="AF28" s="45"/>
      <c r="AG28" s="45"/>
      <c r="AH28" s="45"/>
      <c r="AI28" s="47"/>
    </row>
    <row r="29" spans="1:35" x14ac:dyDescent="0.2">
      <c r="B29" s="3"/>
      <c r="C29" s="59"/>
      <c r="D29" s="28"/>
      <c r="E29" s="59"/>
      <c r="F29" s="28"/>
      <c r="G29" s="28"/>
      <c r="H29" s="59"/>
      <c r="I29" s="28"/>
      <c r="J29" s="28"/>
      <c r="K29" s="59"/>
      <c r="L29" s="28"/>
      <c r="M29" s="59"/>
      <c r="N29" s="28"/>
      <c r="O29" s="28"/>
      <c r="P29" s="59"/>
      <c r="Q29" s="28"/>
      <c r="R29" s="28"/>
      <c r="S29" s="60"/>
      <c r="AD29" s="45"/>
      <c r="AE29" s="45"/>
      <c r="AF29" s="45"/>
      <c r="AG29" s="45"/>
      <c r="AH29" s="45"/>
      <c r="AI29" s="47"/>
    </row>
    <row r="30" spans="1:35" x14ac:dyDescent="0.2">
      <c r="B30" s="3" t="s">
        <v>35</v>
      </c>
      <c r="C30" s="59">
        <v>60448</v>
      </c>
      <c r="D30" s="28">
        <f t="shared" si="11"/>
        <v>6.5622106208197764E-2</v>
      </c>
      <c r="E30" s="59">
        <v>55874.108260000001</v>
      </c>
      <c r="F30" s="28">
        <f>+E30/$E$20</f>
        <v>6.1781373383690968E-2</v>
      </c>
      <c r="G30" s="28">
        <f>IF(C30=0,"",(E30-C30)/ABS(C30)+1)</f>
        <v>0.92433344792218108</v>
      </c>
      <c r="H30" s="59">
        <v>40261.149490000003</v>
      </c>
      <c r="I30" s="28">
        <f t="shared" si="12"/>
        <v>4.894425418337732E-2</v>
      </c>
      <c r="J30" s="28">
        <f>IF(H30=0,"",(E30-H30)/ABS(H30))</f>
        <v>0.38779217602512611</v>
      </c>
      <c r="K30" s="59">
        <v>537970</v>
      </c>
      <c r="L30" s="28">
        <f t="shared" si="5"/>
        <v>6.0436051328571952E-2</v>
      </c>
      <c r="M30" s="59">
        <v>500676.36411999998</v>
      </c>
      <c r="N30" s="28">
        <f>+M30/$M$20</f>
        <v>5.699377680165519E-2</v>
      </c>
      <c r="O30" s="28">
        <f>IF(K30=0,"",(M30-K30)/ABS(K30)+1)</f>
        <v>0.93067710861200437</v>
      </c>
      <c r="P30" s="59">
        <v>394767.26113</v>
      </c>
      <c r="Q30" s="28">
        <f t="shared" si="8"/>
        <v>5.0713685018421287E-2</v>
      </c>
      <c r="R30" s="28">
        <f>IF(P30=0,"",(M30-P30)/ABS(P30))</f>
        <v>0.268282386656991</v>
      </c>
      <c r="S30" s="60"/>
      <c r="T30" s="17" t="s">
        <v>36</v>
      </c>
      <c r="U30" s="63">
        <f>U21-U23-U25-U27-U28</f>
        <v>130390</v>
      </c>
      <c r="V30" s="63">
        <f>V21-V23-V25-V27-V28</f>
        <v>178364.93614999991</v>
      </c>
      <c r="W30" s="63">
        <f>W21-W23-W25-W27-W28</f>
        <v>885356.27774000005</v>
      </c>
      <c r="X30" s="63">
        <f>X21-X23-X25-X27-X28</f>
        <v>130390</v>
      </c>
      <c r="Y30" s="63">
        <f>Y21-Y23-Y25-Y27-Y28</f>
        <v>178365.31041999976</v>
      </c>
      <c r="Z30" s="65">
        <f>+Y30-X30</f>
        <v>47975.310419999762</v>
      </c>
      <c r="AA30" s="66">
        <f>IF(U30=0,"",(V30-U30)/ABS(U30)+1)</f>
        <v>1.3679341678809718</v>
      </c>
      <c r="AB30" s="63">
        <f>AB21-AB23-AB25-AB27-AB28</f>
        <v>885357.15875999851</v>
      </c>
      <c r="AC30" s="28">
        <f>IF(AB30=0,"",(Y30-AB30)/ABS(AB30))</f>
        <v>-0.79853857998978373</v>
      </c>
      <c r="AD30" s="46"/>
      <c r="AE30" s="46"/>
    </row>
    <row r="31" spans="1:35" x14ac:dyDescent="0.2">
      <c r="B31" s="3" t="s">
        <v>37</v>
      </c>
      <c r="C31" s="59">
        <v>159631</v>
      </c>
      <c r="D31" s="28">
        <f t="shared" si="11"/>
        <v>0.17329477296388332</v>
      </c>
      <c r="E31" s="59">
        <v>181834.88284000001</v>
      </c>
      <c r="F31" s="28">
        <f>+E31/$E$20</f>
        <v>0.20105929455987601</v>
      </c>
      <c r="G31" s="28">
        <f>IF(C31=0,"",(E31-C31)/ABS(C31)+1)</f>
        <v>1.1390950557222594</v>
      </c>
      <c r="H31" s="59">
        <v>150289.08852000002</v>
      </c>
      <c r="I31" s="28">
        <f t="shared" si="12"/>
        <v>0.18270187122546</v>
      </c>
      <c r="J31" s="28">
        <f>IF(H31=0,"",(E31-H31)/ABS(H31))</f>
        <v>0.20990076279424616</v>
      </c>
      <c r="K31" s="59">
        <v>1732606</v>
      </c>
      <c r="L31" s="28">
        <f t="shared" si="5"/>
        <v>0.19464257328139437</v>
      </c>
      <c r="M31" s="59">
        <v>1701795.03281</v>
      </c>
      <c r="N31" s="28">
        <f>+M31/$M$20</f>
        <v>0.19372140011564845</v>
      </c>
      <c r="O31" s="28">
        <f>IF(K31=0,"",(M31-K31)/ABS(K31)+1)</f>
        <v>0.98221697997698265</v>
      </c>
      <c r="P31" s="59">
        <v>1512239.6007900001</v>
      </c>
      <c r="Q31" s="28">
        <f t="shared" si="8"/>
        <v>0.19426951102105749</v>
      </c>
      <c r="R31" s="28">
        <f>IF(P31=0,"",(M31-P31)/ABS(P31))</f>
        <v>0.12534748588846334</v>
      </c>
      <c r="S31" s="60"/>
      <c r="T31" s="46"/>
      <c r="U31" s="50" t="s">
        <v>46</v>
      </c>
      <c r="V31" s="50" t="s">
        <v>46</v>
      </c>
      <c r="W31" s="46" t="s">
        <v>46</v>
      </c>
      <c r="X31" s="50" t="s">
        <v>46</v>
      </c>
      <c r="Y31" s="50" t="s">
        <v>46</v>
      </c>
      <c r="Z31" s="50"/>
      <c r="AA31" s="50"/>
      <c r="AB31" s="67" t="s">
        <v>46</v>
      </c>
      <c r="AC31" s="46"/>
      <c r="AD31" s="46"/>
      <c r="AE31" s="46"/>
    </row>
    <row r="32" spans="1:35" x14ac:dyDescent="0.2">
      <c r="B32" s="3" t="s">
        <v>38</v>
      </c>
      <c r="C32" s="59">
        <f>SUM(C30:C31)</f>
        <v>220079</v>
      </c>
      <c r="D32" s="28">
        <f t="shared" si="11"/>
        <v>0.23891687917208107</v>
      </c>
      <c r="E32" s="59">
        <f>SUM(E30:E31)</f>
        <v>237708.99110000001</v>
      </c>
      <c r="F32" s="28">
        <f>+E32/$E$20</f>
        <v>0.26284066794356697</v>
      </c>
      <c r="G32" s="28">
        <f>IF(C32=0,"",(E32-C32)/ABS(C32)+1)</f>
        <v>1.0801075572862473</v>
      </c>
      <c r="H32" s="59">
        <f>SUM(H30:H31)</f>
        <v>190550.23801000003</v>
      </c>
      <c r="I32" s="28">
        <f t="shared" si="12"/>
        <v>0.23164612540883733</v>
      </c>
      <c r="J32" s="28">
        <f>IF(H32=0,"",(E32-H32)/ABS(H32))</f>
        <v>0.24748724316746906</v>
      </c>
      <c r="K32" s="59">
        <f>SUM(K30:K31)</f>
        <v>2270576</v>
      </c>
      <c r="L32" s="28">
        <f t="shared" si="5"/>
        <v>0.25507862460996633</v>
      </c>
      <c r="M32" s="59">
        <f>SUM(M30:M31)</f>
        <v>2202471.3969299998</v>
      </c>
      <c r="N32" s="28">
        <f>+M32/$M$20</f>
        <v>0.25071517691730361</v>
      </c>
      <c r="O32" s="28">
        <f>IF(K32=0,"",(M32-K32)/ABS(K32)+1)</f>
        <v>0.97000558313397123</v>
      </c>
      <c r="P32" s="59">
        <f>SUM(P30:P31)</f>
        <v>1907006.8619200001</v>
      </c>
      <c r="Q32" s="28">
        <f t="shared" si="8"/>
        <v>0.24498319603947877</v>
      </c>
      <c r="R32" s="28">
        <f>IF(P32=0,"",(M32-P32)/ABS(P32))</f>
        <v>0.15493627260078241</v>
      </c>
      <c r="S32" s="60"/>
      <c r="T32" s="46" t="s">
        <v>71</v>
      </c>
      <c r="U32" s="67"/>
      <c r="V32" s="67"/>
      <c r="W32" s="67"/>
      <c r="X32" s="67"/>
      <c r="Y32" s="67"/>
      <c r="Z32" s="67"/>
      <c r="AA32" s="67"/>
      <c r="AB32" s="67"/>
      <c r="AC32" s="46"/>
    </row>
    <row r="33" spans="1:29" x14ac:dyDescent="0.2">
      <c r="B33" s="3"/>
      <c r="C33" s="59"/>
      <c r="D33" s="28"/>
      <c r="E33" s="59"/>
      <c r="F33" s="28"/>
      <c r="G33" s="28"/>
      <c r="H33" s="59"/>
      <c r="I33" s="28"/>
      <c r="J33" s="28"/>
      <c r="K33" s="59"/>
      <c r="L33" s="28"/>
      <c r="M33" s="59"/>
      <c r="N33" s="28"/>
      <c r="O33" s="28"/>
      <c r="P33" s="59"/>
      <c r="Q33" s="28"/>
      <c r="R33" s="28"/>
      <c r="S33" s="60"/>
      <c r="T33" s="46"/>
      <c r="U33" s="67"/>
      <c r="V33" s="67"/>
      <c r="W33" s="67"/>
      <c r="X33" s="67"/>
      <c r="Y33" s="67"/>
      <c r="Z33" s="67"/>
      <c r="AA33" s="67"/>
      <c r="AB33" s="67"/>
      <c r="AC33" s="46"/>
    </row>
    <row r="34" spans="1:29" x14ac:dyDescent="0.2">
      <c r="B34" s="3" t="s">
        <v>39</v>
      </c>
      <c r="C34" s="59">
        <f>C28+C32</f>
        <v>698150</v>
      </c>
      <c r="D34" s="28">
        <f t="shared" si="11"/>
        <v>0.75790883816260712</v>
      </c>
      <c r="E34" s="59">
        <f>E28+E32</f>
        <v>752354.28779999993</v>
      </c>
      <c r="F34" s="28">
        <f>+E34/$E$20</f>
        <v>0.83189660862415149</v>
      </c>
      <c r="G34" s="28">
        <f>IF(C34=0,"",(E34-C34)/ABS(C34)+1)</f>
        <v>1.0776398879896869</v>
      </c>
      <c r="H34" s="59">
        <f>H28+H32</f>
        <v>652483.04215000011</v>
      </c>
      <c r="I34" s="28">
        <f t="shared" si="12"/>
        <v>0.79320377758377059</v>
      </c>
      <c r="J34" s="28">
        <f>IF(H34=0,"",(E34-H34)/ABS(H34))</f>
        <v>0.1530633582765823</v>
      </c>
      <c r="K34" s="59">
        <f>K28+K32</f>
        <v>7079667</v>
      </c>
      <c r="L34" s="28">
        <f t="shared" si="5"/>
        <v>0.79533639087903973</v>
      </c>
      <c r="M34" s="59">
        <f>M28+M32</f>
        <v>6987576.3845300004</v>
      </c>
      <c r="N34" s="28">
        <f>+M34/$M$20</f>
        <v>0.79542074957820275</v>
      </c>
      <c r="O34" s="28">
        <f>IF(K34=0,"",(M34-K34)/ABS(K34)+1)</f>
        <v>0.98699223911661382</v>
      </c>
      <c r="P34" s="59">
        <f>P28+P32</f>
        <v>6439424.6467400007</v>
      </c>
      <c r="Q34" s="28">
        <f t="shared" si="8"/>
        <v>0.82723919987653194</v>
      </c>
      <c r="R34" s="28">
        <f>IF(P34=0,"",(M34-P34)/ABS(P34))</f>
        <v>8.5124334526921586E-2</v>
      </c>
      <c r="S34" s="60"/>
      <c r="T34" s="45"/>
      <c r="U34" s="47"/>
      <c r="V34" s="47"/>
      <c r="W34" s="47"/>
      <c r="X34" s="67"/>
      <c r="Y34" s="67"/>
      <c r="Z34" s="67"/>
      <c r="AA34" s="67"/>
    </row>
    <row r="35" spans="1:29" x14ac:dyDescent="0.2">
      <c r="B35" s="3"/>
      <c r="C35" s="59"/>
      <c r="D35" s="28"/>
      <c r="E35" s="59"/>
      <c r="F35" s="28"/>
      <c r="G35" s="28"/>
      <c r="H35" s="59"/>
      <c r="I35" s="28"/>
      <c r="J35" s="28"/>
      <c r="K35" s="59"/>
      <c r="L35" s="28"/>
      <c r="M35" s="59"/>
      <c r="N35" s="28"/>
      <c r="O35" s="28"/>
      <c r="P35" s="59"/>
      <c r="Q35" s="28"/>
      <c r="R35" s="28"/>
      <c r="S35" s="60"/>
      <c r="T35" s="45"/>
      <c r="U35" s="47"/>
      <c r="V35" s="47"/>
      <c r="W35" s="47"/>
      <c r="X35" s="67"/>
      <c r="Y35" s="67"/>
      <c r="Z35" s="67"/>
      <c r="AA35" s="67"/>
    </row>
    <row r="36" spans="1:29" x14ac:dyDescent="0.2">
      <c r="B36" s="17" t="s">
        <v>40</v>
      </c>
      <c r="C36" s="63">
        <f>C24-C34</f>
        <v>139471</v>
      </c>
      <c r="D36" s="36">
        <f t="shared" si="11"/>
        <v>0.15140915787062517</v>
      </c>
      <c r="E36" s="63">
        <f>E24-E34</f>
        <v>65084.996930000023</v>
      </c>
      <c r="F36" s="36">
        <f>+E36/$E$20</f>
        <v>7.1966079141657729E-2</v>
      </c>
      <c r="G36" s="36">
        <f>IF(C36=0,"",(E36-C36)/ABS(C36)+1)</f>
        <v>0.46665612872927009</v>
      </c>
      <c r="H36" s="63">
        <f>H24-H34</f>
        <v>95103.25990999979</v>
      </c>
      <c r="I36" s="36">
        <f t="shared" si="12"/>
        <v>0.11561413883274665</v>
      </c>
      <c r="J36" s="36">
        <f>IF(H36=0,"",(E36-H36)/ABS(H36))</f>
        <v>-0.31563863329613845</v>
      </c>
      <c r="K36" s="63">
        <f>K24-K34</f>
        <v>1083360</v>
      </c>
      <c r="L36" s="36">
        <f t="shared" si="5"/>
        <v>0.12170567237452221</v>
      </c>
      <c r="M36" s="63">
        <f>+M24-M34</f>
        <v>1006459.577680001</v>
      </c>
      <c r="N36" s="36">
        <f>+M36/$M$20</f>
        <v>0.11456888449488271</v>
      </c>
      <c r="O36" s="36">
        <f>IF(K36=0,"",(M36-K36)/ABS(K36)+1)</f>
        <v>0.92901674206173479</v>
      </c>
      <c r="P36" s="63">
        <f>P24-P34</f>
        <v>885303.32926999964</v>
      </c>
      <c r="Q36" s="36">
        <f t="shared" si="8"/>
        <v>0.11373028770887242</v>
      </c>
      <c r="R36" s="36">
        <f>IF(P36=0,"",(M36-P36)/ABS(P36))</f>
        <v>0.13685281010961972</v>
      </c>
      <c r="S36" s="60"/>
      <c r="T36" s="45"/>
      <c r="W36" s="47"/>
      <c r="X36" s="67"/>
      <c r="Y36" s="67"/>
      <c r="Z36" s="67"/>
      <c r="AA36" s="67"/>
    </row>
    <row r="37" spans="1:29" x14ac:dyDescent="0.2">
      <c r="B37" s="3"/>
      <c r="C37" s="59"/>
      <c r="D37" s="28"/>
      <c r="E37" s="59"/>
      <c r="F37" s="28"/>
      <c r="G37" s="28"/>
      <c r="H37" s="59"/>
      <c r="I37" s="28"/>
      <c r="J37" s="28"/>
      <c r="K37" s="59"/>
      <c r="L37" s="28"/>
      <c r="M37" s="59"/>
      <c r="N37" s="28"/>
      <c r="O37" s="28"/>
      <c r="P37" s="59"/>
      <c r="Q37" s="28"/>
      <c r="R37" s="28"/>
      <c r="S37" s="60"/>
      <c r="W37" s="47"/>
      <c r="X37" s="67"/>
      <c r="Y37" s="67"/>
      <c r="Z37" s="67"/>
      <c r="AA37" s="67"/>
    </row>
    <row r="38" spans="1:29" x14ac:dyDescent="0.2">
      <c r="B38" s="3" t="s">
        <v>41</v>
      </c>
      <c r="C38" s="59">
        <v>640</v>
      </c>
      <c r="D38" s="28">
        <f t="shared" si="11"/>
        <v>6.9478143153200392E-4</v>
      </c>
      <c r="E38" s="59">
        <v>7000.2719000000006</v>
      </c>
      <c r="F38" s="28">
        <f>+E38/$E$20</f>
        <v>7.7403725179606081E-3</v>
      </c>
      <c r="G38" s="28">
        <f>IF(C38=0,"",(E38-C38)/ABS(C38)+1)</f>
        <v>10.93792484375</v>
      </c>
      <c r="H38" s="59">
        <v>10044.670269999999</v>
      </c>
      <c r="I38" s="28">
        <f t="shared" si="12"/>
        <v>1.2210999961767192E-2</v>
      </c>
      <c r="J38" s="28">
        <f>IF(H38=0,"",(E38-H38)/ABS(H38))</f>
        <v>-0.30308594390525456</v>
      </c>
      <c r="K38" s="59">
        <v>6400</v>
      </c>
      <c r="L38" s="28">
        <f t="shared" si="5"/>
        <v>7.1898196647184878E-4</v>
      </c>
      <c r="M38" s="59">
        <v>23751.751359999998</v>
      </c>
      <c r="N38" s="28">
        <f>+M38/$M$20</f>
        <v>2.7037465969450085E-3</v>
      </c>
      <c r="O38" s="28">
        <f>IF(K38=0,"",(M38-K38)/ABS(K38)+1)</f>
        <v>3.7112111499999996</v>
      </c>
      <c r="P38" s="59">
        <v>213082.39149000001</v>
      </c>
      <c r="Q38" s="28">
        <f t="shared" si="8"/>
        <v>2.737358020536872E-2</v>
      </c>
      <c r="R38" s="28">
        <f>IF(P38=0,"",(M38-P38)/ABS(P38))</f>
        <v>-0.88853254746244636</v>
      </c>
      <c r="S38" s="60"/>
      <c r="T38" s="45"/>
      <c r="X38" s="67"/>
      <c r="Y38" s="67"/>
      <c r="Z38" s="67"/>
      <c r="AA38" s="67"/>
    </row>
    <row r="39" spans="1:29" x14ac:dyDescent="0.2">
      <c r="B39" s="3" t="s">
        <v>42</v>
      </c>
      <c r="C39" s="59">
        <v>14346</v>
      </c>
      <c r="D39" s="28">
        <f t="shared" si="11"/>
        <v>1.5573960026184575E-2</v>
      </c>
      <c r="E39" s="59">
        <v>21985.835010000003</v>
      </c>
      <c r="F39" s="28">
        <f>+E39/$E$20</f>
        <v>2.4310277590191918E-2</v>
      </c>
      <c r="G39" s="28">
        <f>IF(C39=0,"",(E39-C39)/ABS(C39)+1)</f>
        <v>1.5325411271434548</v>
      </c>
      <c r="H39" s="59">
        <v>25952.612450000001</v>
      </c>
      <c r="I39" s="28">
        <f t="shared" si="12"/>
        <v>3.1549801149889686E-2</v>
      </c>
      <c r="J39" s="28">
        <f>IF(H39=0,"",(E39-H39)/ABS(H39))</f>
        <v>-0.15284694161878096</v>
      </c>
      <c r="K39" s="59">
        <v>149888</v>
      </c>
      <c r="L39" s="28">
        <f t="shared" si="5"/>
        <v>1.6838557654770697E-2</v>
      </c>
      <c r="M39" s="59">
        <v>173555.50513999999</v>
      </c>
      <c r="N39" s="28">
        <f>+M39/$M$20</f>
        <v>1.9756442347809544E-2</v>
      </c>
      <c r="O39" s="28">
        <f>IF(K39=0,"",(M39-K39)/ABS(K39)+1)</f>
        <v>1.1579012672128521</v>
      </c>
      <c r="P39" s="59">
        <v>268758.65529000002</v>
      </c>
      <c r="Q39" s="28">
        <f t="shared" si="8"/>
        <v>3.4526018574430724E-2</v>
      </c>
      <c r="R39" s="28">
        <f>IF(P39=0,"",(M39-P39)/ABS(P39))</f>
        <v>-0.3542328712996145</v>
      </c>
      <c r="S39" s="60"/>
      <c r="T39" s="45"/>
      <c r="X39" s="67"/>
      <c r="Y39" s="67"/>
      <c r="Z39" s="67"/>
      <c r="AA39" s="67"/>
    </row>
    <row r="40" spans="1:29" x14ac:dyDescent="0.2">
      <c r="B40" s="3"/>
      <c r="C40" s="59"/>
      <c r="D40" s="28"/>
      <c r="E40" s="59"/>
      <c r="F40" s="28"/>
      <c r="G40" s="28"/>
      <c r="H40" s="59"/>
      <c r="I40" s="28"/>
      <c r="J40" s="28"/>
      <c r="K40" s="59"/>
      <c r="L40" s="28"/>
      <c r="M40" s="59"/>
      <c r="N40" s="28"/>
      <c r="O40" s="28"/>
      <c r="P40" s="59"/>
      <c r="Q40" s="28"/>
      <c r="R40" s="28"/>
      <c r="S40" s="60"/>
      <c r="T40" s="45"/>
      <c r="X40" s="67"/>
      <c r="Y40" s="67"/>
      <c r="Z40" s="67"/>
      <c r="AA40" s="67"/>
    </row>
    <row r="41" spans="1:29" x14ac:dyDescent="0.2">
      <c r="B41" s="3" t="s">
        <v>43</v>
      </c>
      <c r="C41" s="59">
        <f>C36+C38-C39</f>
        <v>125765</v>
      </c>
      <c r="D41" s="28">
        <f t="shared" si="11"/>
        <v>0.1365299792759726</v>
      </c>
      <c r="E41" s="59">
        <f>E36+E38-E39</f>
        <v>50099.433820000027</v>
      </c>
      <c r="F41" s="28">
        <f>+E41/$E$20</f>
        <v>5.5396174069426422E-2</v>
      </c>
      <c r="G41" s="28">
        <f>IF(C41=0,"",(E41-C41)/ABS(C41)+1)</f>
        <v>0.39835752252216461</v>
      </c>
      <c r="H41" s="59">
        <f>H36+H38-H39</f>
        <v>79195.317729999791</v>
      </c>
      <c r="I41" s="28">
        <f t="shared" si="12"/>
        <v>9.6275337644624162E-2</v>
      </c>
      <c r="J41" s="28">
        <f>IF(H41=0,"",(E41-H41)/ABS(H41))</f>
        <v>-0.36739399176598064</v>
      </c>
      <c r="K41" s="59">
        <f>K36+K38-K39</f>
        <v>939872</v>
      </c>
      <c r="L41" s="28">
        <f t="shared" si="5"/>
        <v>0.10558609668622335</v>
      </c>
      <c r="M41" s="59">
        <f>M36+M38-M39</f>
        <v>856655.82390000101</v>
      </c>
      <c r="N41" s="28">
        <f>+M41/$M$20</f>
        <v>9.751618874401817E-2</v>
      </c>
      <c r="O41" s="28">
        <f>IF(K41=0,"",(M41-K41)/ABS(K41)+1)</f>
        <v>0.9114600965876215</v>
      </c>
      <c r="P41" s="59">
        <f>P36+P38-P39</f>
        <v>829627.06546999968</v>
      </c>
      <c r="Q41" s="28">
        <f t="shared" si="8"/>
        <v>0.10657784933981042</v>
      </c>
      <c r="R41" s="28">
        <f>IF(P41=0,"",(M41-P41)/ABS(P41))</f>
        <v>3.2579407730254091E-2</v>
      </c>
      <c r="S41" s="60"/>
      <c r="T41" s="45"/>
      <c r="X41" s="67"/>
      <c r="Y41" s="67"/>
      <c r="Z41" s="67"/>
      <c r="AA41" s="67"/>
    </row>
    <row r="42" spans="1:29" x14ac:dyDescent="0.2">
      <c r="B42" s="3" t="s">
        <v>29</v>
      </c>
      <c r="C42" s="59">
        <v>45279</v>
      </c>
      <c r="D42" s="28">
        <f t="shared" si="11"/>
        <v>4.9154700684902505E-2</v>
      </c>
      <c r="E42" s="59">
        <v>20557.055</v>
      </c>
      <c r="F42" s="28">
        <f>+E42/$E$20</f>
        <v>2.2730440452206534E-2</v>
      </c>
      <c r="G42" s="28">
        <f>IF(C42=0,"",(E42-C42)/ABS(C42)+1)</f>
        <v>0.45400859117913384</v>
      </c>
      <c r="H42" s="59">
        <v>16426.134999999998</v>
      </c>
      <c r="I42" s="28">
        <f t="shared" si="12"/>
        <v>1.996875242943965E-2</v>
      </c>
      <c r="J42" s="28">
        <f>IF(H42=0,"",(E42-H42)/ABS(H42))</f>
        <v>0.2514846006075076</v>
      </c>
      <c r="K42" s="59">
        <v>338382</v>
      </c>
      <c r="L42" s="28">
        <f t="shared" si="5"/>
        <v>3.8014149340418302E-2</v>
      </c>
      <c r="M42" s="59">
        <v>299890.45199999999</v>
      </c>
      <c r="N42" s="28">
        <f>+M42/$M$20</f>
        <v>3.4137600076801264E-2</v>
      </c>
      <c r="O42" s="28">
        <f>IF(K42=0,"",(M42-K42)/ABS(K42)+1)</f>
        <v>0.88624824015461812</v>
      </c>
      <c r="P42" s="59">
        <v>277929.185</v>
      </c>
      <c r="Q42" s="28">
        <f t="shared" si="8"/>
        <v>3.5704108555433128E-2</v>
      </c>
      <c r="R42" s="28">
        <f>IF(P42=0,"",(M42-P42)/ABS(P42))</f>
        <v>7.9017491452004193E-2</v>
      </c>
      <c r="S42" s="60"/>
      <c r="X42" s="67"/>
      <c r="Y42" s="67"/>
      <c r="Z42" s="67"/>
      <c r="AA42" s="67"/>
    </row>
    <row r="43" spans="1:29" x14ac:dyDescent="0.2">
      <c r="B43" s="17" t="s">
        <v>44</v>
      </c>
      <c r="C43" s="63">
        <f>+C41-C42</f>
        <v>80486</v>
      </c>
      <c r="D43" s="36">
        <f t="shared" si="11"/>
        <v>8.737527859107011E-2</v>
      </c>
      <c r="E43" s="63">
        <f>E41-E42</f>
        <v>29542.378820000027</v>
      </c>
      <c r="F43" s="36">
        <f>+E43/$E$20</f>
        <v>3.2665733617219889E-2</v>
      </c>
      <c r="G43" s="36">
        <f>IF(C43=0,"",(E43-C43)/ABS(C43)+1)</f>
        <v>0.36704990706458296</v>
      </c>
      <c r="H43" s="63">
        <f>+H41-H42</f>
        <v>62769.182729999797</v>
      </c>
      <c r="I43" s="36">
        <f t="shared" si="12"/>
        <v>7.6306585215184519E-2</v>
      </c>
      <c r="J43" s="36">
        <f>IF(H43=0,"",(E43-H43)/ABS(H43))</f>
        <v>-0.52934899683056424</v>
      </c>
      <c r="K43" s="63">
        <f>+K41-K42</f>
        <v>601490</v>
      </c>
      <c r="L43" s="36">
        <f t="shared" si="5"/>
        <v>6.7571947345805045E-2</v>
      </c>
      <c r="M43" s="63">
        <f>+M41-M42</f>
        <v>556765.37190000108</v>
      </c>
      <c r="N43" s="36">
        <f>+M43/$M$20</f>
        <v>6.337858866721692E-2</v>
      </c>
      <c r="O43" s="36">
        <f>IF(K43=0,"",(M43-K43)/ABS(K43)+1)</f>
        <v>0.92564360488121344</v>
      </c>
      <c r="P43" s="63">
        <f>P41-P42</f>
        <v>551697.88046999974</v>
      </c>
      <c r="Q43" s="36">
        <f t="shared" si="8"/>
        <v>7.0873740784377304E-2</v>
      </c>
      <c r="R43" s="36">
        <f>IF(P43=0,"",(M43-P43)/ABS(P43))</f>
        <v>9.1852653587943117E-3</v>
      </c>
      <c r="S43" s="60"/>
      <c r="T43" s="68"/>
      <c r="W43" s="47"/>
      <c r="X43" s="67"/>
      <c r="Y43" s="67"/>
      <c r="Z43" s="67"/>
      <c r="AA43" s="67"/>
    </row>
    <row r="44" spans="1:29" x14ac:dyDescent="0.2">
      <c r="B44" s="3"/>
      <c r="C44" s="59"/>
      <c r="D44" s="28"/>
      <c r="E44" s="59"/>
      <c r="F44" s="28"/>
      <c r="G44" s="28"/>
      <c r="H44" s="59"/>
      <c r="I44" s="28"/>
      <c r="J44" s="28"/>
      <c r="K44" s="59"/>
      <c r="L44" s="28"/>
      <c r="M44" s="59"/>
      <c r="N44" s="28"/>
      <c r="O44" s="28"/>
      <c r="P44" s="59"/>
      <c r="Q44" s="28"/>
      <c r="R44" s="28"/>
      <c r="S44" s="60"/>
      <c r="W44" s="47"/>
      <c r="X44" s="67"/>
      <c r="Y44" s="67"/>
      <c r="Z44" s="67"/>
      <c r="AA44" s="67"/>
    </row>
    <row r="45" spans="1:29" x14ac:dyDescent="0.2">
      <c r="A45" s="62" t="s">
        <v>72</v>
      </c>
      <c r="B45" s="3" t="s">
        <v>73</v>
      </c>
      <c r="C45" s="59">
        <v>180646</v>
      </c>
      <c r="D45" s="28">
        <f t="shared" si="11"/>
        <v>0.1961085726258287</v>
      </c>
      <c r="E45" s="59">
        <v>105496.98525000003</v>
      </c>
      <c r="F45" s="28">
        <f>+E45/$E$20</f>
        <v>0.11665060686525559</v>
      </c>
      <c r="G45" s="28">
        <f>IF(C45=0,"",(E45-C45)/ABS(C45)+1)</f>
        <v>0.5839984569268073</v>
      </c>
      <c r="H45" s="59">
        <v>91562.4075499998</v>
      </c>
      <c r="I45" s="28">
        <f t="shared" si="12"/>
        <v>0.11130963237605207</v>
      </c>
      <c r="J45" s="28">
        <f>IF(H45=0,"",(E45-H45)/ABS(H45))</f>
        <v>0.15218666779148335</v>
      </c>
      <c r="K45" s="59">
        <v>1495971</v>
      </c>
      <c r="L45" s="28">
        <f t="shared" si="5"/>
        <v>0.16805877677575906</v>
      </c>
      <c r="M45" s="59">
        <v>1408617.544710001</v>
      </c>
      <c r="N45" s="28">
        <f>+M45/$M$20</f>
        <v>0.16034796066957055</v>
      </c>
      <c r="O45" s="28">
        <f>IF(K45=0,"",(M45-K45)/ABS(K45)+1)</f>
        <v>0.94160752094124889</v>
      </c>
      <c r="P45" s="59">
        <v>1210456.1529999997</v>
      </c>
      <c r="Q45" s="28">
        <f t="shared" si="8"/>
        <v>0.1555009701061224</v>
      </c>
      <c r="R45" s="28">
        <f>IF(P45=0,"",(M45-P45)/ABS(P45))</f>
        <v>0.16370802958775271</v>
      </c>
      <c r="S45" s="60"/>
      <c r="X45" s="67"/>
      <c r="Y45" s="67"/>
      <c r="Z45" s="67"/>
      <c r="AA45" s="67"/>
    </row>
    <row r="46" spans="1:29" x14ac:dyDescent="0.2">
      <c r="A46" s="69"/>
      <c r="B46" s="3" t="s">
        <v>20</v>
      </c>
      <c r="C46" s="59">
        <v>369971</v>
      </c>
      <c r="D46" s="28">
        <f t="shared" si="11"/>
        <v>0.40163903282082347</v>
      </c>
      <c r="E46" s="59">
        <v>363758.83</v>
      </c>
      <c r="F46" s="28">
        <f>+E46/$E$20</f>
        <v>0.40221706972517807</v>
      </c>
      <c r="G46" s="28">
        <f>IF(C46=0,"",(E46-C46)/ABS(C46)+1)</f>
        <v>0.98320903530276704</v>
      </c>
      <c r="H46" s="59">
        <v>311008.18300000002</v>
      </c>
      <c r="I46" s="28">
        <f t="shared" si="12"/>
        <v>0.37808318328425172</v>
      </c>
      <c r="J46" s="28">
        <f>IF(H46=0,"",(E46-H46)/ABS(H46))</f>
        <v>0.16961176548849841</v>
      </c>
      <c r="K46" s="59">
        <v>3648751</v>
      </c>
      <c r="L46" s="28">
        <f t="shared" si="5"/>
        <v>0.40990408892908198</v>
      </c>
      <c r="M46" s="59">
        <v>3507519.9210000001</v>
      </c>
      <c r="N46" s="28">
        <f>+M46/$M$20</f>
        <v>0.39927350646199156</v>
      </c>
      <c r="O46" s="28">
        <f>IF(K46=0,"",(M46-K46)/ABS(K46)+1)</f>
        <v>0.96129330858696582</v>
      </c>
      <c r="P46" s="59">
        <v>3173979.8739999998</v>
      </c>
      <c r="Q46" s="28">
        <f t="shared" si="8"/>
        <v>0.40774459139314917</v>
      </c>
      <c r="R46" s="28">
        <f>IF(P46=0,"",(M46-P46)/ABS(P46))</f>
        <v>0.10508574730804997</v>
      </c>
      <c r="S46" s="60"/>
      <c r="X46" s="67"/>
      <c r="Y46" s="67"/>
      <c r="Z46" s="67"/>
      <c r="AA46" s="67"/>
    </row>
    <row r="47" spans="1:29" x14ac:dyDescent="0.2">
      <c r="B47" s="3" t="s">
        <v>71</v>
      </c>
      <c r="C47" s="59"/>
      <c r="J47" s="59"/>
      <c r="K47" s="59"/>
      <c r="L47" s="59"/>
      <c r="M47" s="59"/>
      <c r="N47" s="59"/>
      <c r="O47" s="59"/>
      <c r="P47" s="59"/>
      <c r="Q47" s="59"/>
      <c r="S47" s="60"/>
      <c r="X47" s="67"/>
      <c r="Y47" s="67"/>
      <c r="Z47" s="67"/>
      <c r="AA47" s="67"/>
    </row>
    <row r="48" spans="1:29" x14ac:dyDescent="0.2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S48" s="60"/>
      <c r="X48" s="67"/>
      <c r="Y48" s="67"/>
      <c r="Z48" s="67"/>
      <c r="AA48" s="67"/>
    </row>
    <row r="49" spans="1:27" x14ac:dyDescent="0.2"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X49" s="67"/>
      <c r="Y49" s="67"/>
      <c r="Z49" s="67"/>
      <c r="AA49" s="67"/>
    </row>
    <row r="50" spans="1:27" x14ac:dyDescent="0.2"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</row>
    <row r="51" spans="1:27" x14ac:dyDescent="0.2"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</row>
    <row r="52" spans="1:27" x14ac:dyDescent="0.2"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</row>
    <row r="53" spans="1:27" x14ac:dyDescent="0.2"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</row>
    <row r="54" spans="1:27" x14ac:dyDescent="0.2">
      <c r="J54" s="59"/>
      <c r="K54" s="59"/>
      <c r="L54" s="59"/>
      <c r="M54" s="59"/>
      <c r="N54" s="59"/>
      <c r="O54" s="59"/>
      <c r="P54" s="59"/>
      <c r="Q54" s="59"/>
      <c r="R54" s="59"/>
      <c r="S54" s="59"/>
    </row>
    <row r="55" spans="1:27" x14ac:dyDescent="0.2">
      <c r="A55" s="44" t="s">
        <v>74</v>
      </c>
    </row>
    <row r="56" spans="1:27" x14ac:dyDescent="0.2">
      <c r="C56" s="45"/>
    </row>
  </sheetData>
  <conditionalFormatting sqref="D9:D46 AC19:AC28 AC30 AC10:AC11 AC13:AC17 J10:J46 G10:G46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C7661-9EB7-47FC-99B7-04BCF3C5D953}">
  <sheetPr>
    <tabColor theme="2" tint="-0.249977111117893"/>
  </sheetPr>
  <dimension ref="A1:V48"/>
  <sheetViews>
    <sheetView showGridLines="0" zoomScale="93" zoomScaleNormal="93" workbookViewId="0">
      <selection activeCell="M18" sqref="M18"/>
    </sheetView>
  </sheetViews>
  <sheetFormatPr baseColWidth="10" defaultRowHeight="12.75" x14ac:dyDescent="0.2"/>
  <cols>
    <col min="1" max="1" width="4.140625" style="71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42" customFormat="1" ht="18.75" customHeight="1" x14ac:dyDescent="0.2">
      <c r="A1" s="70"/>
      <c r="B1" s="41"/>
      <c r="S1" s="2"/>
      <c r="T1" s="2"/>
      <c r="U1" s="2"/>
      <c r="V1" s="2"/>
    </row>
    <row r="2" spans="1:22" ht="15.75" customHeight="1" x14ac:dyDescent="0.2"/>
    <row r="3" spans="1:22" ht="18" x14ac:dyDescent="0.25">
      <c r="B3" s="13" t="s">
        <v>75</v>
      </c>
      <c r="T3" s="15"/>
    </row>
    <row r="4" spans="1:22" x14ac:dyDescent="0.2">
      <c r="B4" s="3" t="s">
        <v>76</v>
      </c>
    </row>
    <row r="5" spans="1:22" x14ac:dyDescent="0.2">
      <c r="A5" s="71">
        <f>+Paramet!A3</f>
        <v>202101</v>
      </c>
      <c r="B5" s="3" t="s">
        <v>7</v>
      </c>
    </row>
    <row r="6" spans="1:22" ht="13.5" thickBot="1" x14ac:dyDescent="0.25">
      <c r="A6" s="71">
        <f>+Paramet!A4</f>
        <v>202110</v>
      </c>
      <c r="B6" s="72" t="str">
        <f>+'COLOMB$ '!B6</f>
        <v>OCTUBRE de 2022</v>
      </c>
      <c r="K6" s="18" t="s">
        <v>8</v>
      </c>
      <c r="L6" s="18"/>
      <c r="M6" s="18"/>
      <c r="N6" s="18"/>
      <c r="O6" s="18"/>
      <c r="P6" s="18"/>
      <c r="Q6" s="18"/>
      <c r="R6" s="18"/>
    </row>
    <row r="7" spans="1:22" x14ac:dyDescent="0.2">
      <c r="A7" s="71">
        <f>+Paramet!B3</f>
        <v>202201</v>
      </c>
      <c r="B7" s="3"/>
      <c r="C7" s="46" t="str">
        <f>+'COLOMB$ '!D7:D7</f>
        <v>Ppto 2022</v>
      </c>
      <c r="D7" s="46"/>
      <c r="E7" s="46" t="str">
        <f>+'COLOMB$ '!F7:F7</f>
        <v>Real 2022</v>
      </c>
      <c r="F7" s="46"/>
      <c r="G7" s="42" t="s">
        <v>9</v>
      </c>
      <c r="H7" s="46" t="str">
        <f>+'COLOMB$ '!I7:I7</f>
        <v>Real 2021</v>
      </c>
      <c r="I7" s="46"/>
      <c r="J7" s="42" t="s">
        <v>10</v>
      </c>
      <c r="K7" s="46" t="str">
        <f>+C7</f>
        <v>Ppto 2022</v>
      </c>
      <c r="L7" s="46"/>
      <c r="M7" s="46" t="str">
        <f>+E7</f>
        <v>Real 2022</v>
      </c>
      <c r="N7" s="46"/>
      <c r="O7" s="42" t="s">
        <v>9</v>
      </c>
      <c r="P7" s="2" t="str">
        <f>+H7</f>
        <v>Real 2021</v>
      </c>
      <c r="R7" s="42" t="s">
        <v>10</v>
      </c>
    </row>
    <row r="8" spans="1:22" ht="13.5" thickBot="1" x14ac:dyDescent="0.25">
      <c r="A8" s="71">
        <f>+Paramet!B4</f>
        <v>202210</v>
      </c>
      <c r="B8" s="24" t="s">
        <v>12</v>
      </c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</row>
    <row r="9" spans="1:22" ht="15.75" customHeight="1" x14ac:dyDescent="0.2">
      <c r="A9" s="73" t="s">
        <v>77</v>
      </c>
    </row>
    <row r="10" spans="1:22" x14ac:dyDescent="0.2">
      <c r="B10" s="3" t="str">
        <f>+'COLOMB$ '!B10</f>
        <v>Musical Experience  (Ambiental)</v>
      </c>
      <c r="C10" s="59">
        <v>0</v>
      </c>
      <c r="D10" s="61">
        <f t="shared" ref="D10:D18" si="0">+C10/$C$20</f>
        <v>0</v>
      </c>
      <c r="E10" s="59"/>
      <c r="F10" s="61">
        <f t="shared" ref="F10:F20" si="1">IF($E$20=0,0,E10/$E$20)</f>
        <v>0</v>
      </c>
      <c r="G10" s="61" t="str">
        <f t="shared" ref="G10:G17" si="2">IF(C10=0,"",(E10-C10)/ABS(C10)+1)</f>
        <v/>
      </c>
      <c r="H10" s="59"/>
      <c r="I10" s="61" t="e">
        <f t="shared" ref="I10:I16" si="3">+H10/$H$20</f>
        <v>#DIV/0!</v>
      </c>
      <c r="J10" s="61" t="str">
        <f t="shared" ref="J10:J46" si="4">IF(H10&lt;=0,"",(E10-H10)/ABS(H10))</f>
        <v/>
      </c>
      <c r="K10" s="59"/>
      <c r="L10" s="61">
        <f t="shared" ref="L10:L20" si="5">+K10/$K$20</f>
        <v>0</v>
      </c>
      <c r="M10" s="59">
        <v>0</v>
      </c>
      <c r="N10" s="61">
        <f t="shared" ref="N10:N20" si="6">IF($M$20=0,0,M10/$M$20)</f>
        <v>0</v>
      </c>
      <c r="O10" s="61" t="str">
        <f t="shared" ref="O10:O17" si="7">IF(K10=0,"",(M10-K10)/ABS(K10)+1)</f>
        <v/>
      </c>
      <c r="P10" s="59"/>
      <c r="Q10" s="61">
        <f t="shared" ref="Q10:Q17" si="8">+P10/$P$20</f>
        <v>0</v>
      </c>
      <c r="R10" s="28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59">
        <v>0</v>
      </c>
      <c r="D11" s="61">
        <f t="shared" si="0"/>
        <v>0</v>
      </c>
      <c r="E11" s="59"/>
      <c r="F11" s="61">
        <f t="shared" si="1"/>
        <v>0</v>
      </c>
      <c r="G11" s="61" t="str">
        <f t="shared" si="2"/>
        <v/>
      </c>
      <c r="H11" s="59"/>
      <c r="I11" s="61" t="e">
        <f t="shared" si="3"/>
        <v>#DIV/0!</v>
      </c>
      <c r="J11" s="61" t="str">
        <f t="shared" si="4"/>
        <v/>
      </c>
      <c r="K11" s="59"/>
      <c r="L11" s="61">
        <f t="shared" si="5"/>
        <v>0</v>
      </c>
      <c r="M11" s="59">
        <v>50.42</v>
      </c>
      <c r="N11" s="61">
        <f t="shared" si="6"/>
        <v>7.7921917355167541E-2</v>
      </c>
      <c r="O11" s="61" t="str">
        <f t="shared" si="7"/>
        <v/>
      </c>
      <c r="P11" s="59"/>
      <c r="Q11" s="61">
        <f t="shared" si="8"/>
        <v>0</v>
      </c>
      <c r="R11" s="28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59">
        <v>0</v>
      </c>
      <c r="D12" s="61">
        <f t="shared" si="0"/>
        <v>0</v>
      </c>
      <c r="E12" s="59"/>
      <c r="F12" s="61">
        <f t="shared" si="1"/>
        <v>0</v>
      </c>
      <c r="G12" s="61" t="str">
        <f t="shared" si="2"/>
        <v/>
      </c>
      <c r="H12" s="59"/>
      <c r="I12" s="61" t="e">
        <f t="shared" si="3"/>
        <v>#DIV/0!</v>
      </c>
      <c r="J12" s="61" t="str">
        <f t="shared" si="4"/>
        <v/>
      </c>
      <c r="K12" s="59"/>
      <c r="L12" s="61">
        <f t="shared" si="5"/>
        <v>0</v>
      </c>
      <c r="M12" s="59">
        <v>0</v>
      </c>
      <c r="N12" s="61">
        <f t="shared" si="6"/>
        <v>0</v>
      </c>
      <c r="O12" s="61" t="str">
        <f t="shared" si="7"/>
        <v/>
      </c>
      <c r="P12" s="59">
        <f>+H12+T13</f>
        <v>0</v>
      </c>
      <c r="Q12" s="61">
        <f t="shared" si="8"/>
        <v>0</v>
      </c>
      <c r="R12" s="28" t="str">
        <f t="shared" si="9"/>
        <v/>
      </c>
    </row>
    <row r="13" spans="1:22" x14ac:dyDescent="0.2">
      <c r="B13" s="3" t="str">
        <f>+'COLOMB$ '!B13</f>
        <v>Service &amp; Equipment Experience</v>
      </c>
      <c r="C13" s="59">
        <v>1637</v>
      </c>
      <c r="D13" s="61">
        <f t="shared" si="0"/>
        <v>1</v>
      </c>
      <c r="E13" s="59">
        <v>193.27699999999999</v>
      </c>
      <c r="F13" s="61">
        <f t="shared" si="1"/>
        <v>1</v>
      </c>
      <c r="G13" s="61">
        <f t="shared" si="2"/>
        <v>0.11806780696395847</v>
      </c>
      <c r="H13" s="59">
        <v>0</v>
      </c>
      <c r="I13" s="61" t="e">
        <f t="shared" si="3"/>
        <v>#DIV/0!</v>
      </c>
      <c r="J13" s="61" t="str">
        <f t="shared" si="4"/>
        <v/>
      </c>
      <c r="K13" s="59">
        <v>15101</v>
      </c>
      <c r="L13" s="61">
        <f t="shared" si="5"/>
        <v>1</v>
      </c>
      <c r="M13" s="59">
        <v>596.63800000000003</v>
      </c>
      <c r="N13" s="61">
        <f t="shared" si="6"/>
        <v>0.92207808264483249</v>
      </c>
      <c r="O13" s="61">
        <f t="shared" si="7"/>
        <v>3.9509833785842052E-2</v>
      </c>
      <c r="P13" s="59">
        <v>15020.441000000001</v>
      </c>
      <c r="Q13" s="61">
        <f t="shared" si="8"/>
        <v>1</v>
      </c>
      <c r="R13" s="28">
        <f t="shared" si="9"/>
        <v>-0.96027826346776368</v>
      </c>
    </row>
    <row r="14" spans="1:22" x14ac:dyDescent="0.2">
      <c r="B14" s="3" t="str">
        <f>+'COLOMB$ '!B14</f>
        <v>POP Satelital</v>
      </c>
      <c r="C14" s="59">
        <v>0</v>
      </c>
      <c r="D14" s="61">
        <f t="shared" si="0"/>
        <v>0</v>
      </c>
      <c r="E14" s="59"/>
      <c r="F14" s="61">
        <f t="shared" si="1"/>
        <v>0</v>
      </c>
      <c r="G14" s="61" t="str">
        <f t="shared" si="2"/>
        <v/>
      </c>
      <c r="H14" s="59"/>
      <c r="I14" s="61" t="e">
        <f t="shared" si="3"/>
        <v>#DIV/0!</v>
      </c>
      <c r="J14" s="61" t="str">
        <f t="shared" si="4"/>
        <v/>
      </c>
      <c r="K14" s="59"/>
      <c r="L14" s="61">
        <f t="shared" si="5"/>
        <v>0</v>
      </c>
      <c r="M14" s="59">
        <v>0</v>
      </c>
      <c r="N14" s="61">
        <f t="shared" si="6"/>
        <v>0</v>
      </c>
      <c r="O14" s="61" t="str">
        <f t="shared" si="7"/>
        <v/>
      </c>
      <c r="P14" s="59">
        <f>+H14+T15</f>
        <v>0</v>
      </c>
      <c r="Q14" s="61">
        <f t="shared" si="8"/>
        <v>0</v>
      </c>
      <c r="R14" s="28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59">
        <v>0</v>
      </c>
      <c r="D15" s="61">
        <f t="shared" si="0"/>
        <v>0</v>
      </c>
      <c r="E15" s="59"/>
      <c r="F15" s="61">
        <f t="shared" si="1"/>
        <v>0</v>
      </c>
      <c r="G15" s="61" t="str">
        <f t="shared" si="2"/>
        <v/>
      </c>
      <c r="H15" s="59"/>
      <c r="I15" s="61" t="e">
        <f t="shared" si="3"/>
        <v>#DIV/0!</v>
      </c>
      <c r="J15" s="61" t="str">
        <f t="shared" si="4"/>
        <v/>
      </c>
      <c r="K15" s="59"/>
      <c r="L15" s="61">
        <f t="shared" si="5"/>
        <v>0</v>
      </c>
      <c r="M15" s="59">
        <v>0</v>
      </c>
      <c r="N15" s="61">
        <f t="shared" si="6"/>
        <v>0</v>
      </c>
      <c r="O15" s="61" t="str">
        <f t="shared" si="7"/>
        <v/>
      </c>
      <c r="P15" s="59"/>
      <c r="Q15" s="61">
        <f t="shared" si="8"/>
        <v>0</v>
      </c>
      <c r="R15" s="28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59">
        <v>0</v>
      </c>
      <c r="D16" s="61">
        <f t="shared" si="0"/>
        <v>0</v>
      </c>
      <c r="E16" s="59"/>
      <c r="F16" s="61">
        <f t="shared" si="1"/>
        <v>0</v>
      </c>
      <c r="G16" s="61" t="str">
        <f t="shared" si="2"/>
        <v/>
      </c>
      <c r="H16" s="59"/>
      <c r="I16" s="61" t="e">
        <f t="shared" si="3"/>
        <v>#DIV/0!</v>
      </c>
      <c r="J16" s="61" t="str">
        <f t="shared" si="4"/>
        <v/>
      </c>
      <c r="K16" s="59"/>
      <c r="L16" s="61">
        <f t="shared" si="5"/>
        <v>0</v>
      </c>
      <c r="M16" s="59">
        <v>0</v>
      </c>
      <c r="N16" s="61">
        <f t="shared" si="6"/>
        <v>0</v>
      </c>
      <c r="O16" s="61" t="str">
        <f t="shared" si="7"/>
        <v/>
      </c>
      <c r="P16" s="59"/>
      <c r="Q16" s="61">
        <f t="shared" si="8"/>
        <v>0</v>
      </c>
      <c r="R16" s="28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59">
        <v>0</v>
      </c>
      <c r="D17" s="61">
        <f t="shared" si="0"/>
        <v>0</v>
      </c>
      <c r="E17" s="59"/>
      <c r="F17" s="61">
        <f t="shared" si="1"/>
        <v>0</v>
      </c>
      <c r="G17" s="61" t="str">
        <f t="shared" si="2"/>
        <v/>
      </c>
      <c r="H17" s="59">
        <v>0</v>
      </c>
      <c r="I17" s="61"/>
      <c r="J17" s="61" t="str">
        <f t="shared" si="4"/>
        <v/>
      </c>
      <c r="K17" s="59"/>
      <c r="L17" s="61">
        <f t="shared" si="5"/>
        <v>0</v>
      </c>
      <c r="M17" s="59">
        <v>0</v>
      </c>
      <c r="N17" s="61">
        <f t="shared" si="6"/>
        <v>0</v>
      </c>
      <c r="O17" s="61" t="str">
        <f t="shared" si="7"/>
        <v/>
      </c>
      <c r="P17" s="59"/>
      <c r="Q17" s="61">
        <f t="shared" si="8"/>
        <v>0</v>
      </c>
      <c r="R17" s="28" t="str">
        <f t="shared" si="9"/>
        <v/>
      </c>
    </row>
    <row r="18" spans="2:21" x14ac:dyDescent="0.2">
      <c r="B18" s="3" t="str">
        <f>+'COLOMB$ '!B18</f>
        <v>Olfa Experience</v>
      </c>
      <c r="C18" s="59">
        <v>0</v>
      </c>
      <c r="D18" s="61">
        <f t="shared" si="0"/>
        <v>0</v>
      </c>
      <c r="E18" s="59"/>
      <c r="F18" s="61">
        <f t="shared" si="1"/>
        <v>0</v>
      </c>
      <c r="G18" s="61"/>
      <c r="H18" s="59"/>
      <c r="I18" s="61"/>
      <c r="J18" s="61" t="str">
        <f t="shared" si="4"/>
        <v/>
      </c>
      <c r="K18" s="59">
        <v>0</v>
      </c>
      <c r="L18" s="61">
        <f t="shared" si="5"/>
        <v>0</v>
      </c>
      <c r="M18" s="59">
        <v>284.11799999999999</v>
      </c>
      <c r="N18" s="61">
        <f t="shared" si="6"/>
        <v>0.43909201338983522</v>
      </c>
      <c r="O18" s="61"/>
      <c r="P18" s="59"/>
      <c r="Q18" s="61"/>
      <c r="R18" s="28" t="str">
        <f t="shared" si="9"/>
        <v/>
      </c>
    </row>
    <row r="19" spans="2:21" x14ac:dyDescent="0.2">
      <c r="B19" s="3" t="str">
        <f>+'COLOMB$ '!B19</f>
        <v>Locutor virtual</v>
      </c>
      <c r="C19" s="59"/>
      <c r="D19" s="61"/>
      <c r="E19" s="59"/>
      <c r="F19" s="61">
        <f t="shared" si="1"/>
        <v>0</v>
      </c>
      <c r="G19" s="61"/>
      <c r="H19" s="59"/>
      <c r="I19" s="61"/>
      <c r="J19" s="61" t="str">
        <f t="shared" si="4"/>
        <v/>
      </c>
      <c r="K19" s="59"/>
      <c r="L19" s="61">
        <f t="shared" si="5"/>
        <v>0</v>
      </c>
      <c r="M19" s="59"/>
      <c r="N19" s="61">
        <f t="shared" si="6"/>
        <v>0</v>
      </c>
      <c r="O19" s="61"/>
      <c r="P19" s="59"/>
      <c r="Q19" s="61"/>
      <c r="R19" s="28" t="str">
        <f t="shared" si="9"/>
        <v/>
      </c>
    </row>
    <row r="20" spans="2:21" x14ac:dyDescent="0.2">
      <c r="B20" s="17" t="s">
        <v>24</v>
      </c>
      <c r="C20" s="63">
        <f>SUM(C10:C19)</f>
        <v>1637</v>
      </c>
      <c r="D20" s="66">
        <f>+C20/$C$20</f>
        <v>1</v>
      </c>
      <c r="E20" s="63">
        <f>SUM(E10:E17)</f>
        <v>193.27699999999999</v>
      </c>
      <c r="F20" s="66">
        <f t="shared" si="1"/>
        <v>1</v>
      </c>
      <c r="G20" s="66">
        <f>IF(C20=0,"",(E20-C20)/ABS(C20)+1)</f>
        <v>0.11806780696395847</v>
      </c>
      <c r="H20" s="63">
        <f>SUM(H10:H19)</f>
        <v>0</v>
      </c>
      <c r="I20" s="66">
        <f>+H22/$H$22</f>
        <v>1</v>
      </c>
      <c r="J20" s="61" t="str">
        <f t="shared" si="4"/>
        <v/>
      </c>
      <c r="K20" s="63">
        <f>SUM(K10:K19)</f>
        <v>15101</v>
      </c>
      <c r="L20" s="66">
        <f t="shared" si="5"/>
        <v>1</v>
      </c>
      <c r="M20" s="63">
        <f>SUM(M10:M17)</f>
        <v>647.05799999999999</v>
      </c>
      <c r="N20" s="61">
        <f t="shared" si="6"/>
        <v>1</v>
      </c>
      <c r="O20" s="66">
        <f>IF(K20=0,"",(M20-K20)/ABS(K20)+1)</f>
        <v>4.2848685517515417E-2</v>
      </c>
      <c r="P20" s="63">
        <f>SUM(P10:P17)</f>
        <v>15020.441000000001</v>
      </c>
      <c r="Q20" s="66">
        <f>+P20/$P$20</f>
        <v>1</v>
      </c>
      <c r="R20" s="28">
        <f t="shared" si="9"/>
        <v>-0.95692150450176539</v>
      </c>
    </row>
    <row r="21" spans="2:21" x14ac:dyDescent="0.2">
      <c r="J21" s="61" t="str">
        <f t="shared" si="4"/>
        <v/>
      </c>
      <c r="R21" s="28" t="str">
        <f t="shared" si="9"/>
        <v/>
      </c>
      <c r="S21" s="72"/>
      <c r="T21" s="74"/>
      <c r="U21" s="74"/>
    </row>
    <row r="22" spans="2:21" x14ac:dyDescent="0.2">
      <c r="B22" s="3" t="s">
        <v>26</v>
      </c>
      <c r="C22" s="59">
        <v>2594</v>
      </c>
      <c r="D22" s="61">
        <f>+C22/$C$20</f>
        <v>1.584605986560782</v>
      </c>
      <c r="E22" s="59">
        <v>162.33879000000002</v>
      </c>
      <c r="F22" s="61">
        <f>IF($E$20=0,0,E22/$E$20)</f>
        <v>0.83992813423221613</v>
      </c>
      <c r="G22" s="61">
        <f>IF(C22=0,"",(E22-C22)/ABS(C22)+1)</f>
        <v>6.2582417116422429E-2</v>
      </c>
      <c r="H22" s="59">
        <v>5663.9380000000001</v>
      </c>
      <c r="I22" s="61" t="e">
        <f>+H22/$H$20</f>
        <v>#DIV/0!</v>
      </c>
      <c r="J22" s="61">
        <f t="shared" si="4"/>
        <v>-0.97133817672439215</v>
      </c>
      <c r="K22" s="59">
        <v>23922</v>
      </c>
      <c r="L22" s="61">
        <f>+K22/$K$20</f>
        <v>1.5841335010926429</v>
      </c>
      <c r="M22" s="59">
        <v>479.89778999999999</v>
      </c>
      <c r="N22" s="61">
        <f>IF($M$20=0,0,M22/$M$20)</f>
        <v>0.74166116484148248</v>
      </c>
      <c r="O22" s="61">
        <f>IF(K22=0,"",(M22-K22)/ABS(K22)+1)</f>
        <v>2.0060939302733893E-2</v>
      </c>
      <c r="P22" s="55">
        <v>17158.946</v>
      </c>
      <c r="Q22" s="61"/>
      <c r="R22" s="28">
        <f t="shared" si="9"/>
        <v>-0.97203221048658817</v>
      </c>
    </row>
    <row r="23" spans="2:21" x14ac:dyDescent="0.2">
      <c r="J23" s="61" t="str">
        <f t="shared" si="4"/>
        <v/>
      </c>
      <c r="R23" s="28" t="str">
        <f t="shared" si="9"/>
        <v/>
      </c>
      <c r="T23" s="45"/>
      <c r="U23" s="45"/>
    </row>
    <row r="24" spans="2:21" x14ac:dyDescent="0.2">
      <c r="B24" s="3" t="s">
        <v>28</v>
      </c>
      <c r="C24" s="59">
        <f>+C20-C22</f>
        <v>-957</v>
      </c>
      <c r="D24" s="61">
        <f>+C24/$C$20</f>
        <v>-0.58460598656078189</v>
      </c>
      <c r="E24" s="59">
        <f>+E20-E22</f>
        <v>30.93820999999997</v>
      </c>
      <c r="F24" s="61">
        <f>IF($E$20=0,0,E24/$E$20)</f>
        <v>0.16007186576778393</v>
      </c>
      <c r="G24" s="61">
        <f>IF(C24=0,"",(E24-C24)/ABS(C24)+1)</f>
        <v>2.0323283281086733</v>
      </c>
      <c r="H24" s="59">
        <f>+H20-H22</f>
        <v>-5663.9380000000001</v>
      </c>
      <c r="I24" s="61" t="e">
        <f>+H24/$H$20</f>
        <v>#DIV/0!</v>
      </c>
      <c r="J24" s="61" t="str">
        <f t="shared" si="4"/>
        <v/>
      </c>
      <c r="K24" s="59">
        <f>+K20-K22</f>
        <v>-8821</v>
      </c>
      <c r="L24" s="61">
        <f>+K24/$K$20</f>
        <v>-0.58413350109264284</v>
      </c>
      <c r="M24" s="59">
        <f>+M20-M22</f>
        <v>167.16021000000001</v>
      </c>
      <c r="N24" s="61">
        <f>IF($M$20=0,0,M24/$M$20)</f>
        <v>0.25833883515851747</v>
      </c>
      <c r="O24" s="61">
        <f>IF(K24=0,"",(M24-K24)/ABS(K24)+1)</f>
        <v>2.0189502562067796</v>
      </c>
      <c r="P24" s="59">
        <f>+P20-P22</f>
        <v>-2138.5049999999992</v>
      </c>
      <c r="Q24" s="61">
        <f>+P24/$P$20</f>
        <v>-0.1423729835894964</v>
      </c>
      <c r="R24" s="28" t="str">
        <f t="shared" si="9"/>
        <v/>
      </c>
    </row>
    <row r="25" spans="2:21" x14ac:dyDescent="0.2">
      <c r="J25" s="61" t="str">
        <f t="shared" si="4"/>
        <v/>
      </c>
      <c r="R25" s="28" t="str">
        <f t="shared" si="9"/>
        <v/>
      </c>
      <c r="T25" s="45"/>
      <c r="U25" s="45"/>
    </row>
    <row r="26" spans="2:21" x14ac:dyDescent="0.2">
      <c r="B26" s="3" t="s">
        <v>30</v>
      </c>
      <c r="C26" s="59">
        <v>8</v>
      </c>
      <c r="D26" s="61">
        <f>+C26/$C$20</f>
        <v>4.8869883934025658E-3</v>
      </c>
      <c r="E26" s="59">
        <v>323.81</v>
      </c>
      <c r="F26" s="61">
        <f>IF($E$20=0,0,E26/$E$20)</f>
        <v>1.6753674777650731</v>
      </c>
      <c r="G26" s="61">
        <f>IF(C26=0,"",(E26-C26)/ABS(C26)+1)</f>
        <v>40.47625</v>
      </c>
      <c r="H26" s="59">
        <v>9764.60232</v>
      </c>
      <c r="I26" s="61" t="e">
        <f>+H26/$H$20</f>
        <v>#DIV/0!</v>
      </c>
      <c r="J26" s="61">
        <f t="shared" si="4"/>
        <v>-0.96683838323484339</v>
      </c>
      <c r="K26" s="59">
        <v>69</v>
      </c>
      <c r="L26" s="61">
        <f>+K26/$K$20</f>
        <v>4.5692338255744654E-3</v>
      </c>
      <c r="M26" s="59">
        <v>20968.812690000002</v>
      </c>
      <c r="N26" s="61">
        <f>IF($M$20=0,0,M26/$M$20)</f>
        <v>32.406388129039442</v>
      </c>
      <c r="O26" s="61">
        <f>IF(K26=0,"",(M26-K26)/ABS(K26)+1)</f>
        <v>303.89583608695654</v>
      </c>
      <c r="P26" s="59">
        <v>34399.889609999998</v>
      </c>
      <c r="Q26" s="61">
        <f>+P26/$P$20</f>
        <v>2.2902050352582854</v>
      </c>
      <c r="R26" s="28">
        <f t="shared" si="9"/>
        <v>-0.3904395354831488</v>
      </c>
    </row>
    <row r="27" spans="2:21" x14ac:dyDescent="0.2">
      <c r="B27" s="3" t="s">
        <v>31</v>
      </c>
      <c r="C27" s="59">
        <v>0</v>
      </c>
      <c r="D27" s="61">
        <f>+C27/$C$20</f>
        <v>0</v>
      </c>
      <c r="E27" s="59">
        <v>0</v>
      </c>
      <c r="F27" s="61">
        <f>IF($E$20=0,0,E27/$E$20)</f>
        <v>0</v>
      </c>
      <c r="G27" s="61" t="str">
        <f>IF(C27=0,"",(E27-C27)/ABS(C27)+1)</f>
        <v/>
      </c>
      <c r="H27" s="59">
        <v>1215.1420000000001</v>
      </c>
      <c r="I27" s="61" t="e">
        <f>+H27/$H$20</f>
        <v>#DIV/0!</v>
      </c>
      <c r="J27" s="61">
        <f t="shared" si="4"/>
        <v>-1</v>
      </c>
      <c r="K27" s="59">
        <v>0</v>
      </c>
      <c r="L27" s="61">
        <f>+K27/$K$20</f>
        <v>0</v>
      </c>
      <c r="M27" s="59">
        <v>1427.9319699999999</v>
      </c>
      <c r="N27" s="61">
        <f>IF($M$20=0,0,M27/$M$20)</f>
        <v>2.2068067622995153</v>
      </c>
      <c r="O27" s="61" t="str">
        <f>IF(K27=0,"",(M27-K27)/ABS(K27)+1)</f>
        <v/>
      </c>
      <c r="P27" s="59">
        <v>2531.9879999999998</v>
      </c>
      <c r="Q27" s="61">
        <f>+P27/$P$20</f>
        <v>0.16856948474415628</v>
      </c>
      <c r="R27" s="28">
        <f t="shared" si="9"/>
        <v>-0.43604315265317217</v>
      </c>
      <c r="S27" s="45"/>
      <c r="T27" s="45"/>
      <c r="U27" s="45"/>
    </row>
    <row r="28" spans="2:21" x14ac:dyDescent="0.2">
      <c r="B28" s="3" t="s">
        <v>33</v>
      </c>
      <c r="C28" s="59">
        <f>SUM(C26:C27)</f>
        <v>8</v>
      </c>
      <c r="D28" s="61">
        <f>+C28/$C$20</f>
        <v>4.8869883934025658E-3</v>
      </c>
      <c r="E28" s="59">
        <f>SUM(E26:E27)</f>
        <v>323.81</v>
      </c>
      <c r="F28" s="61">
        <f>IF($E$20=0,0,E28/$E$20)</f>
        <v>1.6753674777650731</v>
      </c>
      <c r="G28" s="61">
        <f>IF(C28=0,"",(E28-C28)/ABS(C28)+1)</f>
        <v>40.47625</v>
      </c>
      <c r="H28" s="59">
        <f>SUM(H26:H27)</f>
        <v>10979.74432</v>
      </c>
      <c r="I28" s="61" t="e">
        <f>+H28/$H$20</f>
        <v>#DIV/0!</v>
      </c>
      <c r="J28" s="61">
        <f t="shared" si="4"/>
        <v>-0.97050842072796106</v>
      </c>
      <c r="K28" s="59">
        <f>SUM(K26:K27)</f>
        <v>69</v>
      </c>
      <c r="L28" s="61">
        <f>+K28/$K$20</f>
        <v>4.5692338255744654E-3</v>
      </c>
      <c r="M28" s="59">
        <f>SUM(M26:M27)</f>
        <v>22396.744660000004</v>
      </c>
      <c r="N28" s="61">
        <f>IF($M$20=0,0,M28/$M$20)</f>
        <v>34.613194891338956</v>
      </c>
      <c r="O28" s="61">
        <f>IF(K28=0,"",(M28-K28)/ABS(K28)+1)</f>
        <v>324.59050231884066</v>
      </c>
      <c r="P28" s="59">
        <f>SUM(P26:P27)</f>
        <v>36931.877609999996</v>
      </c>
      <c r="Q28" s="61">
        <f>+P28/$P$20</f>
        <v>2.4587745200024416</v>
      </c>
      <c r="R28" s="28">
        <f t="shared" si="9"/>
        <v>-0.393566043500164</v>
      </c>
      <c r="S28" s="45"/>
      <c r="T28" s="45"/>
      <c r="U28" s="45"/>
    </row>
    <row r="29" spans="2:21" x14ac:dyDescent="0.2">
      <c r="J29" s="61" t="str">
        <f t="shared" si="4"/>
        <v/>
      </c>
      <c r="R29" s="28" t="str">
        <f t="shared" si="9"/>
        <v/>
      </c>
      <c r="S29" s="45"/>
      <c r="T29" s="45"/>
      <c r="U29" s="45"/>
    </row>
    <row r="30" spans="2:21" x14ac:dyDescent="0.2">
      <c r="B30" s="3" t="s">
        <v>35</v>
      </c>
      <c r="C30" s="59">
        <v>0</v>
      </c>
      <c r="D30" s="61">
        <f>+C30/$C$20</f>
        <v>0</v>
      </c>
      <c r="E30" s="59">
        <v>586.92499999999995</v>
      </c>
      <c r="F30" s="61">
        <f>IF($E$20=0,0,E30/$E$20)</f>
        <v>3.0367037981756755</v>
      </c>
      <c r="G30" s="61" t="str">
        <f>IF(C30=0,"",(E30-C30)/ABS(C30)+1)</f>
        <v/>
      </c>
      <c r="H30" s="59">
        <v>1115.06548</v>
      </c>
      <c r="I30" s="61"/>
      <c r="J30" s="61">
        <f t="shared" si="4"/>
        <v>-0.4736407766833568</v>
      </c>
      <c r="K30" s="59">
        <v>0</v>
      </c>
      <c r="L30" s="61">
        <f>+K30/$K$20</f>
        <v>0</v>
      </c>
      <c r="M30" s="59">
        <v>7229.4647100000002</v>
      </c>
      <c r="N30" s="61">
        <f>IF($M$20=0,0,M30/$M$20)</f>
        <v>11.172823317229676</v>
      </c>
      <c r="O30" s="61" t="str">
        <f>IF(K30=0,"",(M30-K30)/ABS(K30)+1)</f>
        <v/>
      </c>
      <c r="P30" s="59">
        <v>11150.65453</v>
      </c>
      <c r="Q30" s="61">
        <f>+P30/$P$20</f>
        <v>0.74236532269591815</v>
      </c>
      <c r="R30" s="28">
        <f t="shared" si="9"/>
        <v>-0.35165557406969539</v>
      </c>
    </row>
    <row r="31" spans="2:21" x14ac:dyDescent="0.2">
      <c r="B31" s="3" t="s">
        <v>37</v>
      </c>
      <c r="C31" s="59"/>
      <c r="D31" s="61"/>
      <c r="E31" s="59">
        <v>0</v>
      </c>
      <c r="F31" s="61">
        <f>IF($E$20=0,0,E31/$E$20)</f>
        <v>0</v>
      </c>
      <c r="G31" s="61" t="str">
        <f>IF(C31=0,"",(E31-C31)/ABS(C31)+1)</f>
        <v/>
      </c>
      <c r="H31" s="59">
        <v>1023.4</v>
      </c>
      <c r="I31" s="61"/>
      <c r="J31" s="61">
        <f>IF(H31&lt;=0,"",(E31-H31)/ABS(H31))</f>
        <v>-1</v>
      </c>
      <c r="K31" s="59">
        <v>0</v>
      </c>
      <c r="L31" s="61">
        <f>+K31/$K$20</f>
        <v>0</v>
      </c>
      <c r="M31" s="59">
        <v>2069.0650000000001</v>
      </c>
      <c r="N31" s="61">
        <f>IF($M$20=0,0,M31/$M$20)</f>
        <v>3.1976499788272461</v>
      </c>
      <c r="O31" s="61" t="str">
        <f>IF(K31=0,"",(M31-K31)/ABS(K31)+1)</f>
        <v/>
      </c>
      <c r="P31" s="59">
        <v>2604.0770200000002</v>
      </c>
      <c r="Q31" s="61">
        <f>+P39/$P$20</f>
        <v>-4.5937399574353372E-5</v>
      </c>
      <c r="R31" s="28">
        <f>IF(P31&lt;=0,"",(M31-P31)/ABS(P31))</f>
        <v>-0.20545168821465967</v>
      </c>
      <c r="S31" s="45"/>
      <c r="T31" s="45"/>
      <c r="U31" s="45"/>
    </row>
    <row r="32" spans="2:21" x14ac:dyDescent="0.2">
      <c r="B32" s="3" t="s">
        <v>38</v>
      </c>
      <c r="C32" s="59">
        <f>SUM(C30:C31)</f>
        <v>0</v>
      </c>
      <c r="D32" s="61">
        <f>+C32/$C$20</f>
        <v>0</v>
      </c>
      <c r="E32" s="59">
        <f>SUM(E30:E31)</f>
        <v>586.92499999999995</v>
      </c>
      <c r="F32" s="61">
        <f>IF($E$20=0,0,E32/$E$20)</f>
        <v>3.0367037981756755</v>
      </c>
      <c r="G32" s="61" t="str">
        <f>IF(C32=0,"",(E32-C32)/ABS(C32)+1)</f>
        <v/>
      </c>
      <c r="H32" s="59">
        <f>SUM(H30:H31)</f>
        <v>2138.4654799999998</v>
      </c>
      <c r="I32" s="61" t="e">
        <f>+H32/$H$20</f>
        <v>#DIV/0!</v>
      </c>
      <c r="J32" s="61">
        <f>IF(H32&lt;=0,"",(E32-H32)/ABS(H32))</f>
        <v>-0.72553917494146314</v>
      </c>
      <c r="K32" s="59">
        <f>SUM(K30:K31)</f>
        <v>0</v>
      </c>
      <c r="L32" s="61">
        <f>+K32/$K$20</f>
        <v>0</v>
      </c>
      <c r="M32" s="59">
        <f>SUM(M30:M31)</f>
        <v>9298.5297100000007</v>
      </c>
      <c r="N32" s="61">
        <f>IF($M$20=0,0,M32/$M$20)</f>
        <v>14.370473296056923</v>
      </c>
      <c r="O32" s="61" t="str">
        <f>IF(K32=0,"",(M32-K32)/ABS(K32)+1)</f>
        <v/>
      </c>
      <c r="P32" s="59">
        <f>+P30+P31</f>
        <v>13754.73155</v>
      </c>
      <c r="Q32" s="61">
        <f>+P32/$P$20</f>
        <v>0.91573420181205067</v>
      </c>
      <c r="R32" s="28">
        <f>IF(P32&lt;=0,"",(M32-P32)/ABS(P32))</f>
        <v>-0.32397592230725869</v>
      </c>
    </row>
    <row r="33" spans="1:21" x14ac:dyDescent="0.2">
      <c r="S33" s="45"/>
      <c r="T33" s="45"/>
      <c r="U33" s="45"/>
    </row>
    <row r="34" spans="1:21" x14ac:dyDescent="0.2">
      <c r="B34" s="3" t="s">
        <v>39</v>
      </c>
      <c r="C34" s="59">
        <f>C28+C32</f>
        <v>8</v>
      </c>
      <c r="D34" s="61">
        <f>+C34/$C$20</f>
        <v>4.8869883934025658E-3</v>
      </c>
      <c r="E34" s="59">
        <f>E28+E32</f>
        <v>910.7349999999999</v>
      </c>
      <c r="F34" s="61">
        <f>IF($E$20=0,0,E34/$E$20)</f>
        <v>4.7120712759407484</v>
      </c>
      <c r="G34" s="61">
        <f>IF(C34=0,"",(E34-C34)/ABS(C34)+1)</f>
        <v>113.84187499999999</v>
      </c>
      <c r="H34" s="59">
        <f>+H32+H28</f>
        <v>13118.209800000001</v>
      </c>
      <c r="I34" s="61" t="e">
        <f>+H34/$H$20</f>
        <v>#DIV/0!</v>
      </c>
      <c r="J34" s="61">
        <f>IF(H34&lt;=0,"",(E34-H34)/ABS(H34))</f>
        <v>-0.93057474961255759</v>
      </c>
      <c r="K34" s="59">
        <f>K28+K32</f>
        <v>69</v>
      </c>
      <c r="L34" s="61">
        <f>+K34/$K$20</f>
        <v>4.5692338255744654E-3</v>
      </c>
      <c r="M34" s="59">
        <f>M28+M32</f>
        <v>31695.274370000006</v>
      </c>
      <c r="N34" s="61">
        <f>IF($M$20=0,0,M34/$M$20)</f>
        <v>48.983668187395885</v>
      </c>
      <c r="O34" s="61">
        <f>IF(K34=0,"",(M34-K34)/ABS(K34)+1)</f>
        <v>459.35180246376819</v>
      </c>
      <c r="P34" s="59">
        <f>P28+P32</f>
        <v>50686.609159999993</v>
      </c>
      <c r="Q34" s="61">
        <f>+P34/$P$20</f>
        <v>3.3745087218144918</v>
      </c>
      <c r="R34" s="28">
        <f>IF(P34&lt;=0,"",(M34-P34)/ABS(P34))</f>
        <v>-0.37468150078950729</v>
      </c>
      <c r="S34" s="45"/>
      <c r="T34" s="45"/>
      <c r="U34" s="45"/>
    </row>
    <row r="35" spans="1:21" x14ac:dyDescent="0.2">
      <c r="J35" s="61" t="str">
        <f t="shared" si="4"/>
        <v/>
      </c>
      <c r="R35" s="28" t="str">
        <f t="shared" si="9"/>
        <v/>
      </c>
      <c r="S35" s="45"/>
      <c r="T35" s="45"/>
      <c r="U35" s="45"/>
    </row>
    <row r="36" spans="1:21" x14ac:dyDescent="0.2">
      <c r="B36" s="17" t="s">
        <v>40</v>
      </c>
      <c r="C36" s="63">
        <f>C24-C34</f>
        <v>-965</v>
      </c>
      <c r="D36" s="66">
        <f>+C36/$C$20</f>
        <v>-0.58949297495418451</v>
      </c>
      <c r="E36" s="63">
        <f>E24-E34</f>
        <v>-879.79678999999987</v>
      </c>
      <c r="F36" s="66">
        <f>IF($E$20=0,0,E36/$E$20)</f>
        <v>-4.5519994101729635</v>
      </c>
      <c r="G36" s="66">
        <f>IF(C36=0,"",(E36-C36)/ABS(C36)+1)</f>
        <v>1.0882934818652852</v>
      </c>
      <c r="H36" s="63">
        <f>+H24-H34</f>
        <v>-18782.147799999999</v>
      </c>
      <c r="I36" s="66" t="e">
        <f>+H36/$H$20</f>
        <v>#DIV/0!</v>
      </c>
      <c r="J36" s="66" t="str">
        <f t="shared" si="4"/>
        <v/>
      </c>
      <c r="K36" s="63">
        <f>K24-K34</f>
        <v>-8890</v>
      </c>
      <c r="L36" s="66">
        <f>+K36/$K$20</f>
        <v>-0.58870273491821734</v>
      </c>
      <c r="M36" s="63">
        <f>M24-M34</f>
        <v>-31528.114160000005</v>
      </c>
      <c r="N36" s="66">
        <f>IF($M$20=0,0,M36/$M$20)</f>
        <v>-48.725329352237367</v>
      </c>
      <c r="O36" s="66">
        <f>IF(K36=0,"",(M36-K36)/ABS(K36)+1)</f>
        <v>-1.546469534308212</v>
      </c>
      <c r="P36" s="63">
        <f>P24-P34</f>
        <v>-52825.11415999999</v>
      </c>
      <c r="Q36" s="66">
        <f>+P36/$P$20</f>
        <v>-3.5168817054039883</v>
      </c>
      <c r="R36" s="36" t="str">
        <f t="shared" si="9"/>
        <v/>
      </c>
    </row>
    <row r="37" spans="1:21" x14ac:dyDescent="0.2">
      <c r="A37" s="73"/>
      <c r="J37" s="61" t="str">
        <f t="shared" si="4"/>
        <v/>
      </c>
      <c r="R37" s="28" t="str">
        <f t="shared" si="9"/>
        <v/>
      </c>
      <c r="S37" s="45"/>
      <c r="T37" s="45"/>
      <c r="U37" s="45"/>
    </row>
    <row r="38" spans="1:21" x14ac:dyDescent="0.2">
      <c r="B38" s="3" t="s">
        <v>41</v>
      </c>
      <c r="C38" s="59"/>
      <c r="D38" s="61">
        <f>+C38/$C$20</f>
        <v>0</v>
      </c>
      <c r="E38" s="59">
        <v>0</v>
      </c>
      <c r="F38" s="61">
        <f>IF($E$20=0,0,E38/$E$20)</f>
        <v>0</v>
      </c>
      <c r="G38" s="61" t="str">
        <f>IF(C38=0,"",(E38-C38)/ABS(C38)+1)</f>
        <v/>
      </c>
      <c r="H38" s="59">
        <v>0</v>
      </c>
      <c r="I38" s="61" t="e">
        <f>+H38/$H$20</f>
        <v>#DIV/0!</v>
      </c>
      <c r="J38" s="61" t="str">
        <f t="shared" si="4"/>
        <v/>
      </c>
      <c r="K38" s="59"/>
      <c r="L38" s="61">
        <f>+K38/$K$20</f>
        <v>0</v>
      </c>
      <c r="M38" s="59">
        <v>285.55900000000003</v>
      </c>
      <c r="N38" s="61">
        <f>IF($M$20=0,0,M38/$M$20)</f>
        <v>0.4413190162242025</v>
      </c>
      <c r="O38" s="61" t="str">
        <f>IF(K38=0,"",(M38-K38)/ABS(K38)+1)</f>
        <v/>
      </c>
      <c r="P38" s="59">
        <v>0</v>
      </c>
      <c r="Q38" s="61">
        <f>+P38/$P$20</f>
        <v>0</v>
      </c>
      <c r="R38" s="28" t="str">
        <f t="shared" si="9"/>
        <v/>
      </c>
    </row>
    <row r="39" spans="1:21" x14ac:dyDescent="0.2">
      <c r="B39" s="3" t="s">
        <v>42</v>
      </c>
      <c r="C39" s="59"/>
      <c r="D39" s="61"/>
      <c r="E39" s="59">
        <v>0</v>
      </c>
      <c r="F39" s="61">
        <f>IF($E$20=0,0,E39/$E$20)</f>
        <v>0</v>
      </c>
      <c r="G39" s="61" t="str">
        <f>IF(C39=0,"",(E39-C39)/ABS(C39)+1)</f>
        <v/>
      </c>
      <c r="H39" s="59">
        <v>-0.69</v>
      </c>
      <c r="I39" s="61"/>
      <c r="J39" s="61" t="str">
        <f t="shared" si="4"/>
        <v/>
      </c>
      <c r="K39" s="59">
        <v>0</v>
      </c>
      <c r="L39" s="61">
        <f>+K39/$K$20</f>
        <v>0</v>
      </c>
      <c r="M39" s="59">
        <v>17939.758000000002</v>
      </c>
      <c r="N39" s="61">
        <f>IF($M$20=0,0,M39/$M$20)</f>
        <v>27.725115831965606</v>
      </c>
      <c r="O39" s="61" t="str">
        <f>IF(K39=0,"",(M39-K39)/ABS(K39)+1)</f>
        <v/>
      </c>
      <c r="P39" s="59">
        <v>-0.69</v>
      </c>
      <c r="Q39" s="61">
        <f>+P39/$P$20</f>
        <v>-4.5937399574353372E-5</v>
      </c>
      <c r="R39" s="28" t="str">
        <f t="shared" si="9"/>
        <v/>
      </c>
      <c r="S39" s="45"/>
      <c r="T39" s="45"/>
      <c r="U39" s="45"/>
    </row>
    <row r="40" spans="1:21" x14ac:dyDescent="0.2">
      <c r="J40" s="61" t="str">
        <f t="shared" si="4"/>
        <v/>
      </c>
      <c r="R40" s="28" t="str">
        <f t="shared" si="9"/>
        <v/>
      </c>
      <c r="S40" s="45"/>
      <c r="T40" s="45"/>
      <c r="U40" s="45"/>
    </row>
    <row r="41" spans="1:21" x14ac:dyDescent="0.2">
      <c r="B41" s="3" t="s">
        <v>43</v>
      </c>
      <c r="C41" s="59">
        <f>+C36-C39</f>
        <v>-965</v>
      </c>
      <c r="D41" s="61">
        <f>+C41/$C$20</f>
        <v>-0.58949297495418451</v>
      </c>
      <c r="E41" s="59">
        <f>+E36-E39</f>
        <v>-879.79678999999987</v>
      </c>
      <c r="F41" s="61">
        <f>IF($E$20=0,0,E41/$E$20)</f>
        <v>-4.5519994101729635</v>
      </c>
      <c r="G41" s="61">
        <f>IF(C41=0,"",(E41-C41)/ABS(C41)+1)</f>
        <v>1.0882934818652852</v>
      </c>
      <c r="H41" s="59">
        <f>+H36+H38-H39</f>
        <v>-18781.4578</v>
      </c>
      <c r="I41" s="61" t="e">
        <f>+H41/$H$20</f>
        <v>#DIV/0!</v>
      </c>
      <c r="J41" s="61" t="str">
        <f t="shared" si="4"/>
        <v/>
      </c>
      <c r="K41" s="59">
        <f>K36+K38-K39</f>
        <v>-8890</v>
      </c>
      <c r="L41" s="61">
        <f>+K41/$K$20</f>
        <v>-0.58870273491821734</v>
      </c>
      <c r="M41" s="59">
        <f>M36+M38-M39</f>
        <v>-49182.313160000005</v>
      </c>
      <c r="N41" s="61">
        <f>IF($M$20=0,0,M41/$M$20)</f>
        <v>-76.009126167978764</v>
      </c>
      <c r="O41" s="61">
        <f>IF(K41=0,"",(M41-K41)/ABS(K41)+1)</f>
        <v>-3.5323186906636677</v>
      </c>
      <c r="P41" s="59">
        <f>+P36-P39</f>
        <v>-52824.424159999988</v>
      </c>
      <c r="Q41" s="61">
        <f>+P41/$P$20</f>
        <v>-3.5168357680044138</v>
      </c>
      <c r="R41" s="28" t="str">
        <f t="shared" si="9"/>
        <v/>
      </c>
    </row>
    <row r="42" spans="1:21" x14ac:dyDescent="0.2">
      <c r="B42" s="3" t="s">
        <v>29</v>
      </c>
      <c r="C42" s="59">
        <v>-349</v>
      </c>
      <c r="D42" s="61">
        <f>+C42/$C$20</f>
        <v>-0.21319486866218693</v>
      </c>
      <c r="E42" s="59"/>
      <c r="F42" s="61">
        <f>IF($E$20=0,0,E42/$E$20)</f>
        <v>0</v>
      </c>
      <c r="G42" s="61">
        <f>IF(C42=0,"",(E42-C42)/ABS(C42)+1)</f>
        <v>2</v>
      </c>
      <c r="H42" s="59"/>
      <c r="I42" s="61" t="e">
        <f>+I41*33%</f>
        <v>#DIV/0!</v>
      </c>
      <c r="J42" s="61" t="str">
        <f t="shared" si="4"/>
        <v/>
      </c>
      <c r="K42" s="59">
        <v>-3222</v>
      </c>
      <c r="L42" s="61">
        <f>+K42/$K$20</f>
        <v>-0.2133633534203033</v>
      </c>
      <c r="M42" s="59">
        <f>+U43+E42</f>
        <v>0</v>
      </c>
      <c r="N42" s="61">
        <f>IF($M$20=0,0,M42/$M$20)</f>
        <v>0</v>
      </c>
      <c r="O42" s="61">
        <f>IF(K42=0,"",(M42-K42)/ABS(K42)+1)</f>
        <v>2</v>
      </c>
      <c r="P42" s="59">
        <v>0</v>
      </c>
      <c r="Q42" s="61">
        <f>+P42/$P$20</f>
        <v>0</v>
      </c>
      <c r="R42" s="28" t="str">
        <f t="shared" si="9"/>
        <v/>
      </c>
      <c r="S42" s="45"/>
      <c r="T42" s="45"/>
      <c r="U42" s="45"/>
    </row>
    <row r="43" spans="1:21" x14ac:dyDescent="0.2">
      <c r="B43" s="17" t="s">
        <v>44</v>
      </c>
      <c r="C43" s="63">
        <f>+C41</f>
        <v>-965</v>
      </c>
      <c r="D43" s="66">
        <f>+C43/$C$20</f>
        <v>-0.58949297495418451</v>
      </c>
      <c r="E43" s="63">
        <f>E41-E42</f>
        <v>-879.79678999999987</v>
      </c>
      <c r="F43" s="66">
        <f>IF($E$20=0,0,E43/$E$20)</f>
        <v>-4.5519994101729635</v>
      </c>
      <c r="G43" s="66">
        <f>IF(C43=0,"",(E43-C43)/ABS(C43)+1)</f>
        <v>1.0882934818652852</v>
      </c>
      <c r="H43" s="63">
        <f>+H41-H42</f>
        <v>-18781.4578</v>
      </c>
      <c r="I43" s="66" t="e">
        <f>+H43/$H$20</f>
        <v>#DIV/0!</v>
      </c>
      <c r="J43" s="61" t="str">
        <f t="shared" si="4"/>
        <v/>
      </c>
      <c r="K43" s="63">
        <f>K41-K42</f>
        <v>-5668</v>
      </c>
      <c r="L43" s="66">
        <f>+K43/$K$20</f>
        <v>-0.37533938149791407</v>
      </c>
      <c r="M43" s="63">
        <f>+M41-M42</f>
        <v>-49182.313160000005</v>
      </c>
      <c r="N43" s="66">
        <f>IF($M$20=0,0,M43/$M$20)</f>
        <v>-76.009126167978764</v>
      </c>
      <c r="O43" s="66">
        <f>IF(K43=0,"",(M43-K43)/ABS(K43)+1)</f>
        <v>-6.6771900423429793</v>
      </c>
      <c r="P43" s="63">
        <f>P41-P42</f>
        <v>-52824.424159999988</v>
      </c>
      <c r="Q43" s="66">
        <f>+P43/$P$20</f>
        <v>-3.5168357680044138</v>
      </c>
      <c r="R43" s="28" t="str">
        <f t="shared" si="9"/>
        <v/>
      </c>
      <c r="S43" s="45"/>
      <c r="T43" s="45"/>
      <c r="U43" s="45"/>
    </row>
    <row r="44" spans="1:21" x14ac:dyDescent="0.2">
      <c r="J44" s="61" t="str">
        <f t="shared" si="4"/>
        <v/>
      </c>
      <c r="R44" s="28" t="str">
        <f t="shared" si="9"/>
        <v/>
      </c>
      <c r="S44" s="45"/>
      <c r="T44" s="45"/>
      <c r="U44" s="45"/>
    </row>
    <row r="45" spans="1:21" x14ac:dyDescent="0.2">
      <c r="B45" s="3" t="s">
        <v>45</v>
      </c>
      <c r="C45" s="59">
        <v>-965</v>
      </c>
      <c r="D45" s="61">
        <f>+C45/$C$20</f>
        <v>-0.58949297495418451</v>
      </c>
      <c r="E45" s="59">
        <v>30.93821000000014</v>
      </c>
      <c r="F45" s="61">
        <f>IF($E$20=0,0,E45/$E$20)</f>
        <v>0.16007186576778479</v>
      </c>
      <c r="G45" s="61">
        <f>IF(C45=0,"",(E45-C45)/ABS(C45)+1)</f>
        <v>2.0320603212435238</v>
      </c>
      <c r="H45" s="59">
        <v>-15280.317999999999</v>
      </c>
      <c r="I45" s="61" t="e">
        <f>+H45/$H$20</f>
        <v>#DIV/0!</v>
      </c>
      <c r="J45" s="61" t="str">
        <f t="shared" si="4"/>
        <v/>
      </c>
      <c r="K45" s="59">
        <v>-8890</v>
      </c>
      <c r="L45" s="61">
        <f>+K45/$K$20</f>
        <v>-0.58870273491821734</v>
      </c>
      <c r="M45" s="59">
        <v>-8687.0223600000027</v>
      </c>
      <c r="N45" s="61">
        <f>IF($M$20=0,0,M45/$M$20)</f>
        <v>-13.42541527961945</v>
      </c>
      <c r="O45" s="61">
        <f>IF(K45=0,"",(M45-K45)/ABS(K45)+1)</f>
        <v>1.0228321304836892</v>
      </c>
      <c r="P45" s="59">
        <v>-17959.492019999991</v>
      </c>
      <c r="Q45" s="61">
        <f>+P45/$P$20</f>
        <v>-1.1956700885147107</v>
      </c>
      <c r="R45" s="28" t="str">
        <f t="shared" si="9"/>
        <v/>
      </c>
    </row>
    <row r="46" spans="1:21" x14ac:dyDescent="0.2">
      <c r="B46" s="3" t="s">
        <v>20</v>
      </c>
      <c r="C46" s="59">
        <v>0</v>
      </c>
      <c r="D46" s="61">
        <f>+C46/$C$20</f>
        <v>0</v>
      </c>
      <c r="E46" s="59">
        <v>0</v>
      </c>
      <c r="F46" s="61">
        <f>IF($E$20=0,0,E46/$E$20)</f>
        <v>0</v>
      </c>
      <c r="G46" s="61" t="str">
        <f>IF(C46=0,"",(E46-C46)/ABS(C46)+1)</f>
        <v/>
      </c>
      <c r="H46" s="59">
        <v>0</v>
      </c>
      <c r="I46" s="61" t="e">
        <f>+H46/$H$20</f>
        <v>#DIV/0!</v>
      </c>
      <c r="J46" s="61" t="str">
        <f t="shared" si="4"/>
        <v/>
      </c>
      <c r="K46" s="59">
        <v>0</v>
      </c>
      <c r="L46" s="61">
        <f>+K46/$K$20</f>
        <v>0</v>
      </c>
      <c r="M46" s="59">
        <v>0</v>
      </c>
      <c r="N46" s="61">
        <f>IF($M$20=0,0,M46/$M$20)</f>
        <v>0</v>
      </c>
      <c r="O46" s="61" t="str">
        <f>IF(K46=0,"",(M46-K46)/ABS(K46)+1)</f>
        <v/>
      </c>
      <c r="P46" s="59">
        <v>0</v>
      </c>
      <c r="Q46" s="59">
        <f>+P46/$P$20</f>
        <v>0</v>
      </c>
      <c r="R46" s="28" t="str">
        <f>IF(P46=0,"",(M46-P46)/ABS(P46))</f>
        <v/>
      </c>
      <c r="S46" s="45"/>
      <c r="T46" s="45"/>
      <c r="U46" s="45"/>
    </row>
    <row r="48" spans="1:21" x14ac:dyDescent="0.2">
      <c r="M48" s="47" t="s">
        <v>47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98D56-E24C-419C-A759-5D5670528567}">
  <sheetPr>
    <tabColor theme="2" tint="-9.9978637043366805E-2"/>
  </sheetPr>
  <dimension ref="A3:AJ48"/>
  <sheetViews>
    <sheetView showGridLines="0" zoomScale="91" zoomScaleNormal="91" workbookViewId="0">
      <selection activeCell="M4" sqref="M4"/>
    </sheetView>
  </sheetViews>
  <sheetFormatPr baseColWidth="10" defaultRowHeight="12.75" x14ac:dyDescent="0.2"/>
  <cols>
    <col min="1" max="1" width="4.5703125" style="10" customWidth="1"/>
    <col min="2" max="2" width="29.28515625" style="10" customWidth="1"/>
    <col min="3" max="3" width="14.42578125" style="10" customWidth="1"/>
    <col min="4" max="4" width="8" style="10" customWidth="1"/>
    <col min="5" max="5" width="10.28515625" style="10" bestFit="1" customWidth="1"/>
    <col min="6" max="6" width="6.28515625" style="10" bestFit="1" customWidth="1"/>
    <col min="7" max="7" width="6.5703125" style="10" bestFit="1" customWidth="1"/>
    <col min="8" max="8" width="11.28515625" style="10" customWidth="1"/>
    <col min="9" max="9" width="6.42578125" style="10" customWidth="1"/>
    <col min="10" max="10" width="8.140625" style="10" customWidth="1"/>
    <col min="11" max="11" width="13.28515625" style="10" customWidth="1"/>
    <col min="12" max="12" width="6.7109375" style="10" customWidth="1"/>
    <col min="13" max="15" width="10.140625" style="10" customWidth="1"/>
    <col min="16" max="16" width="11.5703125" style="10" customWidth="1"/>
    <col min="17" max="17" width="8.5703125" style="10" customWidth="1"/>
    <col min="18" max="18" width="9.42578125" style="10" customWidth="1"/>
    <col min="19" max="19" width="8.42578125" style="10" customWidth="1"/>
    <col min="20" max="21" width="11.42578125" style="10" hidden="1" customWidth="1"/>
    <col min="22" max="22" width="25.5703125" style="10" customWidth="1"/>
    <col min="23" max="24" width="11.42578125" style="10"/>
    <col min="25" max="25" width="12.5703125" style="10" customWidth="1"/>
    <col min="26" max="27" width="11.42578125" style="10"/>
    <col min="28" max="28" width="12.42578125" style="10" customWidth="1"/>
    <col min="29" max="29" width="8.42578125" style="10" customWidth="1"/>
    <col min="30" max="30" width="10.28515625" style="10" bestFit="1" customWidth="1"/>
    <col min="31" max="31" width="9.140625" style="10" customWidth="1"/>
    <col min="32" max="32" width="11.42578125" style="10"/>
    <col min="33" max="33" width="27" style="10" customWidth="1"/>
    <col min="34" max="34" width="11.5703125" style="10" customWidth="1"/>
    <col min="35" max="16384" width="11.42578125" style="10"/>
  </cols>
  <sheetData>
    <row r="3" spans="1:36" s="7" customFormat="1" ht="18" x14ac:dyDescent="0.25">
      <c r="B3" s="13" t="s">
        <v>78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75"/>
      <c r="V3" s="10" t="str">
        <f>+B3</f>
        <v>MUSICAR  COLOMBIA</v>
      </c>
    </row>
    <row r="4" spans="1:36" ht="17.25" customHeight="1" x14ac:dyDescent="0.2">
      <c r="A4" s="7"/>
      <c r="B4" s="16" t="s">
        <v>79</v>
      </c>
      <c r="V4" s="16" t="str">
        <f>+'COLOMB$ '!T4</f>
        <v xml:space="preserve">Flujo de Caja </v>
      </c>
      <c r="Z4" s="12"/>
      <c r="AA4" s="12"/>
    </row>
    <row r="5" spans="1:36" x14ac:dyDescent="0.2">
      <c r="B5" s="16" t="s">
        <v>80</v>
      </c>
      <c r="V5" s="16" t="s">
        <v>80</v>
      </c>
      <c r="AI5" s="76">
        <f>+Paramet!C8-Paramet!C9</f>
        <v>1034.98</v>
      </c>
      <c r="AJ5" s="77">
        <f>+AI5/Paramet!C9</f>
        <v>0.2734829988056357</v>
      </c>
    </row>
    <row r="6" spans="1:36" ht="13.5" thickBot="1" x14ac:dyDescent="0.25">
      <c r="B6" s="33" t="str">
        <f>+'COLOMB$ '!B6</f>
        <v>OCTUBRE de 2022</v>
      </c>
      <c r="C6" s="78"/>
      <c r="K6" s="79" t="s">
        <v>8</v>
      </c>
      <c r="L6" s="79"/>
      <c r="M6" s="79"/>
      <c r="N6" s="79"/>
      <c r="O6" s="79"/>
      <c r="P6" s="79"/>
      <c r="Q6" s="79"/>
      <c r="R6" s="79"/>
      <c r="V6" s="33" t="str">
        <f>+B6</f>
        <v>OCTUBRE de 2022</v>
      </c>
      <c r="Z6" s="18" t="s">
        <v>8</v>
      </c>
      <c r="AA6" s="18"/>
      <c r="AB6" s="18"/>
      <c r="AC6" s="18"/>
      <c r="AD6" s="18"/>
      <c r="AE6" s="18"/>
    </row>
    <row r="7" spans="1:36" ht="15.75" customHeight="1" x14ac:dyDescent="0.2">
      <c r="C7" s="19" t="str">
        <f>+'COLOMB$ '!D7:D7</f>
        <v>Ppto 2022</v>
      </c>
      <c r="D7" s="19"/>
      <c r="E7" s="19" t="str">
        <f>+'COLOMB$ '!F7:F7</f>
        <v>Real 2022</v>
      </c>
      <c r="F7" s="19"/>
      <c r="G7" s="19" t="s">
        <v>9</v>
      </c>
      <c r="H7" s="19" t="str">
        <f>+'COLOMB$ '!I7:I7</f>
        <v>Real 2021</v>
      </c>
      <c r="I7" s="19"/>
      <c r="J7" s="19" t="s">
        <v>10</v>
      </c>
      <c r="K7" s="19" t="str">
        <f>+C7</f>
        <v>Ppto 2022</v>
      </c>
      <c r="L7" s="19"/>
      <c r="M7" s="19" t="str">
        <f>+E7</f>
        <v>Real 2022</v>
      </c>
      <c r="N7" s="19"/>
      <c r="O7" s="19" t="s">
        <v>9</v>
      </c>
      <c r="P7" s="19" t="str">
        <f>+H7</f>
        <v>Real 2021</v>
      </c>
      <c r="Q7" s="19"/>
      <c r="R7" s="19" t="s">
        <v>10</v>
      </c>
      <c r="T7" s="7"/>
      <c r="W7" s="12" t="str">
        <f>+C7</f>
        <v>Ppto 2022</v>
      </c>
      <c r="X7" s="12" t="str">
        <f>+M7</f>
        <v>Real 2022</v>
      </c>
      <c r="Y7" s="12" t="str">
        <f>+H7</f>
        <v>Real 2021</v>
      </c>
      <c r="Z7" s="12" t="str">
        <f>+W7</f>
        <v>Ppto 2022</v>
      </c>
      <c r="AA7" s="12" t="str">
        <f>+X7</f>
        <v>Real 2022</v>
      </c>
      <c r="AB7" s="12" t="s">
        <v>11</v>
      </c>
      <c r="AC7" s="12" t="s">
        <v>9</v>
      </c>
      <c r="AD7" s="12" t="str">
        <f>+Y7</f>
        <v>Real 2021</v>
      </c>
      <c r="AE7" s="12" t="s">
        <v>10</v>
      </c>
      <c r="AI7" s="10" t="s">
        <v>81</v>
      </c>
    </row>
    <row r="8" spans="1:36" ht="13.5" thickBot="1" x14ac:dyDescent="0.25">
      <c r="B8" s="80" t="s">
        <v>12</v>
      </c>
      <c r="C8" s="81" t="s">
        <v>13</v>
      </c>
      <c r="D8" s="81" t="s">
        <v>14</v>
      </c>
      <c r="E8" s="81" t="s">
        <v>13</v>
      </c>
      <c r="F8" s="81" t="s">
        <v>14</v>
      </c>
      <c r="G8" s="81" t="s">
        <v>15</v>
      </c>
      <c r="H8" s="81" t="s">
        <v>13</v>
      </c>
      <c r="I8" s="81" t="s">
        <v>14</v>
      </c>
      <c r="J8" s="81" t="s">
        <v>15</v>
      </c>
      <c r="K8" s="81" t="s">
        <v>13</v>
      </c>
      <c r="L8" s="81" t="s">
        <v>14</v>
      </c>
      <c r="M8" s="81" t="s">
        <v>13</v>
      </c>
      <c r="N8" s="81" t="s">
        <v>14</v>
      </c>
      <c r="O8" s="81" t="s">
        <v>15</v>
      </c>
      <c r="P8" s="81" t="s">
        <v>13</v>
      </c>
      <c r="Q8" s="81" t="s">
        <v>14</v>
      </c>
      <c r="R8" s="81" t="s">
        <v>15</v>
      </c>
      <c r="T8" s="14" t="s">
        <v>82</v>
      </c>
      <c r="U8" s="14"/>
      <c r="V8" s="24"/>
      <c r="W8" s="25"/>
      <c r="X8" s="25"/>
      <c r="Y8" s="25"/>
      <c r="Z8" s="25"/>
      <c r="AA8" s="25"/>
      <c r="AB8" s="25"/>
      <c r="AC8" s="25" t="s">
        <v>15</v>
      </c>
      <c r="AD8" s="25"/>
      <c r="AE8" s="25" t="s">
        <v>15</v>
      </c>
    </row>
    <row r="9" spans="1:36" x14ac:dyDescent="0.2">
      <c r="T9" s="30"/>
      <c r="U9" s="14" t="s">
        <v>83</v>
      </c>
      <c r="AH9" s="76"/>
    </row>
    <row r="10" spans="1:36" x14ac:dyDescent="0.2">
      <c r="B10" s="16" t="str">
        <f>+'COLOMB$ '!B10</f>
        <v>Musical Experience  (Ambiental)</v>
      </c>
      <c r="C10" s="26">
        <f>+'COL. CONS.$'!C10/Paramet!$C$10*1000</f>
        <v>117065.58823529411</v>
      </c>
      <c r="D10" s="27">
        <f t="shared" ref="D10:D15" si="0">+C10/$C$20</f>
        <v>0.45284021352799031</v>
      </c>
      <c r="E10" s="26">
        <f>+'COL. CONS.$'!E10/Paramet!$C$8*1000</f>
        <v>75153.448547750551</v>
      </c>
      <c r="F10" s="27">
        <f t="shared" ref="F10:F18" si="1">+E10/$E$20</f>
        <v>0.42525072112575185</v>
      </c>
      <c r="G10" s="27">
        <f t="shared" ref="G10:G18" si="2">IF(C10=0,"",(E10-C10)/ABS(C10)+1)</f>
        <v>0.64197728538891441</v>
      </c>
      <c r="H10" s="26">
        <f>+'COL. CONS.$'!H10/Paramet!$C$9*1000</f>
        <v>96208.875817822438</v>
      </c>
      <c r="I10" s="27">
        <f t="shared" ref="I10:I18" si="3">+H10/$H$20</f>
        <v>0.44262129966139346</v>
      </c>
      <c r="J10" s="28">
        <f t="shared" ref="J10:J18" si="4">IF(H10=0,"",(E10-H10)/ABS(H10))</f>
        <v>-0.21885119320946711</v>
      </c>
      <c r="K10" s="26">
        <f>+'COL. CONS.$'!K10/Paramet!$C$10*1000</f>
        <v>1081724.705882353</v>
      </c>
      <c r="L10" s="27">
        <f t="shared" ref="L10:L18" si="5">+K10/$K$20</f>
        <v>0.43352178515737677</v>
      </c>
      <c r="M10" s="26">
        <f>+'COL. CONS.$'!M10/Paramet!$C$8*1000</f>
        <v>742379.65958559338</v>
      </c>
      <c r="N10" s="27">
        <f t="shared" ref="N10:N18" si="6">+M10/$M$20</f>
        <v>0.43313780459563955</v>
      </c>
      <c r="O10" s="27">
        <f t="shared" ref="O10:O18" si="7">IF(K10=0,"",(M10-K10)/ABS(K10)+1)</f>
        <v>0.68629259879947091</v>
      </c>
      <c r="P10" s="26">
        <f>+'COL. CONS.$'!P10/Paramet!$C$9*1000</f>
        <v>904598.24227626808</v>
      </c>
      <c r="Q10" s="27">
        <f t="shared" ref="Q10:Q18" si="8">+P10/$P$20</f>
        <v>0.51554868270969201</v>
      </c>
      <c r="R10" s="28">
        <f t="shared" ref="R10:R18" si="9">IF(P10=0,"",(M10-P10)/ABS(P10))</f>
        <v>-0.17932666139443201</v>
      </c>
      <c r="T10" s="30"/>
      <c r="U10" s="29" t="s">
        <v>84</v>
      </c>
      <c r="V10" s="16" t="s">
        <v>16</v>
      </c>
      <c r="W10" s="26">
        <f>+'COL. CONS.$'!U10/Paramet!C10*1000</f>
        <v>5987.9411764705883</v>
      </c>
      <c r="X10" s="26">
        <f>'COLOMB$ '!V10/Paramet!$C$8*1000</f>
        <v>14835.39513053438</v>
      </c>
      <c r="Y10" s="26">
        <f>'COLOMB$ '!W10/Paramet!$C$9*1000</f>
        <v>226645.95025948356</v>
      </c>
      <c r="Z10" s="26">
        <f>'COLOMB$ '!X10/Paramet!$C$10*1000</f>
        <v>142468.23529411765</v>
      </c>
      <c r="AA10" s="26">
        <f>+'COL. CONS.$'!Y10/Paramet!C8*1000</f>
        <v>100508.35992712816</v>
      </c>
      <c r="AB10" s="29">
        <f>+AA10-Z10</f>
        <v>-41959.875366989494</v>
      </c>
      <c r="AC10" s="30">
        <f>IF(Z10=0,"",(AA10-Z10)/ABS(Z10)+1)</f>
        <v>0.70547908254520242</v>
      </c>
      <c r="AD10" s="26">
        <f>'COLOMB$ '!AB10/Paramet!$C$9*1000</f>
        <v>156003.00176512243</v>
      </c>
      <c r="AE10" s="28">
        <f>IF(Y10=0,"",(AA10-AD10)/ABS(AD10))</f>
        <v>-0.35572803862804392</v>
      </c>
      <c r="AF10" s="76"/>
    </row>
    <row r="11" spans="1:36" x14ac:dyDescent="0.2">
      <c r="B11" s="16" t="str">
        <f>+'COLOMB$ '!B11</f>
        <v>Instalaciones</v>
      </c>
      <c r="C11" s="26">
        <f>+'COL. CONS.$'!C11/Paramet!$C$10*1000</f>
        <v>14420</v>
      </c>
      <c r="D11" s="27">
        <f t="shared" si="0"/>
        <v>5.5780319199770639E-2</v>
      </c>
      <c r="E11" s="26">
        <f>+'COL. CONS.$'!E11/Paramet!$C$8*1000</f>
        <v>11521.116026409818</v>
      </c>
      <c r="F11" s="27">
        <f t="shared" si="1"/>
        <v>6.5191458184268206E-2</v>
      </c>
      <c r="G11" s="27">
        <f t="shared" si="2"/>
        <v>0.79896782430026481</v>
      </c>
      <c r="H11" s="26">
        <f>+'COL. CONS.$'!H11/Paramet!$C$9*1000</f>
        <v>7245.8006997072216</v>
      </c>
      <c r="I11" s="27">
        <f t="shared" si="3"/>
        <v>3.3335237477099065E-2</v>
      </c>
      <c r="J11" s="28">
        <f t="shared" si="4"/>
        <v>0.59004042532874901</v>
      </c>
      <c r="K11" s="26">
        <f>+'COL. CONS.$'!K11/Paramet!$C$10*1000</f>
        <v>132985.29411764708</v>
      </c>
      <c r="L11" s="27">
        <f t="shared" si="5"/>
        <v>5.3296390284933846E-2</v>
      </c>
      <c r="M11" s="26">
        <f>+'COL. CONS.$'!M11/Paramet!$C$8*1000</f>
        <v>81396.15140411086</v>
      </c>
      <c r="N11" s="27">
        <f t="shared" si="6"/>
        <v>4.749018897068262E-2</v>
      </c>
      <c r="O11" s="27">
        <f t="shared" si="7"/>
        <v>0.61206881515863509</v>
      </c>
      <c r="P11" s="26">
        <f>+'COL. CONS.$'!P11/Paramet!$C$9*1000</f>
        <v>81486.701334939906</v>
      </c>
      <c r="Q11" s="27">
        <f t="shared" si="8"/>
        <v>4.6440905551479311E-2</v>
      </c>
      <c r="R11" s="28">
        <f t="shared" si="9"/>
        <v>-1.1112234186146819E-3</v>
      </c>
      <c r="T11" s="30">
        <f>+E22/C22</f>
        <v>0.71351814193492602</v>
      </c>
      <c r="U11" s="29" t="s">
        <v>85</v>
      </c>
      <c r="V11" s="16" t="s">
        <v>17</v>
      </c>
      <c r="W11" s="26">
        <f>'COLOMB$ '!U11/Paramet!$C$10*1000</f>
        <v>299507.6470588235</v>
      </c>
      <c r="X11" s="26">
        <f>'COLOMB$ '!V11/Paramet!$C$8*1000</f>
        <v>223675.89376937473</v>
      </c>
      <c r="Y11" s="26">
        <f>'COLOMB$ '!W11/Paramet!$C$9*1000</f>
        <v>256428.06980160868</v>
      </c>
      <c r="Z11" s="26">
        <f>'COLOMB$ '!X11/Paramet!$C$10*1000</f>
        <v>2992724.411764706</v>
      </c>
      <c r="AA11" s="26">
        <f>'COLOMB$ '!Y11/Paramet!$C$8*1000</f>
        <v>2129439.2732652477</v>
      </c>
      <c r="AB11" s="29">
        <f>+AA11-Z11</f>
        <v>-863285.13849945832</v>
      </c>
      <c r="AC11" s="30">
        <f>IF(Z11=0,"",(AA11-Z11)/ABS(Z11)+1)</f>
        <v>0.71153871198236762</v>
      </c>
      <c r="AD11" s="26">
        <f>'COLOMB$ '!AB11/Paramet!$C$9*1000</f>
        <v>2525105.0012207879</v>
      </c>
      <c r="AE11" s="28">
        <f>IF(AD11=0,"",(AA11-AD11)/ABS(AD11))</f>
        <v>-0.15669278218697896</v>
      </c>
      <c r="AF11" s="76"/>
    </row>
    <row r="12" spans="1:36" x14ac:dyDescent="0.2">
      <c r="B12" s="16" t="str">
        <f>+'COLOMB$ '!B12</f>
        <v>Voice Experience (Publihold)</v>
      </c>
      <c r="C12" s="26">
        <f>+'COL. CONS.$'!C12/Paramet!$C$10*1000</f>
        <v>19805.294117647059</v>
      </c>
      <c r="D12" s="27">
        <f t="shared" si="0"/>
        <v>7.6612040757815039E-2</v>
      </c>
      <c r="E12" s="26">
        <f>+'COL. CONS.$'!E12/Paramet!$C$8*1000</f>
        <v>16063.21445319146</v>
      </c>
      <c r="F12" s="27">
        <f t="shared" si="1"/>
        <v>9.0892615865486137E-2</v>
      </c>
      <c r="G12" s="27">
        <f t="shared" si="2"/>
        <v>0.81105659717917022</v>
      </c>
      <c r="H12" s="26">
        <f>+'COL. CONS.$'!H12/Paramet!$C$9*1000</f>
        <v>19915.535191468221</v>
      </c>
      <c r="I12" s="27">
        <f t="shared" si="3"/>
        <v>9.1623979544171327E-2</v>
      </c>
      <c r="J12" s="28">
        <f t="shared" si="4"/>
        <v>-0.1934329507713701</v>
      </c>
      <c r="K12" s="26">
        <f>+'COL. CONS.$'!K12/Paramet!$C$10*1000</f>
        <v>235706.4705882353</v>
      </c>
      <c r="L12" s="27">
        <f t="shared" si="5"/>
        <v>9.4463858823679192E-2</v>
      </c>
      <c r="M12" s="26">
        <f>+'COL. CONS.$'!M12/Paramet!$C$8*1000</f>
        <v>181208.10466819658</v>
      </c>
      <c r="N12" s="27">
        <f t="shared" si="6"/>
        <v>0.10572498804012581</v>
      </c>
      <c r="O12" s="27">
        <f t="shared" si="7"/>
        <v>0.76878714536757875</v>
      </c>
      <c r="P12" s="26">
        <f>+'COL. CONS.$'!P12/Paramet!$C$9*1000</f>
        <v>246028.84527169148</v>
      </c>
      <c r="Q12" s="27">
        <f t="shared" si="8"/>
        <v>0.14021677376824898</v>
      </c>
      <c r="R12" s="28">
        <f t="shared" si="9"/>
        <v>-0.26346805201606693</v>
      </c>
      <c r="T12" s="30">
        <f>+E24/C24</f>
        <v>0.68038052750223943</v>
      </c>
      <c r="U12" s="82">
        <v>1208</v>
      </c>
      <c r="AE12" s="2"/>
      <c r="AF12" s="76"/>
    </row>
    <row r="13" spans="1:36" x14ac:dyDescent="0.2">
      <c r="B13" s="16" t="str">
        <f>+'COLOMB$ '!B13</f>
        <v>Service &amp; Equipment Experience</v>
      </c>
      <c r="C13" s="26">
        <f>+'COL. CONS.$'!C13/Paramet!$C$10*1000</f>
        <v>29832.058823529413</v>
      </c>
      <c r="D13" s="27">
        <f t="shared" si="0"/>
        <v>0.1153981805522056</v>
      </c>
      <c r="E13" s="26">
        <f>+'COL. CONS.$'!E13/Paramet!$C$8*1000</f>
        <v>19858.999423167101</v>
      </c>
      <c r="F13" s="27">
        <f t="shared" si="1"/>
        <v>0.11237080917413832</v>
      </c>
      <c r="G13" s="27">
        <f t="shared" si="2"/>
        <v>0.66569322421366817</v>
      </c>
      <c r="H13" s="26">
        <f>+'COL. CONS.$'!H13/Paramet!$C$9*1000</f>
        <v>24552.204553381744</v>
      </c>
      <c r="I13" s="27">
        <f t="shared" si="3"/>
        <v>0.11295557293017519</v>
      </c>
      <c r="J13" s="28">
        <f t="shared" si="4"/>
        <v>-0.19115208656764859</v>
      </c>
      <c r="K13" s="26">
        <f>+'COL. CONS.$'!K13/Paramet!$C$10*1000</f>
        <v>277589.70588235289</v>
      </c>
      <c r="L13" s="27">
        <f t="shared" si="5"/>
        <v>0.11124936333710488</v>
      </c>
      <c r="M13" s="26">
        <f>+'COL. CONS.$'!M13/Paramet!$C$8*1000</f>
        <v>183753.35144062978</v>
      </c>
      <c r="N13" s="27">
        <f t="shared" si="6"/>
        <v>0.10720999990020459</v>
      </c>
      <c r="O13" s="27">
        <f t="shared" si="7"/>
        <v>0.66196025121517832</v>
      </c>
      <c r="P13" s="26">
        <f>+'COL. CONS.$'!P13/Paramet!$C$9*1000</f>
        <v>156906.30053587846</v>
      </c>
      <c r="Q13" s="27">
        <f t="shared" si="8"/>
        <v>8.9424047902823767E-2</v>
      </c>
      <c r="R13" s="28">
        <f t="shared" si="9"/>
        <v>0.17110244020196261</v>
      </c>
      <c r="T13" s="30">
        <f>+E26/C26</f>
        <v>0.72959308806685497</v>
      </c>
      <c r="U13" s="29" t="s">
        <v>86</v>
      </c>
      <c r="V13" s="16" t="s">
        <v>18</v>
      </c>
      <c r="W13" s="26">
        <f>'COLOMB$ '!U13/Paramet!$C$10*1000</f>
        <v>28351.176470588234</v>
      </c>
      <c r="X13" s="26">
        <f>'COLOMB$ '!V13/Paramet!$C$8*1000</f>
        <v>23198.182146399358</v>
      </c>
      <c r="Y13" s="26">
        <f>'COLOMB$ '!W13/Paramet!$C$9*1000</f>
        <v>91898.204357844224</v>
      </c>
      <c r="Z13" s="26">
        <f>'COLOMB$ '!X13/Paramet!$C$10*1000</f>
        <v>387772.94117647054</v>
      </c>
      <c r="AA13" s="26">
        <f>'COLOMB$ '!Y13/Paramet!$C$8*1000</f>
        <v>263226.88672703353</v>
      </c>
      <c r="AB13" s="29">
        <f>+Z13-AA13</f>
        <v>124546.05444943701</v>
      </c>
      <c r="AC13" s="30">
        <f>IF(Z13=0,"",(AA13-Z13)/ABS(Z13)+1)</f>
        <v>0.67881705703452455</v>
      </c>
      <c r="AD13" s="26">
        <f>'COLOMB$ '!AB13/Paramet!$C$9*1000</f>
        <v>600702.59222764801</v>
      </c>
      <c r="AE13" s="28">
        <f>IF(AD13=0,"",(AA13-AD13)/ABS(AD13))</f>
        <v>-0.5618016467169189</v>
      </c>
      <c r="AF13" s="76"/>
      <c r="AG13" s="31"/>
    </row>
    <row r="14" spans="1:36" x14ac:dyDescent="0.2">
      <c r="B14" s="16" t="str">
        <f>+'COLOMB$ '!B14</f>
        <v>POP Satelital</v>
      </c>
      <c r="C14" s="26">
        <f>+'COL. CONS.$'!C14/Paramet!$C$10*1000</f>
        <v>0</v>
      </c>
      <c r="D14" s="27">
        <f t="shared" si="0"/>
        <v>0</v>
      </c>
      <c r="E14" s="26">
        <f>+'COL. CONS.$'!E14/Paramet!$C$8*1000</f>
        <v>0</v>
      </c>
      <c r="F14" s="27">
        <f t="shared" si="1"/>
        <v>0</v>
      </c>
      <c r="G14" s="27" t="str">
        <f t="shared" si="2"/>
        <v/>
      </c>
      <c r="H14" s="26">
        <f>+'COL. CONS.$'!H14/Paramet!$C$9*1000</f>
        <v>0</v>
      </c>
      <c r="I14" s="27">
        <f t="shared" si="3"/>
        <v>0</v>
      </c>
      <c r="J14" s="28" t="str">
        <f t="shared" si="4"/>
        <v/>
      </c>
      <c r="K14" s="26">
        <f>+'COL. CONS.$'!K14/Paramet!$C$10*1000</f>
        <v>0</v>
      </c>
      <c r="L14" s="27">
        <f t="shared" si="5"/>
        <v>0</v>
      </c>
      <c r="M14" s="26">
        <f>+'COL. CONS.$'!M14/Paramet!$C$8*1000</f>
        <v>0</v>
      </c>
      <c r="N14" s="27">
        <f t="shared" si="6"/>
        <v>0</v>
      </c>
      <c r="O14" s="27" t="str">
        <f t="shared" si="7"/>
        <v/>
      </c>
      <c r="P14" s="26">
        <f>+'COL. CONS.$'!P14/Paramet!$C$9*1000</f>
        <v>0</v>
      </c>
      <c r="Q14" s="27">
        <f t="shared" si="8"/>
        <v>0</v>
      </c>
      <c r="R14" s="28" t="str">
        <f t="shared" si="9"/>
        <v/>
      </c>
      <c r="T14" s="30"/>
      <c r="U14" s="29"/>
      <c r="V14" s="16" t="s">
        <v>19</v>
      </c>
      <c r="W14" s="26">
        <f>'COLOMB$ '!U14/Paramet!$C$10*1000</f>
        <v>2456.7647058823527</v>
      </c>
      <c r="X14" s="26">
        <f>'COLOMB$ '!V14/Paramet!$C$8*1000</f>
        <v>2707.0491884915609</v>
      </c>
      <c r="Y14" s="26">
        <f>'COLOMB$ '!W14/Paramet!$C$9*1000</f>
        <v>2195.8083626639609</v>
      </c>
      <c r="Z14" s="26">
        <f>'COLOMB$ '!X14/Paramet!$C$10*1000</f>
        <v>24567.647058823528</v>
      </c>
      <c r="AA14" s="26">
        <f>'COLOMB$ '!Y14/Paramet!$C$8*1000</f>
        <v>21429.459138236554</v>
      </c>
      <c r="AB14" s="29">
        <f>+Z14-AA14</f>
        <v>3138.1879205869736</v>
      </c>
      <c r="AC14" s="30">
        <f>IF(Z14=0,"",(AA14-Z14)/ABS(Z14)+1)</f>
        <v>0.8722633912367328</v>
      </c>
      <c r="AD14" s="26">
        <f>'COLOMB$ '!AB14/Paramet!$C$9*1000</f>
        <v>19409.741996173805</v>
      </c>
      <c r="AE14" s="28">
        <f>IF(AD14=0,"",(AA14-AD14)/ABS(AD14))</f>
        <v>0.1040568773382403</v>
      </c>
      <c r="AF14" s="76"/>
    </row>
    <row r="15" spans="1:36" x14ac:dyDescent="0.2">
      <c r="B15" s="16" t="str">
        <f>+'COLOMB$ '!B15</f>
        <v>Voice Experience (Audicóm)</v>
      </c>
      <c r="C15" s="26">
        <f>+'COL. CONS.$'!C15/Paramet!$C$10*1000</f>
        <v>37221.470588235294</v>
      </c>
      <c r="D15" s="27">
        <f t="shared" si="0"/>
        <v>0.14398235162944795</v>
      </c>
      <c r="E15" s="26">
        <f>+'COL. CONS.$'!E15/Paramet!$C$8*1000</f>
        <v>26445.548219495289</v>
      </c>
      <c r="F15" s="27">
        <f t="shared" si="1"/>
        <v>0.14964035141728468</v>
      </c>
      <c r="G15" s="27">
        <f t="shared" si="2"/>
        <v>0.7104917619201756</v>
      </c>
      <c r="H15" s="26">
        <f>+'COL. CONS.$'!H15/Paramet!$C$9*1000</f>
        <v>29848.087695933878</v>
      </c>
      <c r="I15" s="27">
        <f t="shared" si="3"/>
        <v>0.13731996404778823</v>
      </c>
      <c r="J15" s="28">
        <f t="shared" si="4"/>
        <v>-0.11399522512466043</v>
      </c>
      <c r="K15" s="26">
        <f>+'COL. CONS.$'!K15/Paramet!$C$10*1000</f>
        <v>365830.29411764705</v>
      </c>
      <c r="L15" s="27">
        <f t="shared" si="5"/>
        <v>0.1466134602529631</v>
      </c>
      <c r="M15" s="26">
        <f>+'COL. CONS.$'!M15/Paramet!$C$8*1000</f>
        <v>254803.75273373141</v>
      </c>
      <c r="N15" s="27">
        <f t="shared" si="6"/>
        <v>0.14866401124651768</v>
      </c>
      <c r="O15" s="27">
        <f t="shared" si="7"/>
        <v>0.69650807172297569</v>
      </c>
      <c r="P15" s="26">
        <f>+'COL. CONS.$'!P15/Paramet!$C$9*1000</f>
        <v>305231.23262622743</v>
      </c>
      <c r="Q15" s="27">
        <f t="shared" si="8"/>
        <v>0.17395740180340546</v>
      </c>
      <c r="R15" s="28">
        <f t="shared" si="9"/>
        <v>-0.16521074681190068</v>
      </c>
      <c r="T15" s="30"/>
      <c r="U15" s="82"/>
      <c r="V15" s="16" t="s">
        <v>20</v>
      </c>
      <c r="W15" s="26">
        <f>'COLOMB$ '!U15/Paramet!$C$10*1000</f>
        <v>106352.35294117648</v>
      </c>
      <c r="X15" s="26">
        <f>'COLOMB$ '!V15/Paramet!$C$8*1000</f>
        <v>73458.16965526971</v>
      </c>
      <c r="Y15" s="26">
        <f>'COLOMB$ '!W15/Paramet!$C$9*1000</f>
        <v>79599.498208453573</v>
      </c>
      <c r="Z15" s="26">
        <f>'COLOMB$ '!X15/Paramet!$C$10*1000</f>
        <v>1148900.294117647</v>
      </c>
      <c r="AA15" s="26">
        <f>'COLOMB$ '!Y15/Paramet!$C$8*1000</f>
        <v>791720.45293417049</v>
      </c>
      <c r="AB15" s="29">
        <f>+Z15-AA15</f>
        <v>357179.8411834765</v>
      </c>
      <c r="AC15" s="30">
        <f>IF(Z15=0,"",(AA15-Z15)/ABS(Z15)+1)</f>
        <v>0.68911154169580069</v>
      </c>
      <c r="AD15" s="26">
        <f>'COLOMB$ '!AB15/Paramet!$C$9*1000</f>
        <v>866879.8252845864</v>
      </c>
      <c r="AE15" s="28">
        <f>IF(AD15=0,"",(AA15-AD15)/ABS(AD15))</f>
        <v>-8.6701028398880983E-2</v>
      </c>
      <c r="AF15" s="76"/>
    </row>
    <row r="16" spans="1:36" x14ac:dyDescent="0.2">
      <c r="B16" s="16" t="str">
        <f>+'COLOMB$ '!B16</f>
        <v>Fact. Servicio Satelital</v>
      </c>
      <c r="C16" s="26">
        <f>+'COL. CONS.$'!C16/Paramet!$C$8*1000</f>
        <v>0</v>
      </c>
      <c r="D16" s="27"/>
      <c r="E16" s="26">
        <f>+'COL. CONS.$'!E16/Paramet!$C$8*1000</f>
        <v>0</v>
      </c>
      <c r="F16" s="27">
        <f t="shared" si="1"/>
        <v>0</v>
      </c>
      <c r="G16" s="27" t="str">
        <f t="shared" si="2"/>
        <v/>
      </c>
      <c r="H16" s="26">
        <f>+'COL. CONS.$'!H16/Paramet!$C$9*1000</f>
        <v>0</v>
      </c>
      <c r="I16" s="27">
        <f t="shared" si="3"/>
        <v>0</v>
      </c>
      <c r="J16" s="28" t="str">
        <f t="shared" si="4"/>
        <v/>
      </c>
      <c r="K16" s="26">
        <f>+'COL. CONS.$'!K16/Paramet!$C$8*1000</f>
        <v>0</v>
      </c>
      <c r="L16" s="27">
        <f t="shared" si="5"/>
        <v>0</v>
      </c>
      <c r="M16" s="26">
        <f>+'COL. CONS.$'!M16/Paramet!$C$8*1000</f>
        <v>0</v>
      </c>
      <c r="N16" s="27">
        <f t="shared" si="6"/>
        <v>0</v>
      </c>
      <c r="O16" s="27" t="str">
        <f t="shared" si="7"/>
        <v/>
      </c>
      <c r="P16" s="26">
        <f>+'COL. CONS.$'!P16/Paramet!$C$9*1000</f>
        <v>0</v>
      </c>
      <c r="Q16" s="27">
        <f t="shared" si="8"/>
        <v>0</v>
      </c>
      <c r="R16" s="28" t="str">
        <f t="shared" si="9"/>
        <v/>
      </c>
      <c r="V16" s="16" t="s">
        <v>21</v>
      </c>
      <c r="W16" s="26">
        <f>'COLOMB$ '!U16/Paramet!$C$10*1000</f>
        <v>68195.882352941189</v>
      </c>
      <c r="X16" s="26">
        <f>'COLOMB$ '!V16/Paramet!$C$8*1000</f>
        <v>51496.79922687792</v>
      </c>
      <c r="Y16" s="26">
        <f>'COLOMB$ '!W16/Paramet!$C$9*1000</f>
        <v>38425.544675037781</v>
      </c>
      <c r="Z16" s="26">
        <f>'COLOMB$ '!X16/Paramet!$C$10*1000</f>
        <v>729493.82352941181</v>
      </c>
      <c r="AA16" s="26">
        <f>'COLOMB$ '!Y16/Paramet!$C$8*1000</f>
        <v>509228.0063513866</v>
      </c>
      <c r="AB16" s="29">
        <f>+Z16-AA16</f>
        <v>220265.8171780252</v>
      </c>
      <c r="AC16" s="30">
        <f>IF(Z16=0,"",(AA16-Z16)/ABS(Z16)+1)</f>
        <v>0.69805663862602318</v>
      </c>
      <c r="AD16" s="26">
        <f>'COLOMB$ '!AB16/Paramet!$C$9*1000</f>
        <v>431298.98988753947</v>
      </c>
      <c r="AE16" s="28">
        <f>IF(AD16=0,"",(AA16-AD16)/ABS(AD16))</f>
        <v>0.18068444000800235</v>
      </c>
      <c r="AF16" s="76"/>
    </row>
    <row r="17" spans="2:33" x14ac:dyDescent="0.2">
      <c r="B17" s="16" t="str">
        <f>+'COLOMB$ '!B17</f>
        <v>Visual Experience</v>
      </c>
      <c r="C17" s="26">
        <f>+'COL. CONS.$'!C17/Paramet!$C$10*1000</f>
        <v>5688.5294117647054</v>
      </c>
      <c r="D17" s="27"/>
      <c r="E17" s="26">
        <f>+'COL. CONS.$'!E17/Paramet!$C$8*1000</f>
        <v>4146.8950620614096</v>
      </c>
      <c r="F17" s="27">
        <f t="shared" si="1"/>
        <v>2.3464926089904855E-2</v>
      </c>
      <c r="G17" s="27">
        <f t="shared" si="2"/>
        <v>0.72899246217924585</v>
      </c>
      <c r="H17" s="26">
        <f>+'COL. CONS.$'!H17/Paramet!$C$9*1000</f>
        <v>4788.544143915612</v>
      </c>
      <c r="I17" s="27">
        <f t="shared" si="3"/>
        <v>2.203031284222998E-2</v>
      </c>
      <c r="J17" s="28">
        <f t="shared" si="4"/>
        <v>-0.13399669347717935</v>
      </c>
      <c r="K17" s="26">
        <f>+'COL. CONS.$'!K17/Paramet!$C$10*1000</f>
        <v>78195.588235294126</v>
      </c>
      <c r="L17" s="27">
        <f t="shared" si="5"/>
        <v>3.1338371786141628E-2</v>
      </c>
      <c r="M17" s="26">
        <f>+'COL. CONS.$'!M17/Paramet!$C$8*1000</f>
        <v>55270.458478406123</v>
      </c>
      <c r="N17" s="27">
        <f t="shared" si="6"/>
        <v>3.2247280397869157E-2</v>
      </c>
      <c r="O17" s="27">
        <f t="shared" si="7"/>
        <v>0.70682323294371496</v>
      </c>
      <c r="P17" s="26">
        <f>+'COL. CONS.$'!P17/Paramet!$C$9*1000</f>
        <v>60380.728456521974</v>
      </c>
      <c r="Q17" s="27">
        <f t="shared" si="8"/>
        <v>3.4412188264350538E-2</v>
      </c>
      <c r="R17" s="28">
        <f t="shared" si="9"/>
        <v>-8.4634122653812899E-2</v>
      </c>
      <c r="V17" s="16" t="s">
        <v>22</v>
      </c>
      <c r="W17" s="26">
        <f>'COLOMB$ '!U17/Paramet!$C$10*1000</f>
        <v>205356.17647058822</v>
      </c>
      <c r="X17" s="26">
        <f>'COLOMB$ '!V17/Paramet!$C$8*1000</f>
        <v>150860.20021703857</v>
      </c>
      <c r="Y17" s="26">
        <f>'COLOMB$ '!W17/Paramet!$C$9*1000</f>
        <v>212119.05560399953</v>
      </c>
      <c r="Z17" s="26">
        <f>'COLOMB$ '!X17/Paramet!$C$10*1000</f>
        <v>2290734.7058823528</v>
      </c>
      <c r="AA17" s="26">
        <f>'COLOMB$ '!Y17/Paramet!$C$8*1000</f>
        <v>1585604.8051508274</v>
      </c>
      <c r="AB17" s="29">
        <f>+AA17-Z17</f>
        <v>-705129.90073152538</v>
      </c>
      <c r="AC17" s="30">
        <f>IF(Z17=0,"",(AA17-Z17)/ABS(Z17)+1)</f>
        <v>0.69218177080007126</v>
      </c>
      <c r="AD17" s="26">
        <f>'COLOMB$ '!AB17/Paramet!$C$9*1000</f>
        <v>1918291.1493959478</v>
      </c>
      <c r="AE17" s="28">
        <f>IF(AD17=0,"",(AA17-AD17)/ABS(AD17))</f>
        <v>-0.17342849355786283</v>
      </c>
      <c r="AF17" s="76"/>
    </row>
    <row r="18" spans="2:33" x14ac:dyDescent="0.2">
      <c r="B18" s="16" t="str">
        <f>+'COL. CONS.$'!B18</f>
        <v>Olfa Experience</v>
      </c>
      <c r="C18" s="26">
        <f>+'COL. CONS.$'!C18/Paramet!$C$10*1000</f>
        <v>34481.176470588238</v>
      </c>
      <c r="D18" s="27"/>
      <c r="E18" s="26">
        <f>+'COL. CONS.$'!E18/Paramet!$C$8*1000</f>
        <v>23538.16475841491</v>
      </c>
      <c r="F18" s="27">
        <f t="shared" si="1"/>
        <v>0.13318911814316606</v>
      </c>
      <c r="G18" s="27">
        <f t="shared" si="2"/>
        <v>0.68263809903622341</v>
      </c>
      <c r="H18" s="26">
        <f>+'COL. CONS.$'!H18/Paramet!$C$9*1000</f>
        <v>25727.071376478423</v>
      </c>
      <c r="I18" s="27">
        <f t="shared" si="3"/>
        <v>0.11836069876443603</v>
      </c>
      <c r="J18" s="32">
        <f t="shared" si="4"/>
        <v>-8.5081841847913231E-2</v>
      </c>
      <c r="K18" s="26">
        <f>+'COL. CONS.$'!K18/Paramet!$C$10*1000</f>
        <v>323170.58823529416</v>
      </c>
      <c r="L18" s="27">
        <f t="shared" si="5"/>
        <v>0.12951677035780076</v>
      </c>
      <c r="M18" s="26">
        <f>+'COL. CONS.$'!M18/Paramet!$C$8*1000</f>
        <v>215145.72355179669</v>
      </c>
      <c r="N18" s="27">
        <f t="shared" si="6"/>
        <v>0.12552572684896068</v>
      </c>
      <c r="O18" s="27">
        <f t="shared" si="7"/>
        <v>0.6657342325816894</v>
      </c>
      <c r="P18" s="26">
        <f>+'COL. CONS.$'!P18/Paramet!$C$9*1000</f>
        <v>216684.74331737327</v>
      </c>
      <c r="Q18" s="27">
        <f t="shared" si="8"/>
        <v>0.12349298148032699</v>
      </c>
      <c r="R18" s="32">
        <f t="shared" si="9"/>
        <v>-7.102575575994351E-3</v>
      </c>
      <c r="AE18" s="2"/>
      <c r="AF18" s="76"/>
    </row>
    <row r="19" spans="2:33" x14ac:dyDescent="0.2">
      <c r="B19" s="16" t="str">
        <f>+'COLOMB$ '!B19</f>
        <v>Locutor virtual</v>
      </c>
      <c r="C19" s="26"/>
      <c r="D19" s="27"/>
      <c r="E19" s="26"/>
      <c r="F19" s="27"/>
      <c r="G19" s="27"/>
      <c r="H19" s="26">
        <f>+'COL. CONS.$'!H19/Paramet!$C$9*1000</f>
        <v>9075.484880193635</v>
      </c>
      <c r="I19" s="27"/>
      <c r="J19" s="28"/>
      <c r="K19" s="26"/>
      <c r="L19" s="27"/>
      <c r="M19" s="26"/>
      <c r="N19" s="27"/>
      <c r="O19" s="27"/>
      <c r="P19" s="26"/>
      <c r="Q19" s="27"/>
      <c r="R19" s="28"/>
      <c r="T19" s="30">
        <f>+E27/C27</f>
        <v>0.78136404201954557</v>
      </c>
      <c r="U19" s="29" t="s">
        <v>87</v>
      </c>
      <c r="V19" s="16" t="s">
        <v>23</v>
      </c>
      <c r="W19" s="26">
        <f>+W11-W17</f>
        <v>94151.470588235272</v>
      </c>
      <c r="X19" s="26">
        <f>+X11-X17</f>
        <v>72815.693552336161</v>
      </c>
      <c r="Y19" s="26">
        <f>+Y11-Y17</f>
        <v>44309.014197609155</v>
      </c>
      <c r="Z19" s="26">
        <f>+Z11-Z17</f>
        <v>701989.70588235324</v>
      </c>
      <c r="AA19" s="26">
        <f>+AA11-AA17</f>
        <v>543834.46811442031</v>
      </c>
      <c r="AB19" s="29">
        <f>+AA19-Z19</f>
        <v>-158155.23776793294</v>
      </c>
      <c r="AC19" s="30">
        <f>IF(Z19=0,"",(AA19-Z19)/ABS(Z19)+1)</f>
        <v>0.77470433477490586</v>
      </c>
      <c r="AD19" s="26">
        <f>+AD11-AD17</f>
        <v>606813.85182484007</v>
      </c>
      <c r="AE19" s="28">
        <f>IF(AD19=0,"",(AA19-AD19)/ABS(AD19))</f>
        <v>-0.10378699088859804</v>
      </c>
      <c r="AF19" s="76"/>
    </row>
    <row r="20" spans="2:33" x14ac:dyDescent="0.2">
      <c r="B20" s="33" t="s">
        <v>24</v>
      </c>
      <c r="C20" s="34">
        <f>SUM(C10:C19)</f>
        <v>258514.1176470588</v>
      </c>
      <c r="D20" s="35">
        <f>+C20/$C$20</f>
        <v>1</v>
      </c>
      <c r="E20" s="34">
        <f>SUM(E10:E19)</f>
        <v>176727.38649049052</v>
      </c>
      <c r="F20" s="35">
        <f>+E20/$E$20</f>
        <v>1</v>
      </c>
      <c r="G20" s="35">
        <f>IF(C20=0,"",(E20-C20)/ABS(C20)+1)</f>
        <v>0.68362760262002742</v>
      </c>
      <c r="H20" s="34">
        <f>+'COL. CONS.$'!H20/Paramet!$C$9*1000</f>
        <v>217361.60435890115</v>
      </c>
      <c r="I20" s="35">
        <f>+H20/$H$20</f>
        <v>1</v>
      </c>
      <c r="J20" s="36">
        <f>IF(H20=0,"",(E20-H20)/ABS(H20))</f>
        <v>-0.18694294232994615</v>
      </c>
      <c r="K20" s="34">
        <f>SUM(K10:K19)</f>
        <v>2495202.6470588231</v>
      </c>
      <c r="L20" s="35">
        <f>+K20/$K$20</f>
        <v>1</v>
      </c>
      <c r="M20" s="34">
        <f>SUM(M10:M19)</f>
        <v>1713957.2018624647</v>
      </c>
      <c r="N20" s="35">
        <f>+M20/$M$20</f>
        <v>1</v>
      </c>
      <c r="O20" s="35">
        <f>IF(K20=0,"",(M20-K20)/ABS(K20)+1)</f>
        <v>0.68690100336450111</v>
      </c>
      <c r="P20" s="34">
        <f>SUM(P10:P17)</f>
        <v>1754632.0505015273</v>
      </c>
      <c r="Q20" s="35">
        <f>+P20/$P$20</f>
        <v>1</v>
      </c>
      <c r="R20" s="36">
        <f>IF(P20=0,"",(M20-P20)/ABS(P20))</f>
        <v>-2.3181412095736251E-2</v>
      </c>
      <c r="T20" s="30">
        <f>+E28/C28</f>
        <v>0.75991610786886366</v>
      </c>
      <c r="U20" s="29"/>
      <c r="V20" s="16"/>
      <c r="W20" s="26"/>
      <c r="X20" s="26"/>
      <c r="Y20" s="26"/>
      <c r="Z20" s="26"/>
      <c r="AA20" s="26"/>
      <c r="AB20" s="29"/>
      <c r="AC20" s="30"/>
      <c r="AD20" s="26"/>
      <c r="AE20" s="28" t="str">
        <f>IF(AD20=0,"",(AA20-AD20)/ABS(AD20))</f>
        <v/>
      </c>
      <c r="AF20" s="76"/>
      <c r="AG20" s="31"/>
    </row>
    <row r="21" spans="2:33" x14ac:dyDescent="0.2">
      <c r="J21" s="28"/>
      <c r="R21" s="28"/>
      <c r="T21" s="30">
        <f>+E30/C30</f>
        <v>0.65894782199277024</v>
      </c>
      <c r="U21" s="29"/>
      <c r="V21" s="16" t="s">
        <v>25</v>
      </c>
      <c r="W21" s="26">
        <f>+'COL. CONS.$'!U21/Paramet!C10*1000</f>
        <v>100139.41176470589</v>
      </c>
      <c r="X21" s="26">
        <f>+X10+X19</f>
        <v>87651.088682870541</v>
      </c>
      <c r="Y21" s="26">
        <f>'COLOMB$ '!W21/Paramet!$C$9*1000</f>
        <v>270954.96445709275</v>
      </c>
      <c r="Z21" s="26">
        <f>'COLOMB$ '!X21/Paramet!$C$10*1000</f>
        <v>844457.9411764706</v>
      </c>
      <c r="AA21" s="26">
        <f>+'COL. CONS.$'!Y21/Paramet!C8*1000</f>
        <v>644342.82804154849</v>
      </c>
      <c r="AB21" s="29">
        <f>+AA21-Z21</f>
        <v>-200115.11313492211</v>
      </c>
      <c r="AC21" s="30">
        <f>IF(Z21=0,"",(AA21-Z21)/ABS(Z21)+1)</f>
        <v>0.76302536410975252</v>
      </c>
      <c r="AD21" s="26">
        <f>'COLOMB$ '!AB21/Paramet!$C$9*1000</f>
        <v>762816.8535899627</v>
      </c>
      <c r="AE21" s="28">
        <f>IF(AD21=0,"",(AA21-AD21)/ABS(AD21))</f>
        <v>-0.15531123229757271</v>
      </c>
      <c r="AF21" s="76"/>
      <c r="AG21" s="31"/>
    </row>
    <row r="22" spans="2:33" x14ac:dyDescent="0.2">
      <c r="B22" s="16" t="s">
        <v>26</v>
      </c>
      <c r="C22" s="26">
        <f>+'COL. CONS.$'!C22/Paramet!$C$10*1000</f>
        <v>25331.176470588238</v>
      </c>
      <c r="D22" s="27">
        <f>+C22/$C$20</f>
        <v>9.7987594260411329E-2</v>
      </c>
      <c r="E22" s="26">
        <f>+'COL. CONS.$'!E22/Paramet!$C$8*1000</f>
        <v>18074.253968319837</v>
      </c>
      <c r="F22" s="27">
        <f>+E22/$E$20</f>
        <v>0.10227194736053198</v>
      </c>
      <c r="G22" s="27">
        <f>IF(C22=0,"",(E22-C22)/ABS(C22)+1)</f>
        <v>0.71351814193492613</v>
      </c>
      <c r="H22" s="26">
        <f>+'COL. CONS.$'!H22/Paramet!$C$9*1000</f>
        <v>21316.122316643938</v>
      </c>
      <c r="I22" s="27">
        <f>+H22/$H$20</f>
        <v>9.8067560641700899E-2</v>
      </c>
      <c r="J22" s="28">
        <f>IF(H22=0,"",(E22-H22)/ABS(H22))</f>
        <v>-0.15208527611951272</v>
      </c>
      <c r="K22" s="26">
        <f>+'COL. CONS.$'!K22/Paramet!$C$10*1000</f>
        <v>224226.4705882353</v>
      </c>
      <c r="L22" s="27">
        <f>+K22/$K$20</f>
        <v>8.9863030104003122E-2</v>
      </c>
      <c r="M22" s="26">
        <f>+'COL. CONS.$'!M22/Paramet!$C$8*1000</f>
        <v>164168.9056732968</v>
      </c>
      <c r="N22" s="27">
        <f>+M22/$M$20</f>
        <v>9.5783550193028935E-2</v>
      </c>
      <c r="O22" s="27">
        <f>IF(K22=0,"",(M22-K22)/ABS(K22)+1)</f>
        <v>0.73215666840144433</v>
      </c>
      <c r="P22" s="26">
        <f>+'COL. CONS.$'!P22/Paramet!$C$9*1000</f>
        <v>125954.26250383147</v>
      </c>
      <c r="Q22" s="27">
        <f>+P22/$P$20</f>
        <v>7.1783860592213575E-2</v>
      </c>
      <c r="R22" s="28">
        <f>IF(P22=0,"",(M22-P22)/ABS(P22))</f>
        <v>0.3034009521377084</v>
      </c>
      <c r="T22" s="30">
        <f>+E32/C32</f>
        <v>0.80360773484271597</v>
      </c>
      <c r="U22" s="29"/>
      <c r="AE22" s="28"/>
      <c r="AF22" s="76"/>
      <c r="AG22" s="31"/>
    </row>
    <row r="23" spans="2:33" x14ac:dyDescent="0.2">
      <c r="J23" s="28"/>
      <c r="R23" s="28"/>
      <c r="T23" s="30">
        <f>+E33/C33</f>
        <v>0.7638747189168279</v>
      </c>
      <c r="U23" s="82">
        <v>2101</v>
      </c>
      <c r="V23" s="16" t="s">
        <v>27</v>
      </c>
      <c r="W23" s="26">
        <f>'COLOMB$ '!U23/Paramet!$C$10*1000</f>
        <v>0</v>
      </c>
      <c r="X23" s="26">
        <f>'COLOMB$ '!V23/Paramet!$C$8*1000</f>
        <v>19731.394313008619</v>
      </c>
      <c r="Y23" s="26">
        <f>'COLOMB$ '!W23/Paramet!$C$9*1000</f>
        <v>0</v>
      </c>
      <c r="Z23" s="26">
        <f>'COLOMB$ '!X23/Paramet!$C$10*1000</f>
        <v>124936.76470588235</v>
      </c>
      <c r="AA23" s="26">
        <f>'COLOMB$ '!Y23/Paramet!$C$8*1000</f>
        <v>168213.45989351414</v>
      </c>
      <c r="AB23" s="29">
        <f>+AA23-Z23</f>
        <v>43276.695187631791</v>
      </c>
      <c r="AC23" s="30">
        <f>IF(Z23=0,"",(AA23-Z23)/ABS(Z23)+1)</f>
        <v>1.346388793478932</v>
      </c>
      <c r="AD23" s="26">
        <f>'COLOMB$ '!AB23/Paramet!$C$9*1000</f>
        <v>101650.9097779328</v>
      </c>
      <c r="AE23" s="28">
        <f>IF(AD23=0,"",(AA23-AD23)/ABS(AD23))</f>
        <v>0.65481509472954347</v>
      </c>
      <c r="AF23" s="76"/>
    </row>
    <row r="24" spans="2:33" x14ac:dyDescent="0.2">
      <c r="B24" s="16" t="s">
        <v>28</v>
      </c>
      <c r="C24" s="26">
        <f>C20-C22</f>
        <v>233182.94117647054</v>
      </c>
      <c r="D24" s="27">
        <f>+C24/$C$20</f>
        <v>0.90201240573958863</v>
      </c>
      <c r="E24" s="26">
        <f>E20-E22</f>
        <v>158653.13252217069</v>
      </c>
      <c r="F24" s="27">
        <f>+E24/$E$20</f>
        <v>0.89772805263946809</v>
      </c>
      <c r="G24" s="27">
        <f>IF(C24=0,"",(E24-C24)/ABS(C24)+1)</f>
        <v>0.68038052750223943</v>
      </c>
      <c r="H24" s="26">
        <f>+'COL. CONS.$'!H24/Paramet!$C$9*1000</f>
        <v>196045.48204225721</v>
      </c>
      <c r="I24" s="27">
        <f>+H24/$H$20</f>
        <v>0.90193243935829903</v>
      </c>
      <c r="J24" s="28">
        <f>IF(H24=0,"",(E24-H24)/ABS(H24))</f>
        <v>-0.19073303363362726</v>
      </c>
      <c r="K24" s="26">
        <f>K20-K22</f>
        <v>2270976.176470588</v>
      </c>
      <c r="L24" s="27">
        <f>+K24/$K$20</f>
        <v>0.91013696989599691</v>
      </c>
      <c r="M24" s="26">
        <f>M20-M22</f>
        <v>1549788.2961891678</v>
      </c>
      <c r="N24" s="27">
        <f>+M24/$M$20</f>
        <v>0.90421644980697102</v>
      </c>
      <c r="O24" s="27">
        <f>IF(K24=0,"",(M24-K24)/ABS(K24)+1)</f>
        <v>0.6824326526391632</v>
      </c>
      <c r="P24" s="26">
        <f>P20-P22</f>
        <v>1628677.7879976959</v>
      </c>
      <c r="Q24" s="27">
        <f>+P24/$P$20</f>
        <v>0.92821613940778647</v>
      </c>
      <c r="R24" s="28">
        <f>IF(P24=0,"",(M24-P24)/ABS(P24))</f>
        <v>-4.8437752629705344E-2</v>
      </c>
      <c r="T24" s="30">
        <f>+E34/C34</f>
        <v>0.7611639731956592</v>
      </c>
      <c r="U24" s="29" t="s">
        <v>88</v>
      </c>
      <c r="AE24" s="28"/>
      <c r="AF24" s="76"/>
    </row>
    <row r="25" spans="2:33" x14ac:dyDescent="0.2">
      <c r="J25" s="28"/>
      <c r="R25" s="28"/>
      <c r="T25" s="30">
        <f>+E36/C36</f>
        <v>8.459322844001238E-2</v>
      </c>
      <c r="U25" s="82" t="s">
        <v>89</v>
      </c>
      <c r="V25" s="16" t="s">
        <v>29</v>
      </c>
      <c r="W25" s="26">
        <f>'COLOMB$ '!U25/Paramet!$C$10*1000</f>
        <v>15148.235294117647</v>
      </c>
      <c r="X25" s="26">
        <f>'COLOMB$ '!V25/Paramet!$C$8*1000</f>
        <v>9918.5248743624743</v>
      </c>
      <c r="Y25" s="26">
        <f>'COLOMB$ '!W25/Paramet!$C$9*1000</f>
        <v>14910.779645072984</v>
      </c>
      <c r="Z25" s="26">
        <f>'COLOMB$ '!X25/Paramet!$C$10*1000</f>
        <v>502319.70588235295</v>
      </c>
      <c r="AA25" s="26">
        <f>'COLOMB$ '!Y25/Paramet!$C$8*1000</f>
        <v>343786.25405131734</v>
      </c>
      <c r="AB25" s="29">
        <f>+AA25-Z25</f>
        <v>-158533.45183103561</v>
      </c>
      <c r="AC25" s="30">
        <f>IF(Z25=0,"",(AA25-Z25)/ABS(Z25)+1)</f>
        <v>0.68439730718395242</v>
      </c>
      <c r="AD25" s="26">
        <f>'COLOMB$ '!AB25/Paramet!$C$9*1000</f>
        <v>390269.88174736552</v>
      </c>
      <c r="AE25" s="28">
        <f>IF(AD25=0,"",(AA25-AD25)/ABS(AD25))</f>
        <v>-0.1191063668247363</v>
      </c>
    </row>
    <row r="26" spans="2:33" x14ac:dyDescent="0.2">
      <c r="B26" s="16" t="s">
        <v>30</v>
      </c>
      <c r="C26" s="26">
        <f>+'COL. CONS.$'!C26/Paramet!$C$10*1000</f>
        <v>58253.235294117643</v>
      </c>
      <c r="D26" s="27">
        <f>+C26/$C$20</f>
        <v>0.22533870035542491</v>
      </c>
      <c r="E26" s="26">
        <f>+'COL. CONS.$'!E26/Paramet!$C$8*1000</f>
        <v>42501.157828120398</v>
      </c>
      <c r="F26" s="27">
        <f>+E26/$E$20</f>
        <v>0.2404899357825751</v>
      </c>
      <c r="G26" s="27">
        <f>IF(C26=0,"",(E26-C26)/ABS(C26)+1)</f>
        <v>0.72959308806685497</v>
      </c>
      <c r="H26" s="26">
        <f>+'COL. CONS.$'!H26/Paramet!$C$9*1000</f>
        <v>45357.176924459105</v>
      </c>
      <c r="I26" s="27">
        <f>+H26/$H$20</f>
        <v>0.2086715225452912</v>
      </c>
      <c r="J26" s="28">
        <f>IF(H26=0,"",(E26-H26)/ABS(H26))</f>
        <v>-6.2967302861360028E-2</v>
      </c>
      <c r="K26" s="26">
        <f>+'COL. CONS.$'!K26/Paramet!$C$10*1000</f>
        <v>582960.5882352941</v>
      </c>
      <c r="L26" s="27">
        <f>+K26/$K$20</f>
        <v>0.23363256243834496</v>
      </c>
      <c r="M26" s="26">
        <f>+'COL. CONS.$'!M26/Paramet!$C$8*1000</f>
        <v>404555.39671371243</v>
      </c>
      <c r="N26" s="27">
        <f>+M26/$M$20</f>
        <v>0.23603588016906371</v>
      </c>
      <c r="O26" s="27">
        <f>IF(K26=0,"",(M26-K26)/ABS(K26)+1)</f>
        <v>0.69396697628970094</v>
      </c>
      <c r="P26" s="26">
        <f>+'COL. CONS.$'!P26/Paramet!$C$9*1000</f>
        <v>429439.17834342725</v>
      </c>
      <c r="Q26" s="27">
        <f>+P26/$P$20</f>
        <v>0.24474600143128611</v>
      </c>
      <c r="R26" s="28">
        <f>IF(P26=0,"",(M26-P26)/ABS(P26))</f>
        <v>-5.7944833365471349E-2</v>
      </c>
      <c r="T26" s="30">
        <f>+E38/C38</f>
        <v>7.7164771837171289</v>
      </c>
      <c r="U26" s="82" t="s">
        <v>90</v>
      </c>
      <c r="AE26" s="28"/>
    </row>
    <row r="27" spans="2:33" x14ac:dyDescent="0.2">
      <c r="B27" s="16" t="s">
        <v>31</v>
      </c>
      <c r="C27" s="26">
        <f>+'COL. CONS.$'!C27/Paramet!$C$10*1000</f>
        <v>82358.23529411765</v>
      </c>
      <c r="D27" s="27">
        <f>+C27/$C$20</f>
        <v>0.31858312437140768</v>
      </c>
      <c r="E27" s="26">
        <f>+'COL. CONS.$'!E27/Paramet!$C$8*1000</f>
        <v>64351.763623008563</v>
      </c>
      <c r="F27" s="27">
        <f>+E27/$E$20</f>
        <v>0.36413011532013601</v>
      </c>
      <c r="G27" s="27">
        <f>IF(C27=0,"",(E27-C27)/ABS(C27)+1)</f>
        <v>0.78136404201954557</v>
      </c>
      <c r="H27" s="26">
        <f>+'COL. CONS.$'!H27/Paramet!$C$9*1000</f>
        <v>79605.18169663148</v>
      </c>
      <c r="I27" s="27">
        <f>+H27/$H$20</f>
        <v>0.3662338706572561</v>
      </c>
      <c r="J27" s="28">
        <f>IF(H27=0,"",(E27-H27)/ABS(H27))</f>
        <v>-0.19161338179909426</v>
      </c>
      <c r="K27" s="26">
        <f>+'COL. CONS.$'!K27/Paramet!$C$10*1000</f>
        <v>831498.23529411759</v>
      </c>
      <c r="L27" s="27">
        <f>+K27/$K$20</f>
        <v>0.33323875969522226</v>
      </c>
      <c r="M27" s="26">
        <f>+'COL. CONS.$'!M27/Paramet!$C$8*1000</f>
        <v>592971.63605371595</v>
      </c>
      <c r="N27" s="27">
        <f>+M27/$M$20</f>
        <v>0.34596641935362549</v>
      </c>
      <c r="O27" s="27">
        <f>IF(K27=0,"",(M27-K27)/ABS(K27)+1)</f>
        <v>0.71313637345720882</v>
      </c>
      <c r="P27" s="26">
        <f>+'COL. CONS.$'!P27/Paramet!$C$9*1000</f>
        <v>777965.26258574589</v>
      </c>
      <c r="Q27" s="27">
        <f>+P27/$P$20</f>
        <v>0.44337800757907037</v>
      </c>
      <c r="R27" s="28">
        <f>IF(P27=0,"",(M27-P27)/ABS(P27))</f>
        <v>-0.23779162827548522</v>
      </c>
      <c r="T27" s="30">
        <f>+E39/C39</f>
        <v>1.0811757083399549</v>
      </c>
      <c r="U27" s="29"/>
      <c r="V27" s="16" t="s">
        <v>32</v>
      </c>
      <c r="W27" s="26">
        <f>'COLOMB$ '!U27/Paramet!$C$10*1000</f>
        <v>23847.058823529413</v>
      </c>
      <c r="X27" s="26">
        <f>'COLOMB$ '!V27/Paramet!$C$8*1000</f>
        <v>8398.9739719717309</v>
      </c>
      <c r="Y27" s="26">
        <f>'COLOMB$ '!W27/Paramet!$C$9*1000</f>
        <v>22097.741549608396</v>
      </c>
      <c r="Z27" s="26">
        <f>'COLOMB$ '!X27/Paramet!$C$10*1000</f>
        <v>19292.647058823528</v>
      </c>
      <c r="AA27" s="26">
        <f>'COLOMB$ '!Y27/Paramet!$C$8*1000</f>
        <v>-5212.2245996406209</v>
      </c>
      <c r="AB27" s="29">
        <f>+AA27-Z27</f>
        <v>-24504.871658464148</v>
      </c>
      <c r="AC27" s="30">
        <f>IF(Z27=0,"",(AA27-Z27)/ABS(Z27)+1)</f>
        <v>-0.27016637912612418</v>
      </c>
      <c r="AD27" s="26">
        <f>'COLOMB$ '!AB27/Paramet!$C$9*1000</f>
        <v>36949.386001627718</v>
      </c>
      <c r="AE27" s="28">
        <f>IF(AD27=0,"",(AA27-AD27)/ABS(AD27))</f>
        <v>-1.141063902913326</v>
      </c>
    </row>
    <row r="28" spans="2:33" x14ac:dyDescent="0.2">
      <c r="B28" s="16" t="s">
        <v>33</v>
      </c>
      <c r="C28" s="26">
        <f>SUM(C26:C27)</f>
        <v>140611.4705882353</v>
      </c>
      <c r="D28" s="27">
        <f>+C28/$C$20</f>
        <v>0.54392182472683259</v>
      </c>
      <c r="E28" s="26">
        <f>SUM(E26:E27)</f>
        <v>106852.92145112896</v>
      </c>
      <c r="F28" s="27">
        <f>+E28/$E$20</f>
        <v>0.60462005110271111</v>
      </c>
      <c r="G28" s="27">
        <f>IF(C28=0,"",(E28-C28)/ABS(C28)+1)</f>
        <v>0.75991610786886366</v>
      </c>
      <c r="H28" s="26">
        <f>+'COL. CONS.$'!H28/Paramet!$C$9*1000</f>
        <v>124962.35862109058</v>
      </c>
      <c r="I28" s="27">
        <f>+H28/$H$20</f>
        <v>0.5749053932025473</v>
      </c>
      <c r="J28" s="28">
        <f>IF(H28=0,"",(E28-H28)/ABS(H28))</f>
        <v>-0.14491913700887196</v>
      </c>
      <c r="K28" s="26">
        <f>SUM(K26:K27)</f>
        <v>1414458.8235294116</v>
      </c>
      <c r="L28" s="27">
        <f>+K28/$K$20</f>
        <v>0.56687132213356717</v>
      </c>
      <c r="M28" s="26">
        <f>SUM(M26:M27)</f>
        <v>997527.03276742832</v>
      </c>
      <c r="N28" s="27">
        <f>+M28/$M$20</f>
        <v>0.58200229952268911</v>
      </c>
      <c r="O28" s="27">
        <f>IF(K28=0,"",(M28-K28)/ABS(K28)+1)</f>
        <v>0.70523582318102473</v>
      </c>
      <c r="P28" s="26">
        <f>SUM(P26:P27)</f>
        <v>1207404.440929173</v>
      </c>
      <c r="Q28" s="27">
        <f>+P28/$P$20</f>
        <v>0.68812400901035642</v>
      </c>
      <c r="R28" s="28">
        <f>IF(P28=0,"",(M28-P28)/ABS(P28))</f>
        <v>-0.1738252743216937</v>
      </c>
      <c r="T28" s="30">
        <f>+E41/C41</f>
        <v>-3.1671582020562812E-2</v>
      </c>
      <c r="U28" s="14"/>
      <c r="V28" s="16" t="s">
        <v>34</v>
      </c>
      <c r="W28" s="26">
        <f>'COLOMB$ '!U28/Paramet!$C$10*1000</f>
        <v>22794.117647058822</v>
      </c>
      <c r="X28" s="26">
        <f>'COLOMB$ '!V28/Paramet!$C$8*1000</f>
        <v>12592.568607840776</v>
      </c>
      <c r="Y28" s="26">
        <f>'COLOMB$ '!W28/Paramet!$C$9*1000</f>
        <v>0</v>
      </c>
      <c r="Z28" s="26">
        <f>'COLOMB$ '!X28/Paramet!$C$10*1000</f>
        <v>159558.82352941178</v>
      </c>
      <c r="AA28" s="26">
        <f>'COLOMB$ '!Y28/Paramet!$C$8*1000</f>
        <v>100545.63412194829</v>
      </c>
      <c r="AB28" s="29">
        <f>+AA28-Z28</f>
        <v>-59013.189407463491</v>
      </c>
      <c r="AC28" s="30">
        <f>IF(Z28=0,"",(AA28-Z28)/ABS(Z28)+1)</f>
        <v>0.63014775302234871</v>
      </c>
      <c r="AD28" s="26">
        <f>'COLOMB$ '!AB28/Paramet!$C$9*1000</f>
        <v>0</v>
      </c>
      <c r="AE28" s="28" t="str">
        <f>IF(AD28=0,"",(AA28-AD28)/ABS(AD28))</f>
        <v/>
      </c>
    </row>
    <row r="29" spans="2:33" x14ac:dyDescent="0.2">
      <c r="J29" s="28"/>
      <c r="R29" s="28"/>
      <c r="T29" s="21">
        <f>+E42/C42</f>
        <v>0.32278148901026643</v>
      </c>
      <c r="U29" s="21"/>
      <c r="AE29" s="2"/>
    </row>
    <row r="30" spans="2:33" x14ac:dyDescent="0.2">
      <c r="B30" s="16" t="s">
        <v>35</v>
      </c>
      <c r="C30" s="26">
        <f>+'COL. CONS.$'!C30/Paramet!$C$10*1000</f>
        <v>17778.823529411762</v>
      </c>
      <c r="D30" s="27">
        <f>+C30/$C$20</f>
        <v>6.8773124234880786E-2</v>
      </c>
      <c r="E30" s="26">
        <f>+'COL. CONS.$'!E30/Paramet!$C$8*1000</f>
        <v>11715.317042299697</v>
      </c>
      <c r="F30" s="27">
        <f>+E30/$E$20</f>
        <v>6.6290331538004635E-2</v>
      </c>
      <c r="G30" s="27">
        <f>IF(C30=0,"",(E30-C30)/ABS(C30)+1)</f>
        <v>0.65894782199277024</v>
      </c>
      <c r="H30" s="26">
        <f>+'COL. CONS.$'!H30/Paramet!$C$9*1000</f>
        <v>10933.246390483137</v>
      </c>
      <c r="I30" s="27">
        <f>+H30/$H$20</f>
        <v>5.0299805353067224E-2</v>
      </c>
      <c r="J30" s="28">
        <f>IF(H30=0,"",(E30-H30)/ABS(H30))</f>
        <v>7.1531421124590724E-2</v>
      </c>
      <c r="K30" s="26">
        <f>+'COL. CONS.$'!K30/Paramet!$C$10*1000</f>
        <v>158226.4705882353</v>
      </c>
      <c r="L30" s="27">
        <f>+K30/$K$20</f>
        <v>6.3412272656388047E-2</v>
      </c>
      <c r="M30" s="26">
        <f>+'COL. CONS.$'!M30/Paramet!$C$8*1000</f>
        <v>105387.33474774973</v>
      </c>
      <c r="N30" s="27">
        <f>+M30/$M$20</f>
        <v>6.1487728301051515E-2</v>
      </c>
      <c r="O30" s="27">
        <f>IF(K30=0,"",(M30-K30)/ABS(K30)+1)</f>
        <v>0.666053754191403</v>
      </c>
      <c r="P30" s="26">
        <f>+'COL. CONS.$'!P30/Paramet!$C$9*1000</f>
        <v>107259.70438426822</v>
      </c>
      <c r="Q30" s="27">
        <f>+P30/$P$20</f>
        <v>6.112945694432638E-2</v>
      </c>
      <c r="R30" s="28">
        <f>IF(P30=0,"",(M30-P30)/ABS(P30))</f>
        <v>-1.7456412426893733E-2</v>
      </c>
      <c r="T30" s="30">
        <f>+E43/C43</f>
        <v>-0.47370490281037181</v>
      </c>
      <c r="U30" s="14"/>
      <c r="V30" s="33" t="s">
        <v>36</v>
      </c>
      <c r="W30" s="34">
        <f>+W21-W23-W25-W27-W28</f>
        <v>38350</v>
      </c>
      <c r="X30" s="34">
        <f>+X21-X23-X25-X27-X28</f>
        <v>37009.626915686931</v>
      </c>
      <c r="Y30" s="34">
        <f>+Y21-Y23-Y25-Y27-Y28</f>
        <v>233946.44326241137</v>
      </c>
      <c r="Z30" s="34">
        <f>'COLOMB$ '!X30/Paramet!$C$10*1000</f>
        <v>38350</v>
      </c>
      <c r="AA30" s="34">
        <f>+'COL. CONS.$'!Y30/Paramet!C8*1000</f>
        <v>37009.704574409319</v>
      </c>
      <c r="AB30" s="38">
        <f>+AA30-Z30</f>
        <v>-1340.2954255906807</v>
      </c>
      <c r="AC30" s="39">
        <f>IF(W30=0,"",(X30-W30)/ABS(W30)+1)</f>
        <v>0.96504894173890299</v>
      </c>
      <c r="AD30" s="34">
        <f>+AD21-AD23-AD25-AD27-AD28</f>
        <v>233946.67606303666</v>
      </c>
      <c r="AE30" s="28">
        <f>IF(AD30=0,"",(AA30-AD30)/ABS(AD30))</f>
        <v>-0.84180281935513757</v>
      </c>
    </row>
    <row r="31" spans="2:33" x14ac:dyDescent="0.2">
      <c r="J31" s="28"/>
      <c r="R31" s="28"/>
      <c r="T31" s="30">
        <f>+E45/C45</f>
        <v>0.4143328600434168</v>
      </c>
      <c r="U31" s="14"/>
      <c r="W31" s="76"/>
      <c r="X31" s="76"/>
      <c r="Y31" s="76"/>
      <c r="Z31" s="76"/>
      <c r="AA31" s="76"/>
      <c r="AB31" s="76"/>
    </row>
    <row r="32" spans="2:33" x14ac:dyDescent="0.2">
      <c r="B32" s="16" t="s">
        <v>37</v>
      </c>
      <c r="C32" s="26">
        <f>+'COL. CONS.$'!C31/Paramet!$C$10*1000</f>
        <v>46950.294117647063</v>
      </c>
      <c r="D32" s="27">
        <f>+C32/$C$20</f>
        <v>0.18161597728193252</v>
      </c>
      <c r="E32" s="26">
        <f>+'COL. CONS.$'!E31/Paramet!$C$8*1000</f>
        <v>37729.619506081646</v>
      </c>
      <c r="F32" s="27">
        <f>+E32/$E$20</f>
        <v>0.21349050792482482</v>
      </c>
      <c r="G32" s="27">
        <f>IF(C32=0,"",(E32-C32)/ABS(C32)+1)</f>
        <v>0.80360773484271597</v>
      </c>
      <c r="H32" s="26">
        <f>+'COL. CONS.$'!H31/Paramet!$C$9*1000</f>
        <v>39982.794949847274</v>
      </c>
      <c r="I32" s="27">
        <f>+H32/$H$20</f>
        <v>0.18394598746073315</v>
      </c>
      <c r="J32" s="28">
        <f>IF(H32=0,"",(E32-H32)/ABS(H32))</f>
        <v>-5.635362526786622E-2</v>
      </c>
      <c r="K32" s="26">
        <f>+'COL. CONS.$'!K31/Paramet!$C$10*1000</f>
        <v>509590</v>
      </c>
      <c r="L32" s="27">
        <f>+K32/$K$20</f>
        <v>0.2042279013292449</v>
      </c>
      <c r="M32" s="26">
        <f>+'COL. CONS.$'!M31/Paramet!$C$8*1000</f>
        <v>353541.31779550231</v>
      </c>
      <c r="N32" s="27">
        <f>+M32/$M$20</f>
        <v>0.20627196374059287</v>
      </c>
      <c r="O32" s="27">
        <f>IF(K32=0,"",(M32-K32)/ABS(K32)+1)</f>
        <v>0.69377601168685077</v>
      </c>
      <c r="P32" s="26">
        <f>+'COL. CONS.$'!P31/Paramet!$C$9*1000</f>
        <v>400282.12306444283</v>
      </c>
      <c r="Q32" s="27">
        <f>+P32/$P$20</f>
        <v>0.22812881079542005</v>
      </c>
      <c r="R32" s="28">
        <f>IF(P32=0,"",(M32-P32)/ABS(P32))</f>
        <v>-0.11676965464034862</v>
      </c>
      <c r="T32" s="30">
        <f>+E46/C46</f>
        <v>0.69363340817554975</v>
      </c>
      <c r="U32" s="14"/>
    </row>
    <row r="33" spans="2:27" x14ac:dyDescent="0.2">
      <c r="B33" s="16" t="s">
        <v>38</v>
      </c>
      <c r="C33" s="26">
        <f>SUM(C30:C32)</f>
        <v>64729.117647058825</v>
      </c>
      <c r="D33" s="27">
        <f>+C33/$C$20</f>
        <v>0.25038910151681332</v>
      </c>
      <c r="E33" s="26">
        <f>SUM(E30:E32)</f>
        <v>49444.936548381345</v>
      </c>
      <c r="F33" s="27">
        <f>+E33/$E$20</f>
        <v>0.27978083946282944</v>
      </c>
      <c r="G33" s="27">
        <f>IF(C33=0,"",(E33-C33)/ABS(C33)+1)</f>
        <v>0.7638747189168279</v>
      </c>
      <c r="H33" s="26">
        <f>SUM(H30:H32)</f>
        <v>50916.041340330412</v>
      </c>
      <c r="I33" s="27">
        <f>+H33/$H$20</f>
        <v>0.2342457928138004</v>
      </c>
      <c r="J33" s="28">
        <f>IF(H33=0,"",(E33-H33)/ABS(H33))</f>
        <v>-2.8892756648459427E-2</v>
      </c>
      <c r="K33" s="26">
        <f>SUM(K30:K32)</f>
        <v>667816.4705882353</v>
      </c>
      <c r="L33" s="27">
        <f>+K33/$K$20</f>
        <v>0.26764017398563295</v>
      </c>
      <c r="M33" s="26">
        <f>SUM(M30:M32)</f>
        <v>458928.65254325204</v>
      </c>
      <c r="N33" s="27">
        <f>+M33/$M$20</f>
        <v>0.2677596920416444</v>
      </c>
      <c r="O33" s="27">
        <f>IF(K33=0,"",(M33-K33)/ABS(K33)+1)</f>
        <v>0.68720774757024516</v>
      </c>
      <c r="P33" s="26">
        <f>SUM(P30:P32)</f>
        <v>507541.82744871103</v>
      </c>
      <c r="Q33" s="27">
        <f>+P33/$P$20</f>
        <v>0.28925826773974644</v>
      </c>
      <c r="R33" s="28">
        <f>IF(P33=0,"",(M33-P33)/ABS(P33))</f>
        <v>-9.5781613014686018E-2</v>
      </c>
    </row>
    <row r="34" spans="2:27" x14ac:dyDescent="0.2">
      <c r="B34" s="16" t="s">
        <v>39</v>
      </c>
      <c r="C34" s="26">
        <f>+C28+C33</f>
        <v>205340.58823529413</v>
      </c>
      <c r="D34" s="27">
        <f>+C34/$C$20</f>
        <v>0.79431092624364596</v>
      </c>
      <c r="E34" s="26">
        <f>+E28+E33</f>
        <v>156297.85799951031</v>
      </c>
      <c r="F34" s="27">
        <f>+E34/$E$20</f>
        <v>0.88440089056554061</v>
      </c>
      <c r="G34" s="27">
        <f>IF(C34=0,"",(E34-C34)/ABS(C34)+1)</f>
        <v>0.7611639731956592</v>
      </c>
      <c r="H34" s="26">
        <f>+H28+H33</f>
        <v>175878.39996142098</v>
      </c>
      <c r="I34" s="27">
        <f>+H34/$H$20</f>
        <v>0.80915118601634761</v>
      </c>
      <c r="J34" s="28">
        <f>IF(H34=0,"",(E34-H34)/ABS(H34))</f>
        <v>-0.11132999826133096</v>
      </c>
      <c r="K34" s="26">
        <f>+K28+K33</f>
        <v>2082275.2941176468</v>
      </c>
      <c r="L34" s="27">
        <f>+K34/$K$20</f>
        <v>0.83451149611920006</v>
      </c>
      <c r="M34" s="26">
        <f>+M28+M33</f>
        <v>1456455.6853106804</v>
      </c>
      <c r="N34" s="27">
        <f>+M34/$M$20</f>
        <v>0.84976199156433352</v>
      </c>
      <c r="O34" s="27">
        <f>IF(K34=0,"",(M34-K34)/ABS(K34)+1)</f>
        <v>0.69945395281071421</v>
      </c>
      <c r="P34" s="26">
        <f>+P28+P33</f>
        <v>1714946.2683778841</v>
      </c>
      <c r="Q34" s="27">
        <f>+P34/$P$20</f>
        <v>0.97738227675010281</v>
      </c>
      <c r="R34" s="28">
        <f>IF(P34=0,"",(M34-P34)/ABS(P34))</f>
        <v>-0.15072809442111681</v>
      </c>
    </row>
    <row r="35" spans="2:27" x14ac:dyDescent="0.2">
      <c r="J35" s="28"/>
      <c r="R35" s="28"/>
    </row>
    <row r="36" spans="2:27" x14ac:dyDescent="0.2">
      <c r="B36" s="16" t="s">
        <v>40</v>
      </c>
      <c r="C36" s="26">
        <f>C24-C34</f>
        <v>27842.352941176418</v>
      </c>
      <c r="D36" s="27">
        <f>+C36/$C$20</f>
        <v>0.10770147949594268</v>
      </c>
      <c r="E36" s="26">
        <f>E24-E34</f>
        <v>2355.2745226603874</v>
      </c>
      <c r="F36" s="27">
        <f>+E36/$E$20</f>
        <v>1.3327162073927472E-2</v>
      </c>
      <c r="G36" s="27">
        <f>IF(C36=0,"",(E36-C36)/ABS(C36)+1)</f>
        <v>8.459322844001238E-2</v>
      </c>
      <c r="H36" s="26">
        <f>H24-H34</f>
        <v>20167.082080836233</v>
      </c>
      <c r="I36" s="27">
        <f>+H36/$H$20</f>
        <v>9.2781253341951475E-2</v>
      </c>
      <c r="J36" s="28">
        <f>IF(H36=0,"",(E36-H36)/ABS(H36))</f>
        <v>-0.88321193352515348</v>
      </c>
      <c r="K36" s="26">
        <f>K24-K34</f>
        <v>188700.8823529412</v>
      </c>
      <c r="L36" s="27">
        <f>+K36/$K$20</f>
        <v>7.5625473776796889E-2</v>
      </c>
      <c r="M36" s="26">
        <f>M24-M34</f>
        <v>93332.61087848735</v>
      </c>
      <c r="N36" s="27">
        <f>+M36/$M$20</f>
        <v>5.4454458242637477E-2</v>
      </c>
      <c r="O36" s="27">
        <f>IF(K36=0,"",(M36-K36)/ABS(K36)+1)</f>
        <v>0.49460611797204246</v>
      </c>
      <c r="P36" s="26">
        <f>P24-P34</f>
        <v>-86268.480380188208</v>
      </c>
      <c r="Q36" s="27">
        <f>+P36/$P$20</f>
        <v>-4.9166137342316327E-2</v>
      </c>
      <c r="R36" s="28">
        <f>IF(P36=0,"",(M36-P36)/ABS(P36))</f>
        <v>2.0818854170974994</v>
      </c>
      <c r="Z36" s="31"/>
      <c r="AA36" s="31"/>
    </row>
    <row r="37" spans="2:27" ht="11.25" customHeight="1" x14ac:dyDescent="0.2">
      <c r="J37" s="28"/>
      <c r="R37" s="28"/>
    </row>
    <row r="38" spans="2:27" x14ac:dyDescent="0.2">
      <c r="B38" s="16" t="s">
        <v>41</v>
      </c>
      <c r="C38" s="26">
        <f>+'COL. CONS.$'!C38/Paramet!$C$10*1000</f>
        <v>188.23529411764704</v>
      </c>
      <c r="D38" s="27">
        <f>+C38/$C$20</f>
        <v>7.2814318935818733E-4</v>
      </c>
      <c r="E38" s="26">
        <f>+'COL. CONS.$'!E38/Paramet!$C$8*1000</f>
        <v>1452.5133522291064</v>
      </c>
      <c r="F38" s="27">
        <f>+E38/$E$20</f>
        <v>8.2189488628422874E-3</v>
      </c>
      <c r="G38" s="27">
        <f>IF(C38=0,"",(E38-C38)/ABS(C38)+1)</f>
        <v>7.716477183717128</v>
      </c>
      <c r="H38" s="26">
        <f>+'COL. CONS.$'!H38/Paramet!$C$9*1000</f>
        <v>2654.2025425161974</v>
      </c>
      <c r="I38" s="27">
        <f>+H38/$H$20</f>
        <v>1.2210999961767192E-2</v>
      </c>
      <c r="J38" s="28">
        <f>IF(H38=0,"",(E38-H38)/ABS(H38))</f>
        <v>-0.45274961915599837</v>
      </c>
      <c r="K38" s="26">
        <f>+'COL. CONS.$'!K38/Paramet!$C$10*1000</f>
        <v>1882.3529411764705</v>
      </c>
      <c r="L38" s="27">
        <f>+K38/$K$20</f>
        <v>7.5438880421005536E-4</v>
      </c>
      <c r="M38" s="26">
        <f>+'COL. CONS.$'!M38/Paramet!$C$8*1000</f>
        <v>4987.5940175373798</v>
      </c>
      <c r="N38" s="27">
        <f>+M38/$M$20</f>
        <v>2.9099874910048108E-3</v>
      </c>
      <c r="O38" s="27">
        <f>IF(K38=0,"",(M38-K38)/ABS(K38)+1)</f>
        <v>2.649659321816733</v>
      </c>
      <c r="P38" s="26">
        <f>+'COL. CONS.$'!P38/Paramet!$C$9*1000</f>
        <v>56304.867163966133</v>
      </c>
      <c r="Q38" s="27">
        <f>+P38/$P$20</f>
        <v>3.2089273160075066E-2</v>
      </c>
      <c r="R38" s="28">
        <f>IF(P38=0,"",(M38-P38)/ABS(P38))</f>
        <v>-0.91141806616801091</v>
      </c>
    </row>
    <row r="39" spans="2:27" x14ac:dyDescent="0.2">
      <c r="B39" s="16" t="s">
        <v>42</v>
      </c>
      <c r="C39" s="26">
        <f>+'COL. CONS.$'!C39/Paramet!$C$10*1000</f>
        <v>4219.4117647058829</v>
      </c>
      <c r="D39" s="27">
        <f>+C39/$C$20</f>
        <v>1.6321784678957122E-2</v>
      </c>
      <c r="E39" s="26">
        <f>+'COL. CONS.$'!E39/Paramet!$C$8*1000</f>
        <v>4561.9255034838225</v>
      </c>
      <c r="F39" s="27">
        <f>+E39/$E$20</f>
        <v>2.5813347857827875E-2</v>
      </c>
      <c r="G39" s="27">
        <f>IF(C39=0,"",(E39-C39)/ABS(C39)+1)</f>
        <v>1.0811757083399549</v>
      </c>
      <c r="H39" s="26">
        <f>+'COL. CONS.$'!H39/Paramet!$C$9*1000</f>
        <v>6857.5330696219262</v>
      </c>
      <c r="I39" s="27">
        <f>+H39/$H$20</f>
        <v>3.1548962337888189E-2</v>
      </c>
      <c r="J39" s="28">
        <f>IF(H39=0,"",(E39-H39)/ABS(H39))</f>
        <v>-0.33475705371475029</v>
      </c>
      <c r="K39" s="26">
        <f>+'COL. CONS.$'!K39/Paramet!$C$10*1000</f>
        <v>44084.705882352944</v>
      </c>
      <c r="L39" s="27">
        <f>+K39/$K$20</f>
        <v>1.7667785794599499E-2</v>
      </c>
      <c r="M39" s="26">
        <f>+'COL. CONS.$'!M39/Paramet!$C$8*1000</f>
        <v>39734.08898581157</v>
      </c>
      <c r="N39" s="27">
        <f>+M39/$M$20</f>
        <v>2.318266112049629E-2</v>
      </c>
      <c r="O39" s="27">
        <f>IF(K39=0,"",(M39-K39)/ABS(K39)+1)</f>
        <v>0.90131233021829182</v>
      </c>
      <c r="P39" s="26">
        <f>+'COL. CONS.$'!P39/Paramet!$C$9*1000</f>
        <v>71016.574523575488</v>
      </c>
      <c r="Q39" s="27">
        <f>+P39/$P$20</f>
        <v>4.0473770271822397E-2</v>
      </c>
      <c r="R39" s="28">
        <f>IF(P39=0,"",(M39-P39)/ABS(P39))</f>
        <v>-0.44049555681369873</v>
      </c>
    </row>
    <row r="40" spans="2:27" x14ac:dyDescent="0.2">
      <c r="J40" s="28"/>
      <c r="R40" s="28"/>
    </row>
    <row r="41" spans="2:27" x14ac:dyDescent="0.2">
      <c r="B41" s="16" t="s">
        <v>43</v>
      </c>
      <c r="C41" s="26">
        <f>+C36+C38-C39</f>
        <v>23811.17647058818</v>
      </c>
      <c r="D41" s="27">
        <f>+C41/$C$20</f>
        <v>9.2107838006343742E-2</v>
      </c>
      <c r="E41" s="26">
        <f>E36+E38-E39</f>
        <v>-754.13762859432882</v>
      </c>
      <c r="F41" s="27">
        <f>+E41/$E$20</f>
        <v>-4.2672369210581184E-3</v>
      </c>
      <c r="G41" s="27">
        <f>IF(C41=0,"",(E41-C41)/ABS(C41)+1)</f>
        <v>-3.1671582020562861E-2</v>
      </c>
      <c r="H41" s="26">
        <f>+H36+H38-H39</f>
        <v>15963.751553730506</v>
      </c>
      <c r="I41" s="27">
        <f>+H41/$H$20</f>
        <v>7.3443290965830493E-2</v>
      </c>
      <c r="J41" s="28">
        <f>IF(H41=0,"",(E41-H41)/ABS(H41))</f>
        <v>-1.0472406267446637</v>
      </c>
      <c r="K41" s="26">
        <f>K36+K38-K39</f>
        <v>146498.52941176473</v>
      </c>
      <c r="L41" s="27">
        <f>+K41/$K$20</f>
        <v>5.8712076786407441E-2</v>
      </c>
      <c r="M41" s="26">
        <f>M36+M38-M39</f>
        <v>58586.115910213164</v>
      </c>
      <c r="N41" s="27">
        <f>+M41/$M$20</f>
        <v>3.4181784613145999E-2</v>
      </c>
      <c r="O41" s="27">
        <f>IF(K41=0,"",(M41-K41)/ABS(K41)+1)</f>
        <v>0.39990924240300485</v>
      </c>
      <c r="P41" s="26">
        <f>P36+P38-P39</f>
        <v>-100980.18773979756</v>
      </c>
      <c r="Q41" s="27">
        <f>+P41/$P$20</f>
        <v>-5.7550634454063658E-2</v>
      </c>
      <c r="R41" s="28">
        <f>IF(P41=0,"",(M41-P41)/ABS(P41))</f>
        <v>1.5801743611447421</v>
      </c>
    </row>
    <row r="42" spans="2:27" x14ac:dyDescent="0.2">
      <c r="B42" s="16" t="s">
        <v>29</v>
      </c>
      <c r="C42" s="26">
        <f>+'COL. CONS.$'!C42/Paramet!$C$10*1000</f>
        <v>13214.705882352941</v>
      </c>
      <c r="D42" s="27">
        <f>+C42/$C$20</f>
        <v>5.1117927340411498E-2</v>
      </c>
      <c r="E42" s="26">
        <f>+'COL. CONS.$'!E42/Paramet!$C$8*1000</f>
        <v>4265.4624415386088</v>
      </c>
      <c r="F42" s="27">
        <f>+E42/$E$20</f>
        <v>2.4135831611860156E-2</v>
      </c>
      <c r="G42" s="27">
        <f>IF(C42=0,"",(E42-C42)/ABS(C42)+1)</f>
        <v>0.32278148901026649</v>
      </c>
      <c r="H42" s="26">
        <f>+'COL. CONS.$'!H42/Paramet!$C$9*1000</f>
        <v>4340.440065108708</v>
      </c>
      <c r="I42" s="27">
        <f>+H42/$H$20</f>
        <v>1.9968752429439653E-2</v>
      </c>
      <c r="J42" s="28">
        <f>IF(H42=0,"",(E42-H42)/ABS(H42))</f>
        <v>-1.7274198570974023E-2</v>
      </c>
      <c r="K42" s="26">
        <f>+'COL. CONS.$'!K42/Paramet!$C$10*1000</f>
        <v>98576.470588235301</v>
      </c>
      <c r="L42" s="27">
        <f>+K42/$K$20</f>
        <v>3.9506398690475342E-2</v>
      </c>
      <c r="M42" s="26">
        <f>+'COL. CONS.$'!M42/Paramet!$C$8*1000</f>
        <v>62225.423806184146</v>
      </c>
      <c r="N42" s="27">
        <f>+M42/$M$20</f>
        <v>3.630512111887458E-2</v>
      </c>
      <c r="O42" s="27">
        <f>IF(K42=0,"",(M42-K42)/ABS(K42)+1)</f>
        <v>0.63124012692751541</v>
      </c>
      <c r="P42" s="26">
        <f>+'COL. CONS.$'!P42/Paramet!$C$9*1000</f>
        <v>73439.976588345962</v>
      </c>
      <c r="Q42" s="27">
        <f>+P42/$P$20</f>
        <v>4.1854915717146841E-2</v>
      </c>
      <c r="R42" s="28">
        <f>IF(P42=0,"",(M42-P42)/ABS(P42))</f>
        <v>-0.15270365410140163</v>
      </c>
    </row>
    <row r="43" spans="2:27" x14ac:dyDescent="0.2">
      <c r="B43" s="33" t="s">
        <v>44</v>
      </c>
      <c r="C43" s="34">
        <f>C41-C42</f>
        <v>10596.470588235239</v>
      </c>
      <c r="D43" s="35">
        <f>+C43/$C$20</f>
        <v>4.0989910665932244E-2</v>
      </c>
      <c r="E43" s="34">
        <f>E41-E42</f>
        <v>-5019.6000701329376</v>
      </c>
      <c r="F43" s="35">
        <f>+E43/$E$20</f>
        <v>-2.8403068532918276E-2</v>
      </c>
      <c r="G43" s="35">
        <f>IF(C43=0,"",(E43-C43)/ABS(C43)+1)</f>
        <v>-0.47370490281037192</v>
      </c>
      <c r="H43" s="34">
        <f>H41-H42</f>
        <v>11623.311488621799</v>
      </c>
      <c r="I43" s="35">
        <f>+H43/$H$20</f>
        <v>5.3474538536390843E-2</v>
      </c>
      <c r="J43" s="36">
        <f>IF(H43=0,"",(E43-H43)/ABS(H43))</f>
        <v>-1.4318562808066087</v>
      </c>
      <c r="K43" s="34">
        <f>K41-K42</f>
        <v>47922.058823529427</v>
      </c>
      <c r="L43" s="35">
        <f>+K43/$K$20</f>
        <v>1.9205678095932096E-2</v>
      </c>
      <c r="M43" s="34">
        <f>M41-M42</f>
        <v>-3639.3078959709819</v>
      </c>
      <c r="N43" s="35">
        <f>+M43/$M$20</f>
        <v>-2.1233365057285809E-3</v>
      </c>
      <c r="O43" s="35">
        <f>IF(K43=0,"",(M43-K43)/ABS(K43)+1)</f>
        <v>-7.5942227552713293E-2</v>
      </c>
      <c r="P43" s="34">
        <f>P41-P42</f>
        <v>-174420.16432814352</v>
      </c>
      <c r="Q43" s="35">
        <f>+P43/$P$20</f>
        <v>-9.9405550171210499E-2</v>
      </c>
      <c r="R43" s="36">
        <f>IF(P43=0,"",(M43-P43)/ABS(P43))</f>
        <v>0.97913482130928264</v>
      </c>
    </row>
    <row r="44" spans="2:27" x14ac:dyDescent="0.2">
      <c r="J44" s="28"/>
      <c r="R44" s="28"/>
    </row>
    <row r="45" spans="2:27" x14ac:dyDescent="0.2">
      <c r="B45" s="16" t="s">
        <v>45</v>
      </c>
      <c r="C45" s="26">
        <f>+'COL. CONS.$'!C45/Paramet!$C$10*1000</f>
        <v>52847.352941176468</v>
      </c>
      <c r="D45" s="27">
        <f>+C45/$C$20</f>
        <v>0.20442733813604447</v>
      </c>
      <c r="E45" s="26">
        <f>+'COL. CONS.$'!E45/Paramet!$C$8*1000</f>
        <v>21896.394889841522</v>
      </c>
      <c r="F45" s="27">
        <f>+E45/$E$20</f>
        <v>0.12389927404386608</v>
      </c>
      <c r="G45" s="27">
        <f>IF(C45=0,"",(E45-C45)/ABS(C45)+1)</f>
        <v>0.41433286004341685</v>
      </c>
      <c r="H45" s="26">
        <f>+'COL. CONS.$'!H45/Paramet!$C$9*1000</f>
        <v>20156.770763970311</v>
      </c>
      <c r="I45" s="27">
        <f>+H45/$H$20</f>
        <v>9.2733814803317507E-2</v>
      </c>
      <c r="J45" s="28">
        <f>IF(H45=0,"",(E45-H45)/ABS(H45))</f>
        <v>8.630470357785397E-2</v>
      </c>
      <c r="K45" s="26">
        <f>+'COL. CONS.$'!K45/Paramet!$C$10*1000</f>
        <v>437376.76470588235</v>
      </c>
      <c r="L45" s="27">
        <f>+K45/$K$20</f>
        <v>0.17528707146148334</v>
      </c>
      <c r="M45" s="26">
        <f>+'COL. CONS.$'!M45/Paramet!$C$8*1000</f>
        <v>290476.97074544261</v>
      </c>
      <c r="N45" s="27">
        <f>+M45/$M$20</f>
        <v>0.16947737693204765</v>
      </c>
      <c r="O45" s="27">
        <f>IF(K45=0,"",(M45-K45)/ABS(K45)+1)</f>
        <v>0.66413443553814822</v>
      </c>
      <c r="P45" s="26">
        <f>+'COL. CONS.$'!P45/Paramet!$C$9*1000</f>
        <v>315105.18358858902</v>
      </c>
      <c r="Q45" s="27">
        <f>+P45/$P$20</f>
        <v>0.17958476450861727</v>
      </c>
      <c r="R45" s="28">
        <f>IF(P45=0,"",(M45-P45)/ABS(P45))</f>
        <v>-7.8158704222719977E-2</v>
      </c>
    </row>
    <row r="46" spans="2:27" x14ac:dyDescent="0.2">
      <c r="B46" s="16" t="s">
        <v>20</v>
      </c>
      <c r="C46" s="26">
        <f>+'COL. CONS.$'!C46/Paramet!$C$10*1000</f>
        <v>108815</v>
      </c>
      <c r="D46" s="27">
        <f>+C46/$C$20</f>
        <v>0.42092478735943428</v>
      </c>
      <c r="E46" s="26">
        <f>+'COL. CONS.$'!E46/Paramet!$C$8*1000</f>
        <v>75477.719310622444</v>
      </c>
      <c r="F46" s="27">
        <f>+E46/$E$20</f>
        <v>0.42708558537238261</v>
      </c>
      <c r="G46" s="27">
        <f>IF(C46=0,"",(E46-C46)/ABS(C46)+1)</f>
        <v>0.69363340817554975</v>
      </c>
      <c r="H46" s="26">
        <f>+'COL. CONS.$'!H46/Paramet!$C$9*1000</f>
        <v>82180.767299785439</v>
      </c>
      <c r="I46" s="27">
        <f>+H46/$H$20</f>
        <v>0.37808318328425172</v>
      </c>
      <c r="J46" s="28">
        <f>IF(H46=0,"",(E46-H46)/ABS(H46))</f>
        <v>-8.1564680026788891E-2</v>
      </c>
      <c r="K46" s="26">
        <f>+'COL. CONS.$'!K46/Paramet!$C$10*1000</f>
        <v>1073162.0588235294</v>
      </c>
      <c r="L46" s="27">
        <f>+K46/$K$20</f>
        <v>0.43009014121097561</v>
      </c>
      <c r="M46" s="26">
        <f>+'COL. CONS.$'!M46/Paramet!$C$8*1000</f>
        <v>727788.80466944154</v>
      </c>
      <c r="N46" s="27">
        <f>+M46/$M$20</f>
        <v>0.42462484120291499</v>
      </c>
      <c r="O46" s="27">
        <f>IF(K46=0,"",(M46-K46)/ABS(K46)+1)</f>
        <v>0.67817232139877492</v>
      </c>
      <c r="P46" s="26">
        <f>+'COL. CONS.$'!P46/Paramet!$C$9*1000</f>
        <v>838692.08495840861</v>
      </c>
      <c r="Q46" s="27">
        <f>+P46/$P$20</f>
        <v>0.47798744170818314</v>
      </c>
      <c r="R46" s="28">
        <f>IF(P46=0,"",(M46-P46)/ABS(P46))</f>
        <v>-0.13223360787346269</v>
      </c>
    </row>
    <row r="48" spans="2:27" x14ac:dyDescent="0.2">
      <c r="P48" s="21"/>
    </row>
  </sheetData>
  <conditionalFormatting sqref="R10:R46">
    <cfRule type="cellIs" dxfId="63" priority="3" operator="lessThan">
      <formula>0</formula>
    </cfRule>
  </conditionalFormatting>
  <conditionalFormatting sqref="J10:J46">
    <cfRule type="cellIs" dxfId="62" priority="2" operator="lessThan">
      <formula>0</formula>
    </cfRule>
  </conditionalFormatting>
  <conditionalFormatting sqref="AE19:AE28 AE30 AE10:AE11 AE13:AE17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F387C-BB51-45F9-BD96-72E286A7F486}">
  <sheetPr>
    <tabColor theme="0" tint="-0.249977111117893"/>
  </sheetPr>
  <dimension ref="A1:AI73"/>
  <sheetViews>
    <sheetView showGridLines="0" zoomScaleNormal="100" workbookViewId="0">
      <selection activeCell="H4" sqref="H4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46" customFormat="1" x14ac:dyDescent="0.2"/>
    <row r="2" spans="1:34" x14ac:dyDescent="0.2">
      <c r="Z2" s="46"/>
      <c r="AA2" s="46"/>
      <c r="AB2" s="46"/>
    </row>
    <row r="3" spans="1:34" ht="18" x14ac:dyDescent="0.25">
      <c r="B3" s="13" t="s">
        <v>91</v>
      </c>
      <c r="T3" s="15"/>
      <c r="U3" s="83" t="str">
        <f>+B3</f>
        <v>MUSICAR S.A. EL SALVADOR</v>
      </c>
    </row>
    <row r="4" spans="1:34" x14ac:dyDescent="0.2">
      <c r="B4" s="3" t="s">
        <v>92</v>
      </c>
      <c r="U4" s="3" t="s">
        <v>6</v>
      </c>
    </row>
    <row r="5" spans="1:34" x14ac:dyDescent="0.2">
      <c r="B5" s="3" t="s">
        <v>80</v>
      </c>
      <c r="U5" s="3" t="s">
        <v>80</v>
      </c>
    </row>
    <row r="6" spans="1:34" ht="13.5" thickBot="1" x14ac:dyDescent="0.25">
      <c r="B6" s="72" t="str">
        <f>+'COL. CONS.$'!B6</f>
        <v>OCTUBRE de 2022</v>
      </c>
      <c r="C6" s="84"/>
      <c r="K6" s="79" t="s">
        <v>8</v>
      </c>
      <c r="L6" s="79"/>
      <c r="M6" s="79"/>
      <c r="N6" s="79"/>
      <c r="O6" s="79"/>
      <c r="P6" s="79"/>
      <c r="Q6" s="79"/>
      <c r="R6" s="79"/>
      <c r="S6" s="85"/>
      <c r="T6" s="86"/>
      <c r="U6" s="17" t="str">
        <f>+B6</f>
        <v>OCTUBRE de 2022</v>
      </c>
      <c r="Y6" s="18" t="s">
        <v>8</v>
      </c>
      <c r="Z6" s="18"/>
      <c r="AA6" s="18"/>
      <c r="AB6" s="18"/>
      <c r="AC6" s="18"/>
      <c r="AD6" s="18"/>
    </row>
    <row r="7" spans="1:34" x14ac:dyDescent="0.2">
      <c r="A7" s="87"/>
      <c r="B7" s="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S7" s="53"/>
      <c r="T7" s="55"/>
      <c r="V7" s="46" t="str">
        <f>+C7</f>
        <v>Ppto 2022</v>
      </c>
      <c r="W7" s="46" t="str">
        <f>+M7</f>
        <v>Real 2022</v>
      </c>
      <c r="X7" s="46" t="str">
        <f>+H7</f>
        <v>Real 2021</v>
      </c>
      <c r="Y7" s="46" t="str">
        <f>+V7</f>
        <v>Ppto 2022</v>
      </c>
      <c r="Z7" s="46" t="str">
        <f>+W7</f>
        <v>Real 2022</v>
      </c>
      <c r="AA7" s="46" t="s">
        <v>11</v>
      </c>
      <c r="AB7" s="46" t="s">
        <v>9</v>
      </c>
      <c r="AC7" s="46" t="str">
        <f>+X7</f>
        <v>Real 2021</v>
      </c>
      <c r="AD7" s="46" t="s">
        <v>10</v>
      </c>
      <c r="AF7" s="2" t="s">
        <v>93</v>
      </c>
    </row>
    <row r="8" spans="1:34" ht="13.5" thickBot="1" x14ac:dyDescent="0.25">
      <c r="B8" s="24" t="s">
        <v>12</v>
      </c>
      <c r="C8" s="58" t="s">
        <v>13</v>
      </c>
      <c r="D8" s="58" t="s">
        <v>14</v>
      </c>
      <c r="E8" s="58" t="s">
        <v>13</v>
      </c>
      <c r="F8" s="58" t="s">
        <v>14</v>
      </c>
      <c r="G8" s="58" t="s">
        <v>15</v>
      </c>
      <c r="H8" s="58" t="s">
        <v>13</v>
      </c>
      <c r="I8" s="58" t="s">
        <v>14</v>
      </c>
      <c r="J8" s="58" t="s">
        <v>15</v>
      </c>
      <c r="K8" s="58" t="s">
        <v>13</v>
      </c>
      <c r="L8" s="58" t="s">
        <v>14</v>
      </c>
      <c r="M8" s="58" t="s">
        <v>13</v>
      </c>
      <c r="N8" s="58" t="s">
        <v>14</v>
      </c>
      <c r="O8" s="58" t="s">
        <v>15</v>
      </c>
      <c r="P8" s="58" t="s">
        <v>13</v>
      </c>
      <c r="Q8" s="58" t="s">
        <v>14</v>
      </c>
      <c r="R8" s="58" t="s">
        <v>15</v>
      </c>
      <c r="S8" s="53"/>
      <c r="T8" s="55"/>
      <c r="U8" s="24"/>
      <c r="V8" s="25"/>
      <c r="W8" s="25"/>
      <c r="X8" s="25"/>
      <c r="Y8" s="24"/>
      <c r="Z8" s="24"/>
      <c r="AA8" s="25"/>
      <c r="AB8" s="25" t="s">
        <v>15</v>
      </c>
      <c r="AC8" s="24"/>
      <c r="AD8" s="25" t="s">
        <v>15</v>
      </c>
      <c r="AF8" s="2" t="s">
        <v>50</v>
      </c>
      <c r="AG8" s="2" t="s">
        <v>52</v>
      </c>
      <c r="AH8" s="2" t="s">
        <v>94</v>
      </c>
    </row>
    <row r="9" spans="1:34" x14ac:dyDescent="0.2"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</row>
    <row r="10" spans="1:34" x14ac:dyDescent="0.2">
      <c r="A10" s="87"/>
      <c r="B10" s="3" t="str">
        <f>+'COLOMB$ '!B10</f>
        <v>Musical Experience  (Ambiental)</v>
      </c>
      <c r="C10" s="59">
        <v>7124</v>
      </c>
      <c r="D10" s="28">
        <f>+C10/$C$20</f>
        <v>0.72503887771635156</v>
      </c>
      <c r="E10" s="59">
        <v>6627.43</v>
      </c>
      <c r="F10" s="28">
        <f>+E10/$E$20</f>
        <v>0.87033654243912184</v>
      </c>
      <c r="G10" s="28">
        <f>IF(C10=0,"",(E10-C10)/ABS(C10)+1)</f>
        <v>0.93029618192026953</v>
      </c>
      <c r="H10" s="59">
        <v>6884.62</v>
      </c>
      <c r="I10" s="28">
        <f>+H10/$H$20</f>
        <v>0.59499793878226537</v>
      </c>
      <c r="J10" s="28">
        <f>IF(H10=0,"",(E10-H10)/ABS(H10))</f>
        <v>-3.7357181659989892E-2</v>
      </c>
      <c r="K10" s="59">
        <v>68818</v>
      </c>
      <c r="L10" s="28">
        <f>+K10/$K$20</f>
        <v>0.7446065042759854</v>
      </c>
      <c r="M10" s="59">
        <v>66776.05</v>
      </c>
      <c r="N10" s="28">
        <f>+M10/$M$20</f>
        <v>0.82699069413244009</v>
      </c>
      <c r="O10" s="28">
        <f>IF(K10=0,"",(M10-K10)/ABS(K10)+1)</f>
        <v>0.97032825714202686</v>
      </c>
      <c r="P10" s="59">
        <v>71261.259999999995</v>
      </c>
      <c r="Q10" s="28">
        <f>+P10/$P$20</f>
        <v>0.79492626034746783</v>
      </c>
      <c r="R10" s="28">
        <f t="shared" ref="R10:R17" si="0">IF(P10=0,"",(M10-P10)/ABS(P10))</f>
        <v>-6.294036900273714E-2</v>
      </c>
      <c r="S10" s="28"/>
      <c r="T10" s="55"/>
      <c r="U10" s="3" t="s">
        <v>16</v>
      </c>
      <c r="V10" s="59">
        <v>15205.879890127777</v>
      </c>
      <c r="W10" s="59">
        <v>17175.510000000002</v>
      </c>
      <c r="X10" s="59">
        <v>15986</v>
      </c>
      <c r="Y10" s="59">
        <v>24475</v>
      </c>
      <c r="Z10" s="59">
        <v>24475</v>
      </c>
      <c r="AA10" s="55">
        <f>+Z10-Y10</f>
        <v>0</v>
      </c>
      <c r="AB10" s="61">
        <f>IF(Y10=0,"",(Z10-Y10)/ABS(Y10)+1)</f>
        <v>1</v>
      </c>
      <c r="AC10" s="59">
        <v>14944</v>
      </c>
      <c r="AD10" s="28">
        <f>IF(X10=0,"",(Z10-AC10)/ABS(AC10))</f>
        <v>0.63778104925053536</v>
      </c>
      <c r="AF10" s="60">
        <v>24475</v>
      </c>
      <c r="AG10" s="60">
        <v>14944</v>
      </c>
      <c r="AH10" s="60">
        <v>24475</v>
      </c>
    </row>
    <row r="11" spans="1:34" x14ac:dyDescent="0.2">
      <c r="A11" s="87"/>
      <c r="B11" s="3" t="str">
        <f>+'COLOMB$ '!B11</f>
        <v>Instalaciones</v>
      </c>
      <c r="C11" s="59">
        <v>810.81</v>
      </c>
      <c r="D11" s="28">
        <f>+C11/$C$20</f>
        <v>8.2519479567826362E-2</v>
      </c>
      <c r="E11" s="59">
        <v>60</v>
      </c>
      <c r="F11" s="28">
        <f>+E11/$E$20</f>
        <v>7.8794031089498198E-3</v>
      </c>
      <c r="G11" s="28">
        <f>IF(C11=0,"",(E11-C11)/ABS(C11)+1)</f>
        <v>7.4000074000074023E-2</v>
      </c>
      <c r="H11" s="59">
        <v>1230</v>
      </c>
      <c r="I11" s="28">
        <f>+H11/$H$20</f>
        <v>0.1063017951175499</v>
      </c>
      <c r="J11" s="28">
        <f>IF(H11=0,"",(E11-H11)/ABS(H11))</f>
        <v>-0.95121951219512191</v>
      </c>
      <c r="K11" s="59">
        <v>5307.12</v>
      </c>
      <c r="L11" s="28">
        <f>+K11/$K$20</f>
        <v>5.7422710206242088E-2</v>
      </c>
      <c r="M11" s="59">
        <v>1238.23</v>
      </c>
      <c r="N11" s="28">
        <f>+M11/$M$20</f>
        <v>1.5334909555081667E-2</v>
      </c>
      <c r="O11" s="28">
        <f>IF(K11=0,"",(M11-K11)/ABS(K11)+1)</f>
        <v>0.23331486757412689</v>
      </c>
      <c r="P11" s="59">
        <v>3470</v>
      </c>
      <c r="Q11" s="28">
        <f>+P11/$P$20</f>
        <v>3.8708186234788909E-2</v>
      </c>
      <c r="R11" s="28">
        <f t="shared" si="0"/>
        <v>-0.64316138328530259</v>
      </c>
      <c r="S11" s="28"/>
      <c r="T11" s="55"/>
      <c r="U11" s="3" t="s">
        <v>17</v>
      </c>
      <c r="V11" s="59">
        <v>10923.83317</v>
      </c>
      <c r="W11" s="59">
        <v>7771.14</v>
      </c>
      <c r="X11" s="59">
        <v>12070.8</v>
      </c>
      <c r="Y11" s="59">
        <f>+AF11+V11</f>
        <v>104027.78911555556</v>
      </c>
      <c r="Z11" s="59">
        <f>+W11+AH11</f>
        <v>89303.74</v>
      </c>
      <c r="AA11" s="55">
        <f>+Z11-Y11</f>
        <v>-14724.04911555555</v>
      </c>
      <c r="AB11" s="61">
        <f>IF(Y11=0,"",(Z11-Y11)/ABS(Y11)+1)</f>
        <v>0.85846042446216109</v>
      </c>
      <c r="AC11" s="59">
        <v>106808.8</v>
      </c>
      <c r="AD11" s="28">
        <f>IF(AC11=0,"",(Z11-AC11)/ABS(AC11))</f>
        <v>-0.16389155200695071</v>
      </c>
      <c r="AF11" s="60">
        <v>93103.955945555557</v>
      </c>
      <c r="AG11" s="60">
        <v>84465</v>
      </c>
      <c r="AH11" s="60">
        <v>81532.600000000006</v>
      </c>
    </row>
    <row r="12" spans="1:34" x14ac:dyDescent="0.2">
      <c r="A12" s="87"/>
      <c r="B12" s="3" t="str">
        <f>+'COLOMB$ '!B12</f>
        <v>Voice Experience (Publihold)</v>
      </c>
      <c r="C12" s="59">
        <v>1148.04</v>
      </c>
      <c r="D12" s="28">
        <f>+C12/$C$20</f>
        <v>0.11684076827252669</v>
      </c>
      <c r="E12" s="59">
        <v>927.36</v>
      </c>
      <c r="F12" s="28">
        <f>+E12/$E$20</f>
        <v>0.12178405445192841</v>
      </c>
      <c r="G12" s="28">
        <f>IF(C12=0,"",(E12-C12)/ABS(C12)+1)</f>
        <v>0.80777673251803073</v>
      </c>
      <c r="H12" s="59">
        <v>1034.8599999999999</v>
      </c>
      <c r="I12" s="28">
        <f>+H12/$H$20</f>
        <v>8.9436972110038773E-2</v>
      </c>
      <c r="J12" s="28">
        <f>IF(H12=0,"",(E12-H12)/ABS(H12))</f>
        <v>-0.10387878553620769</v>
      </c>
      <c r="K12" s="59">
        <v>11733.57</v>
      </c>
      <c r="L12" s="28">
        <f>+K12/$K$20</f>
        <v>0.12695650179280965</v>
      </c>
      <c r="M12" s="59">
        <v>10409.549999999999</v>
      </c>
      <c r="N12" s="28">
        <f>+M12/$M$20</f>
        <v>0.12891749332442307</v>
      </c>
      <c r="O12" s="28">
        <f>IF(K12=0,"",(M12-K12)/ABS(K12)+1)</f>
        <v>0.8871596624045367</v>
      </c>
      <c r="P12" s="59">
        <v>9758.51</v>
      </c>
      <c r="Q12" s="28">
        <f>+P12/$P$20</f>
        <v>0.10885712462652736</v>
      </c>
      <c r="R12" s="28">
        <f t="shared" si="0"/>
        <v>6.6715103022899916E-2</v>
      </c>
      <c r="S12" s="28"/>
      <c r="T12" s="55"/>
      <c r="AF12" s="60"/>
      <c r="AG12" s="60"/>
      <c r="AH12" s="60"/>
    </row>
    <row r="13" spans="1:34" x14ac:dyDescent="0.2">
      <c r="A13" s="87"/>
      <c r="B13" s="3" t="str">
        <f>+'COLOMB$ '!B13</f>
        <v>Service &amp; Equipment Experience</v>
      </c>
      <c r="C13" s="59">
        <v>590.83000000000004</v>
      </c>
      <c r="D13" s="28">
        <f>+C13/$C$20</f>
        <v>6.013120720397979E-2</v>
      </c>
      <c r="E13" s="59">
        <v>0</v>
      </c>
      <c r="F13" s="28"/>
      <c r="G13" s="28">
        <f>IF(C13=0,"",(E13-C13)/ABS(C13)+1)</f>
        <v>0</v>
      </c>
      <c r="H13" s="59">
        <v>2421.35</v>
      </c>
      <c r="I13" s="28"/>
      <c r="J13" s="28">
        <f>IF(H13=0,"",(E13-H13)/ABS(H13))</f>
        <v>-1</v>
      </c>
      <c r="K13" s="59">
        <v>4187.28</v>
      </c>
      <c r="L13" s="28">
        <f>+K13/$K$20</f>
        <v>4.5306110657455143E-2</v>
      </c>
      <c r="M13" s="59">
        <v>666</v>
      </c>
      <c r="N13" s="28">
        <f>+M13/$M$20</f>
        <v>8.2481039578142911E-3</v>
      </c>
      <c r="O13" s="28">
        <f>IF(K13=0,"",(M13-K13)/ABS(K13)+1)</f>
        <v>0.15905313234366936</v>
      </c>
      <c r="P13" s="59">
        <v>2851.35</v>
      </c>
      <c r="Q13" s="28"/>
      <c r="R13" s="28">
        <f t="shared" si="0"/>
        <v>-0.76642642958598561</v>
      </c>
      <c r="S13" s="28"/>
      <c r="T13" s="55"/>
      <c r="U13" s="3" t="s">
        <v>18</v>
      </c>
      <c r="V13" s="59">
        <v>3586.9996878999996</v>
      </c>
      <c r="W13" s="59">
        <v>0</v>
      </c>
      <c r="X13" s="59"/>
      <c r="Y13" s="59">
        <f>+AF13+V13</f>
        <v>24994.999375799995</v>
      </c>
      <c r="Z13" s="59">
        <f t="shared" ref="Z13:Z16" si="1">+W13+AH13</f>
        <v>12023</v>
      </c>
      <c r="AA13" s="55">
        <f>+Y13-Z13</f>
        <v>12971.999375799995</v>
      </c>
      <c r="AB13" s="61">
        <f>IF(Y13=0,"",(Z13-Y13)/ABS(Y13)+1)</f>
        <v>0.48101621525306359</v>
      </c>
      <c r="AC13" s="59">
        <v>94</v>
      </c>
      <c r="AD13" s="28">
        <f>IF(AC13=0,"",(Z13-AC13)/ABS(AC13))</f>
        <v>126.90425531914893</v>
      </c>
      <c r="AF13" s="60">
        <v>21407.999687899995</v>
      </c>
      <c r="AG13" s="60">
        <v>94</v>
      </c>
      <c r="AH13" s="60">
        <v>12023</v>
      </c>
    </row>
    <row r="14" spans="1:34" x14ac:dyDescent="0.2">
      <c r="A14" s="87"/>
      <c r="B14" s="3" t="str">
        <f>+'COLOMB$ '!B14</f>
        <v>POP Satelital</v>
      </c>
      <c r="C14" s="59"/>
      <c r="D14" s="28"/>
      <c r="E14" s="59"/>
      <c r="F14" s="28"/>
      <c r="G14" s="28"/>
      <c r="H14" s="59"/>
      <c r="I14" s="28"/>
      <c r="J14" s="28"/>
      <c r="K14" s="59"/>
      <c r="L14" s="28"/>
      <c r="M14" s="59"/>
      <c r="N14" s="28"/>
      <c r="O14" s="28"/>
      <c r="P14" s="59"/>
      <c r="Q14" s="28"/>
      <c r="R14" s="28" t="str">
        <f t="shared" si="0"/>
        <v/>
      </c>
      <c r="S14" s="28"/>
      <c r="T14" s="55"/>
      <c r="U14" s="3" t="s">
        <v>19</v>
      </c>
      <c r="V14" s="59"/>
      <c r="W14" s="59"/>
      <c r="X14" s="59"/>
      <c r="Y14" s="59">
        <f t="shared" ref="Y14:Y16" si="2">+AF14+V14</f>
        <v>0</v>
      </c>
      <c r="Z14" s="59">
        <f t="shared" si="1"/>
        <v>0</v>
      </c>
      <c r="AA14" s="55">
        <f>+Y14-Z14</f>
        <v>0</v>
      </c>
      <c r="AB14" s="61" t="str">
        <f>IF(Y14=0,"",(Z14-Y14)/ABS(Y14)+1)</f>
        <v/>
      </c>
      <c r="AC14" s="59">
        <v>0</v>
      </c>
      <c r="AD14" s="28" t="str">
        <f>IF(AC14=0,"",(Z14-AC14)/ABS(AC14))</f>
        <v/>
      </c>
      <c r="AF14" s="60">
        <v>0</v>
      </c>
      <c r="AG14" s="60">
        <v>0</v>
      </c>
      <c r="AH14" s="60">
        <v>0</v>
      </c>
    </row>
    <row r="15" spans="1:34" x14ac:dyDescent="0.2">
      <c r="A15" s="87"/>
      <c r="B15" s="3" t="str">
        <f>+'COLOMB$ '!B15</f>
        <v>Voice Experience (Audicóm)</v>
      </c>
      <c r="C15" s="59">
        <v>152</v>
      </c>
      <c r="D15" s="28">
        <f>+C15/$C$20</f>
        <v>1.5469667239315754E-2</v>
      </c>
      <c r="E15" s="59">
        <v>0</v>
      </c>
      <c r="F15" s="28"/>
      <c r="G15" s="28">
        <f>IF(C15=0,"",(E15-C15)/ABS(C15)+1)</f>
        <v>0</v>
      </c>
      <c r="H15" s="59">
        <v>0</v>
      </c>
      <c r="I15" s="28"/>
      <c r="J15" s="28" t="str">
        <f>IF(H15=0,"",(E15-H15)/ABS(H15))</f>
        <v/>
      </c>
      <c r="K15" s="59">
        <v>2376</v>
      </c>
      <c r="L15" s="28"/>
      <c r="M15" s="59">
        <v>1656</v>
      </c>
      <c r="N15" s="28"/>
      <c r="O15" s="28">
        <f>IF(K15=0,"",(M15-K15)/ABS(K15)+1)</f>
        <v>0.69696969696969702</v>
      </c>
      <c r="P15" s="59">
        <v>2304</v>
      </c>
      <c r="Q15" s="28"/>
      <c r="R15" s="28">
        <f t="shared" si="0"/>
        <v>-0.28125</v>
      </c>
      <c r="S15" s="28"/>
      <c r="T15" s="55"/>
      <c r="U15" s="3" t="s">
        <v>20</v>
      </c>
      <c r="V15" s="59">
        <v>6091.5290193499995</v>
      </c>
      <c r="W15" s="59">
        <v>4633.6000000000004</v>
      </c>
      <c r="X15" s="59">
        <v>4639.2</v>
      </c>
      <c r="Y15" s="59">
        <f t="shared" si="2"/>
        <v>60845.245096749983</v>
      </c>
      <c r="Z15" s="59">
        <f t="shared" si="1"/>
        <v>51950.400000000001</v>
      </c>
      <c r="AA15" s="55">
        <f>+Y15-Z15</f>
        <v>8894.8450967499812</v>
      </c>
      <c r="AB15" s="61">
        <f>IF(Y15=0,"",(Z15-Y15)/ABS(Y15)+1)</f>
        <v>0.85381199331835556</v>
      </c>
      <c r="AC15" s="59">
        <v>55055.1</v>
      </c>
      <c r="AD15" s="28">
        <f>IF(AC15=0,"",(Z15-AC15)/ABS(AC15))</f>
        <v>-5.6392595781317209E-2</v>
      </c>
      <c r="AF15" s="60">
        <v>54753.716077399986</v>
      </c>
      <c r="AG15" s="60">
        <v>45812.9</v>
      </c>
      <c r="AH15" s="60">
        <v>47316.800000000003</v>
      </c>
    </row>
    <row r="16" spans="1:34" x14ac:dyDescent="0.2">
      <c r="B16" s="3" t="str">
        <f>+'COLOMB$ '!B16</f>
        <v>Fact. Servicio Satelital</v>
      </c>
      <c r="C16" s="59"/>
      <c r="D16" s="28"/>
      <c r="E16" s="59"/>
      <c r="F16" s="28"/>
      <c r="G16" s="28"/>
      <c r="H16" s="59"/>
      <c r="I16" s="28"/>
      <c r="J16" s="28"/>
      <c r="K16" s="59">
        <f>+T16+C16</f>
        <v>0</v>
      </c>
      <c r="L16" s="28"/>
      <c r="M16" s="59"/>
      <c r="N16" s="28"/>
      <c r="O16" s="28"/>
      <c r="P16" s="59"/>
      <c r="Q16" s="28"/>
      <c r="R16" s="28" t="str">
        <f t="shared" si="0"/>
        <v/>
      </c>
      <c r="S16" s="28"/>
      <c r="T16" s="55"/>
      <c r="U16" s="3" t="s">
        <v>21</v>
      </c>
      <c r="V16" s="59">
        <v>1243.855</v>
      </c>
      <c r="W16" s="59">
        <v>1510.1999999999998</v>
      </c>
      <c r="X16" s="59">
        <v>2174.8999999999996</v>
      </c>
      <c r="Y16" s="59">
        <f t="shared" si="2"/>
        <v>14504.274999999998</v>
      </c>
      <c r="Z16" s="59">
        <f t="shared" si="1"/>
        <v>16973.599999999999</v>
      </c>
      <c r="AA16" s="55">
        <f>+Y16-Z16</f>
        <v>-2469.3250000000007</v>
      </c>
      <c r="AB16" s="61">
        <f>IF(Y16=0,"",(Z16-Y16)/ABS(Y16)+1)</f>
        <v>1.1702480820309875</v>
      </c>
      <c r="AC16" s="59">
        <v>19478.68</v>
      </c>
      <c r="AD16" s="28">
        <f>IF(AC16=0,"",(Z16-AC16)/ABS(AC16))</f>
        <v>-0.12860625052621644</v>
      </c>
      <c r="AF16" s="60">
        <v>13260.419999999998</v>
      </c>
      <c r="AG16" s="60">
        <v>15891.779999999999</v>
      </c>
      <c r="AH16" s="60">
        <v>15463.4</v>
      </c>
    </row>
    <row r="17" spans="1:35" x14ac:dyDescent="0.2">
      <c r="A17" s="87"/>
      <c r="B17" s="3" t="str">
        <f>+'COLOMB$ '!B17</f>
        <v>Visual Experience</v>
      </c>
      <c r="C17" s="59"/>
      <c r="D17" s="28"/>
      <c r="E17" s="59"/>
      <c r="F17" s="28"/>
      <c r="G17" s="28" t="str">
        <f>IF(C17=0,"",(E17-C17)/ABS(C17)+1)</f>
        <v/>
      </c>
      <c r="H17" s="59"/>
      <c r="I17" s="28"/>
      <c r="J17" s="28" t="str">
        <f>IF(H17=0,"",(E17-H17)/ABS(H17))</f>
        <v/>
      </c>
      <c r="K17" s="59">
        <f>+T17+C17</f>
        <v>0</v>
      </c>
      <c r="L17" s="28"/>
      <c r="M17" s="59"/>
      <c r="N17" s="28"/>
      <c r="O17" s="28" t="str">
        <f>IF(K17=0,"",(M17-K17)/ABS(K17)+1)</f>
        <v/>
      </c>
      <c r="P17" s="59"/>
      <c r="Q17" s="28"/>
      <c r="R17" s="28" t="str">
        <f t="shared" si="0"/>
        <v/>
      </c>
      <c r="S17" s="28"/>
      <c r="T17" s="55"/>
      <c r="U17" s="3" t="s">
        <v>22</v>
      </c>
      <c r="V17" s="59">
        <f>SUM(V13:V16)</f>
        <v>10922.383707249999</v>
      </c>
      <c r="W17" s="59">
        <f>SUM(W13:W16)</f>
        <v>6143.8</v>
      </c>
      <c r="X17" s="59">
        <f>SUM(X13:X16)</f>
        <v>6814.0999999999995</v>
      </c>
      <c r="Y17" s="59">
        <f>SUM(Y13:Y16)</f>
        <v>100344.51947254998</v>
      </c>
      <c r="Z17" s="59">
        <f>SUM(Z13:Z16)</f>
        <v>80947</v>
      </c>
      <c r="AA17" s="55">
        <f>+Z17-Y17</f>
        <v>-19397.519472549975</v>
      </c>
      <c r="AB17" s="61">
        <f>IF(Y17=0,"",(Z17-Y17)/ABS(Y17)+1)</f>
        <v>0.80669079313438419</v>
      </c>
      <c r="AC17" s="59">
        <f>SUM(AC13:AC16)</f>
        <v>74627.78</v>
      </c>
      <c r="AD17" s="28">
        <f>IF(AC17=0,"",(Z17-AC17)/ABS(AC17))</f>
        <v>8.4676510543392841E-2</v>
      </c>
      <c r="AF17" s="60">
        <v>89422.135765299972</v>
      </c>
      <c r="AG17" s="60">
        <v>61798.68</v>
      </c>
      <c r="AH17" s="60">
        <v>74803.199999999997</v>
      </c>
    </row>
    <row r="18" spans="1:35" x14ac:dyDescent="0.2">
      <c r="A18" s="87"/>
      <c r="B18" s="3" t="str">
        <f>+'COL. CONS.$'!B18</f>
        <v>Olfa Experience</v>
      </c>
      <c r="C18" s="59">
        <v>0</v>
      </c>
      <c r="D18" s="28"/>
      <c r="E18" s="59"/>
      <c r="F18" s="28"/>
      <c r="G18" s="28"/>
      <c r="H18" s="59"/>
      <c r="I18" s="28"/>
      <c r="J18" s="28"/>
      <c r="K18" s="59">
        <v>0</v>
      </c>
      <c r="L18" s="28"/>
      <c r="M18" s="59"/>
      <c r="N18" s="28"/>
      <c r="O18" s="28"/>
      <c r="P18" s="59"/>
      <c r="Q18" s="28"/>
      <c r="R18" s="28"/>
      <c r="S18" s="28"/>
      <c r="T18" s="55"/>
      <c r="AF18" s="60"/>
      <c r="AG18" s="60"/>
      <c r="AH18" s="60"/>
    </row>
    <row r="19" spans="1:35" x14ac:dyDescent="0.2">
      <c r="B19" s="3" t="str">
        <f>+'COLOMB$ '!B19</f>
        <v>Locutor virtual</v>
      </c>
      <c r="C19" s="59"/>
      <c r="D19" s="28"/>
      <c r="E19" s="59"/>
      <c r="F19" s="28"/>
      <c r="G19" s="28"/>
      <c r="H19" s="59"/>
      <c r="I19" s="28"/>
      <c r="J19" s="28"/>
      <c r="K19" s="59"/>
      <c r="L19" s="28"/>
      <c r="M19" s="59"/>
      <c r="N19" s="28"/>
      <c r="O19" s="28"/>
      <c r="P19" s="59"/>
      <c r="Q19" s="28"/>
      <c r="R19" s="28"/>
      <c r="S19" s="28"/>
      <c r="T19" s="55"/>
      <c r="U19" s="3" t="s">
        <v>23</v>
      </c>
      <c r="V19" s="59">
        <f>V11-V17</f>
        <v>1.4494627500007482</v>
      </c>
      <c r="W19" s="59">
        <f>W11-W17</f>
        <v>1627.3400000000001</v>
      </c>
      <c r="X19" s="59">
        <f>X11-X17</f>
        <v>5256.7</v>
      </c>
      <c r="Y19" s="59">
        <f>Y11-Y17</f>
        <v>3683.2696430055803</v>
      </c>
      <c r="Z19" s="59">
        <f>Z11-Z17</f>
        <v>8356.7400000000052</v>
      </c>
      <c r="AA19" s="55">
        <f>+Z19-Y19</f>
        <v>4673.4703569944249</v>
      </c>
      <c r="AB19" s="61">
        <f>IF(Y19=0,"",(Z19-Y19)/ABS(Y19)+1)</f>
        <v>2.2688374216286897</v>
      </c>
      <c r="AC19" s="59">
        <f>AC11-AC17</f>
        <v>32181.020000000004</v>
      </c>
      <c r="AD19" s="28">
        <f>IF(AC19=0,"",(Z19-AC19)/ABS(AC19))</f>
        <v>-0.74032084750576566</v>
      </c>
      <c r="AF19" s="60">
        <v>3681.820180255585</v>
      </c>
      <c r="AG19" s="60">
        <v>22666.32</v>
      </c>
      <c r="AH19" s="60">
        <v>6729.4000000000087</v>
      </c>
      <c r="AI19" s="47"/>
    </row>
    <row r="20" spans="1:35" x14ac:dyDescent="0.2">
      <c r="B20" s="17" t="s">
        <v>24</v>
      </c>
      <c r="C20" s="63">
        <f>SUM(C10:C19)</f>
        <v>9825.6799999999985</v>
      </c>
      <c r="D20" s="36">
        <f>+C20/$C$20</f>
        <v>1</v>
      </c>
      <c r="E20" s="63">
        <f>SUM(E10:E19)</f>
        <v>7614.79</v>
      </c>
      <c r="F20" s="36">
        <f>+E20/$E$20</f>
        <v>1</v>
      </c>
      <c r="G20" s="36">
        <f>IF(C20=0,"",(E20-C20)/ABS(C20)+1)</f>
        <v>0.77498860129782376</v>
      </c>
      <c r="H20" s="63">
        <f>SUM(H10:H19)</f>
        <v>11570.83</v>
      </c>
      <c r="I20" s="36">
        <f>+H20/$H$20</f>
        <v>1</v>
      </c>
      <c r="J20" s="36">
        <f>IF(H20=0,"",(E20-H20)/ABS(H20))</f>
        <v>-0.34189768581856272</v>
      </c>
      <c r="K20" s="63">
        <f>SUM(K10:K19)</f>
        <v>92421.97</v>
      </c>
      <c r="L20" s="36">
        <f>+K20/$K$20</f>
        <v>1</v>
      </c>
      <c r="M20" s="63">
        <f>SUM(M10:M19)</f>
        <v>80745.83</v>
      </c>
      <c r="N20" s="36">
        <f>+M20/$M$20</f>
        <v>1</v>
      </c>
      <c r="O20" s="36">
        <f>IF(K20=0,"",(M20-K20)/ABS(K20)+1)</f>
        <v>0.87366488725570335</v>
      </c>
      <c r="P20" s="63">
        <f>SUM(P10:P19)</f>
        <v>89645.119999999995</v>
      </c>
      <c r="Q20" s="36">
        <f>+P20/$P$20</f>
        <v>1</v>
      </c>
      <c r="R20" s="36">
        <f>IF(P20=0,"",(M20-P20)/ABS(P20))</f>
        <v>-9.9272442270142466E-2</v>
      </c>
      <c r="S20" s="36"/>
      <c r="T20" s="55"/>
      <c r="U20" s="3"/>
      <c r="V20" s="59"/>
      <c r="W20" s="59"/>
      <c r="X20" s="59"/>
      <c r="Y20" s="59"/>
      <c r="Z20" s="59"/>
      <c r="AA20" s="55"/>
      <c r="AB20" s="61"/>
      <c r="AC20" s="59"/>
      <c r="AD20" s="28"/>
      <c r="AF20" s="60"/>
      <c r="AG20" s="60"/>
      <c r="AH20" s="60"/>
    </row>
    <row r="21" spans="1:35" x14ac:dyDescent="0.2">
      <c r="J21" s="28"/>
      <c r="R21" s="28"/>
      <c r="S21" s="28"/>
      <c r="U21" s="3" t="s">
        <v>25</v>
      </c>
      <c r="V21" s="59">
        <f>+V10+V19</f>
        <v>15207.329352877778</v>
      </c>
      <c r="W21" s="59">
        <f>+W10+W19</f>
        <v>18802.850000000002</v>
      </c>
      <c r="X21" s="59">
        <f>+X10+X19</f>
        <v>21242.7</v>
      </c>
      <c r="Y21" s="59">
        <f>+Y10+Y19</f>
        <v>28158.26964300558</v>
      </c>
      <c r="Z21" s="59">
        <f>+Z10+Z19</f>
        <v>32831.740000000005</v>
      </c>
      <c r="AA21" s="55">
        <f>+Z21-Y21</f>
        <v>4673.4703569944249</v>
      </c>
      <c r="AB21" s="61">
        <f>IF(Y21=0,"",(Z21-Y21)/ABS(Y21)+1)</f>
        <v>1.16597150379783</v>
      </c>
      <c r="AC21" s="59">
        <f>+AC10+AC19</f>
        <v>47125.020000000004</v>
      </c>
      <c r="AD21" s="28">
        <f>IF(AC21=0,"",(Z21-AC21)/ABS(AC21))</f>
        <v>-0.30330554766873302</v>
      </c>
      <c r="AF21" s="60">
        <v>28156.820180255585</v>
      </c>
      <c r="AG21" s="60">
        <v>37610.32</v>
      </c>
      <c r="AH21" s="59">
        <v>31204.400000000009</v>
      </c>
    </row>
    <row r="22" spans="1:35" x14ac:dyDescent="0.2">
      <c r="A22" s="87"/>
      <c r="B22" s="3" t="s">
        <v>26</v>
      </c>
      <c r="C22" s="59">
        <v>118.17</v>
      </c>
      <c r="D22" s="28">
        <f>+C22/$C$20</f>
        <v>1.2026648537302256E-2</v>
      </c>
      <c r="E22" s="59">
        <v>0</v>
      </c>
      <c r="F22" s="28">
        <f>+E22/$E$20</f>
        <v>0</v>
      </c>
      <c r="G22" s="28">
        <f>IF(C22=0,"",(E22-C22)/ABS(C22)+1)</f>
        <v>0</v>
      </c>
      <c r="H22" s="59">
        <v>1025.94</v>
      </c>
      <c r="I22" s="28">
        <f>+H22/$H$20</f>
        <v>8.8666068034877366E-2</v>
      </c>
      <c r="J22" s="28">
        <f>IF(H22=0,"",(E22-H22)/ABS(H22))</f>
        <v>-1</v>
      </c>
      <c r="K22" s="59">
        <v>837.45</v>
      </c>
      <c r="L22" s="28">
        <f>+K22/$K$20</f>
        <v>9.0611572118620715E-3</v>
      </c>
      <c r="M22" s="59">
        <v>47.7</v>
      </c>
      <c r="N22" s="28">
        <f>+M22/$M$20</f>
        <v>5.9074258076237504E-4</v>
      </c>
      <c r="O22" s="28">
        <f>IF(K22=0,"",(M22-K22)/ABS(K22)+1)</f>
        <v>5.6958624395486379E-2</v>
      </c>
      <c r="P22" s="59">
        <v>1066.5</v>
      </c>
      <c r="Q22" s="28">
        <f>+P22/$P$20</f>
        <v>1.1896910841326333E-2</v>
      </c>
      <c r="R22" s="28">
        <f>IF(P22=0,"",(M22-P22)/ABS(P22))</f>
        <v>-0.95527426160337547</v>
      </c>
      <c r="S22" s="28"/>
      <c r="T22" s="55"/>
      <c r="AD22" s="28"/>
      <c r="AF22" s="60"/>
      <c r="AG22" s="60"/>
      <c r="AH22" s="60"/>
    </row>
    <row r="23" spans="1:35" x14ac:dyDescent="0.2">
      <c r="J23" s="28"/>
      <c r="R23" s="28"/>
      <c r="S23" s="28"/>
      <c r="U23" s="3" t="s">
        <v>27</v>
      </c>
      <c r="V23" s="59"/>
      <c r="W23" s="59"/>
      <c r="X23" s="59"/>
      <c r="Y23" s="59">
        <f>+AF23+V23</f>
        <v>0</v>
      </c>
      <c r="Z23" s="59">
        <f>+W23+AH23</f>
        <v>1646</v>
      </c>
      <c r="AA23" s="55">
        <f>+Z23-Y23</f>
        <v>1646</v>
      </c>
      <c r="AB23" s="61" t="str">
        <f>IF(Y23=0,"",(Z23-Y23)/ABS(Y23)+1)</f>
        <v/>
      </c>
      <c r="AC23" s="59">
        <v>0</v>
      </c>
      <c r="AD23" s="28" t="str">
        <f>IF(AC23=0,"",(Z23-AC23)/ABS(AC23))</f>
        <v/>
      </c>
      <c r="AF23" s="60">
        <v>0</v>
      </c>
      <c r="AG23" s="60">
        <v>0</v>
      </c>
      <c r="AH23" s="60">
        <v>1646</v>
      </c>
    </row>
    <row r="24" spans="1:35" x14ac:dyDescent="0.2">
      <c r="B24" s="3" t="s">
        <v>28</v>
      </c>
      <c r="C24" s="59">
        <f>+C20-C22</f>
        <v>9707.5099999999984</v>
      </c>
      <c r="D24" s="28">
        <f>+C24/$C$20</f>
        <v>0.98797335146269771</v>
      </c>
      <c r="E24" s="59">
        <f>+E20-E22</f>
        <v>7614.79</v>
      </c>
      <c r="F24" s="28">
        <f>+E24/$E$20</f>
        <v>1</v>
      </c>
      <c r="G24" s="28">
        <f>IF(C24=0,"",(E24-C24)/ABS(C24)+1)</f>
        <v>0.7844225759231771</v>
      </c>
      <c r="H24" s="59">
        <f>+H20-H22</f>
        <v>10544.89</v>
      </c>
      <c r="I24" s="28">
        <f>+H24/$H$20</f>
        <v>0.91133393196512258</v>
      </c>
      <c r="J24" s="28">
        <f>IF(H24=0,"",(E24-H24)/ABS(H24))</f>
        <v>-0.27786918592797077</v>
      </c>
      <c r="K24" s="59">
        <f>+K20-K22</f>
        <v>91584.52</v>
      </c>
      <c r="L24" s="28">
        <f>+K24/$K$20</f>
        <v>0.99093884278813793</v>
      </c>
      <c r="M24" s="59">
        <f>+M20-M22</f>
        <v>80698.13</v>
      </c>
      <c r="N24" s="28">
        <f>+M24/$M$20</f>
        <v>0.9994092574192377</v>
      </c>
      <c r="O24" s="28">
        <f>IF(K24=0,"",(M24-K24)/ABS(K24)+1)</f>
        <v>0.88113285957059118</v>
      </c>
      <c r="P24" s="59">
        <f>+P20-P22</f>
        <v>88578.62</v>
      </c>
      <c r="Q24" s="28">
        <f>+P24/$P$20</f>
        <v>0.98810308915867362</v>
      </c>
      <c r="R24" s="28">
        <f>IF(P24=0,"",(M24-P24)/ABS(P24))</f>
        <v>-8.8966050724204007E-2</v>
      </c>
      <c r="S24" s="28"/>
      <c r="T24" s="55"/>
      <c r="AD24" s="28"/>
      <c r="AF24" s="60"/>
      <c r="AG24" s="60"/>
      <c r="AH24" s="60"/>
    </row>
    <row r="25" spans="1:35" x14ac:dyDescent="0.2">
      <c r="J25" s="28"/>
      <c r="R25" s="28"/>
      <c r="S25" s="28"/>
      <c r="U25" s="3" t="s">
        <v>29</v>
      </c>
      <c r="V25" s="59">
        <v>1412.2544348000001</v>
      </c>
      <c r="W25" s="59">
        <v>1182.5999999999999</v>
      </c>
      <c r="X25" s="59">
        <v>1340.4</v>
      </c>
      <c r="Y25" s="59">
        <f>+AF25+V25</f>
        <v>14363.046304399999</v>
      </c>
      <c r="Z25" s="59">
        <f t="shared" ref="Z25" si="3">+W25+AH25</f>
        <v>13565.400000000001</v>
      </c>
      <c r="AA25" s="55">
        <f>+Z25-Y25</f>
        <v>-797.64630439999746</v>
      </c>
      <c r="AB25" s="61">
        <f>IF(Y25=0,"",(Z25-Y25)/ABS(Y25)+1)</f>
        <v>0.94446538098567256</v>
      </c>
      <c r="AC25" s="59">
        <v>16937.100000000002</v>
      </c>
      <c r="AD25" s="28">
        <f>IF(AC25=0,"",(Z25-AC25)/ABS(AC25))</f>
        <v>-0.19907185999964577</v>
      </c>
      <c r="AF25" s="60">
        <v>12950.791869599998</v>
      </c>
      <c r="AG25" s="60">
        <v>14184.7</v>
      </c>
      <c r="AH25" s="60">
        <v>12382.800000000001</v>
      </c>
    </row>
    <row r="26" spans="1:35" x14ac:dyDescent="0.2">
      <c r="B26" s="3" t="s">
        <v>30</v>
      </c>
      <c r="C26" s="59">
        <v>870.87</v>
      </c>
      <c r="D26" s="28">
        <f>+C26/$C$20</f>
        <v>8.863203360988757E-2</v>
      </c>
      <c r="E26" s="59">
        <v>502.29</v>
      </c>
      <c r="F26" s="28">
        <f>+E26/$E$20</f>
        <v>6.5962423126573425E-2</v>
      </c>
      <c r="G26" s="28">
        <f>IF(C26=0,"",(E26-C26)/ABS(C26)+1)</f>
        <v>0.5767680595266802</v>
      </c>
      <c r="H26" s="59">
        <v>1663.6</v>
      </c>
      <c r="I26" s="28">
        <f>+H26/$H$20</f>
        <v>0.14377533850207808</v>
      </c>
      <c r="J26" s="28">
        <f>IF(H26=0,"",(E26-H26)/ABS(H26))</f>
        <v>-0.69807044962731424</v>
      </c>
      <c r="K26" s="59">
        <v>9808.7000000000007</v>
      </c>
      <c r="L26" s="28">
        <f>+K26/$K$20</f>
        <v>0.10612952742729895</v>
      </c>
      <c r="M26" s="59">
        <v>7120.82</v>
      </c>
      <c r="N26" s="28">
        <f>+M26/$M$20</f>
        <v>8.8188083520845589E-2</v>
      </c>
      <c r="O26" s="28">
        <f>IF(K26=0,"",(M26-K26)/ABS(K26)+1)</f>
        <v>0.72596980231834995</v>
      </c>
      <c r="P26" s="59">
        <v>8834.84</v>
      </c>
      <c r="Q26" s="28">
        <f>+P26/$P$20</f>
        <v>9.8553496275090052E-2</v>
      </c>
      <c r="R26" s="28">
        <f>IF(P26=0,"",(M26-P26)/ABS(P26))</f>
        <v>-0.19400690901023679</v>
      </c>
      <c r="S26" s="28"/>
      <c r="T26" s="55"/>
      <c r="AD26" s="28"/>
      <c r="AF26" s="50"/>
      <c r="AG26" s="46"/>
      <c r="AH26" s="46"/>
    </row>
    <row r="27" spans="1:35" x14ac:dyDescent="0.2">
      <c r="B27" s="3" t="s">
        <v>31</v>
      </c>
      <c r="C27" s="59">
        <v>1135.8800000000001</v>
      </c>
      <c r="D27" s="28">
        <f>+C27/$C$20</f>
        <v>0.11560319489338146</v>
      </c>
      <c r="E27" s="59">
        <v>946.05</v>
      </c>
      <c r="F27" s="28">
        <f>+E27/$E$20</f>
        <v>0.12423848852036629</v>
      </c>
      <c r="G27" s="28">
        <f>IF(C27=0,"",(E27-C27)/ABS(C27)+1)</f>
        <v>0.832878473078142</v>
      </c>
      <c r="H27" s="59">
        <v>1290.68</v>
      </c>
      <c r="I27" s="28">
        <f>+H27/$H$20</f>
        <v>0.11154601701001571</v>
      </c>
      <c r="J27" s="28">
        <f>IF(H27=0,"",(E27-H27)/ABS(H27))</f>
        <v>-0.26701428704248931</v>
      </c>
      <c r="K27" s="59">
        <v>12113.96</v>
      </c>
      <c r="L27" s="28">
        <f>+K27/$K$20</f>
        <v>0.13107229806938761</v>
      </c>
      <c r="M27" s="59">
        <v>11881.93</v>
      </c>
      <c r="N27" s="28">
        <f>+M27/$M$20</f>
        <v>0.14715224303224081</v>
      </c>
      <c r="O27" s="28">
        <f>IF(K27=0,"",(M27-K27)/ABS(K27)+1)</f>
        <v>0.98084606520080975</v>
      </c>
      <c r="P27" s="59">
        <v>12798.27</v>
      </c>
      <c r="Q27" s="28">
        <f>+P27/$P$20</f>
        <v>0.14276594197207837</v>
      </c>
      <c r="R27" s="28">
        <f>IF(P27=0,"",(M27-P27)/ABS(P27))</f>
        <v>-7.1598739517137869E-2</v>
      </c>
      <c r="S27" s="28"/>
      <c r="T27" s="55"/>
      <c r="U27" s="3" t="s">
        <v>32</v>
      </c>
      <c r="V27" s="59"/>
      <c r="W27" s="59"/>
      <c r="X27" s="59"/>
      <c r="Y27" s="59">
        <f t="shared" ref="Y27:Y28" si="4">+AF27+V27</f>
        <v>0</v>
      </c>
      <c r="Z27" s="59">
        <f t="shared" ref="Z27:Z28" si="5">+W27+AH27</f>
        <v>0</v>
      </c>
      <c r="AA27" s="55">
        <f>+Z27-Y27</f>
        <v>0</v>
      </c>
      <c r="AB27" s="61" t="str">
        <f>IF(Y27=0,"",(Z27-Y27)/ABS(Y27)+1)</f>
        <v/>
      </c>
      <c r="AC27" s="59">
        <v>0</v>
      </c>
      <c r="AD27" s="28" t="str">
        <f>IF(AC27=0,"",(Z27-AC27)/ABS(AC27))</f>
        <v/>
      </c>
      <c r="AF27" s="60">
        <v>0</v>
      </c>
      <c r="AG27" s="2">
        <v>0</v>
      </c>
      <c r="AH27" s="2">
        <v>0</v>
      </c>
    </row>
    <row r="28" spans="1:35" x14ac:dyDescent="0.2">
      <c r="B28" s="3" t="s">
        <v>33</v>
      </c>
      <c r="C28" s="59">
        <f>SUM(C26:C27)</f>
        <v>2006.75</v>
      </c>
      <c r="D28" s="28">
        <f>+C28/$C$20</f>
        <v>0.20423522850326903</v>
      </c>
      <c r="E28" s="59">
        <f>SUM(E26:E27)</f>
        <v>1448.34</v>
      </c>
      <c r="F28" s="28">
        <f>+E28/$E$20</f>
        <v>0.1902009116469397</v>
      </c>
      <c r="G28" s="28">
        <f>IF(C28=0,"",(E28-C28)/ABS(C28)+1)</f>
        <v>0.72173414725302099</v>
      </c>
      <c r="H28" s="59">
        <f>SUM(H26:H27)</f>
        <v>2954.2799999999997</v>
      </c>
      <c r="I28" s="28">
        <f>+H28/$H$20</f>
        <v>0.25532135551209373</v>
      </c>
      <c r="J28" s="28">
        <f>IF(H28=0,"",(E28-H28)/ABS(H28))</f>
        <v>-0.50974856817904868</v>
      </c>
      <c r="K28" s="59">
        <f>SUM(K26:K27)</f>
        <v>21922.66</v>
      </c>
      <c r="L28" s="28">
        <f>+K28/$K$20</f>
        <v>0.23720182549668656</v>
      </c>
      <c r="M28" s="59">
        <f>SUM(M26:M27)</f>
        <v>19002.75</v>
      </c>
      <c r="N28" s="28">
        <f>+M28/$M$20</f>
        <v>0.2353403265530864</v>
      </c>
      <c r="O28" s="28">
        <f>IF(K28=0,"",(M28-K28)/ABS(K28)+1)</f>
        <v>0.86680858983353293</v>
      </c>
      <c r="P28" s="59">
        <f>SUM(P26:P27)</f>
        <v>21633.11</v>
      </c>
      <c r="Q28" s="28">
        <f>+P28/$P$20</f>
        <v>0.24131943824716842</v>
      </c>
      <c r="R28" s="28">
        <f>IF(P28=0,"",(M28-P28)/ABS(P28))</f>
        <v>-0.12158954491517865</v>
      </c>
      <c r="S28" s="28"/>
      <c r="T28" s="55"/>
      <c r="U28" s="3" t="s">
        <v>34</v>
      </c>
      <c r="V28" s="59">
        <v>5000</v>
      </c>
      <c r="W28" s="59">
        <v>5453.7</v>
      </c>
      <c r="X28" s="59"/>
      <c r="Y28" s="59">
        <f t="shared" si="4"/>
        <v>5000</v>
      </c>
      <c r="Z28" s="59">
        <f t="shared" si="5"/>
        <v>5453.7</v>
      </c>
      <c r="AA28" s="55">
        <f>+Z28-Y28</f>
        <v>453.69999999999982</v>
      </c>
      <c r="AB28" s="61">
        <f>IF(Y28=0,"",(Z28-Y28)/ABS(Y28)+1)</f>
        <v>1.09074</v>
      </c>
      <c r="AC28" s="59">
        <v>10286</v>
      </c>
      <c r="AD28" s="28">
        <f>IF(AC28=0,"",(Z28-AC28)/ABS(AC28))</f>
        <v>-0.46979389461403853</v>
      </c>
      <c r="AF28" s="60">
        <v>0</v>
      </c>
      <c r="AG28" s="2">
        <v>10286</v>
      </c>
      <c r="AH28" s="2">
        <v>0</v>
      </c>
    </row>
    <row r="29" spans="1:35" x14ac:dyDescent="0.2">
      <c r="J29" s="28"/>
      <c r="R29" s="28"/>
      <c r="S29" s="28"/>
      <c r="AF29" s="60"/>
    </row>
    <row r="30" spans="1:35" x14ac:dyDescent="0.2">
      <c r="B30" s="3" t="s">
        <v>35</v>
      </c>
      <c r="C30" s="59">
        <v>6518.22</v>
      </c>
      <c r="D30" s="28">
        <f>+C30/$C$20</f>
        <v>0.66338614732008383</v>
      </c>
      <c r="E30" s="59">
        <v>5619.21</v>
      </c>
      <c r="F30" s="28">
        <f>+E30/$E$20</f>
        <v>0.73793367906403196</v>
      </c>
      <c r="G30" s="28">
        <f>IF(C30=0,"",(E30-C30)/ABS(C30)+1)</f>
        <v>0.86207737695260356</v>
      </c>
      <c r="H30" s="59">
        <v>4233.1099999999997</v>
      </c>
      <c r="I30" s="28">
        <f>+H30/$H$20</f>
        <v>0.3658432454715867</v>
      </c>
      <c r="J30" s="28">
        <f>IF(H30=0,"",(E30-H30)/ABS(H30))</f>
        <v>0.32744247137447419</v>
      </c>
      <c r="K30" s="59">
        <v>65616.2</v>
      </c>
      <c r="L30" s="28">
        <f>+K30/$K$20</f>
        <v>0.70996322627617647</v>
      </c>
      <c r="M30" s="59">
        <v>58282.29</v>
      </c>
      <c r="N30" s="28">
        <f>+M30/$M$20</f>
        <v>0.72179937960882934</v>
      </c>
      <c r="O30" s="28">
        <f>IF(K30=0,"",(M30-K30)/ABS(K30)+1)</f>
        <v>0.88823019315352003</v>
      </c>
      <c r="P30" s="59">
        <v>57971.28</v>
      </c>
      <c r="Q30" s="28">
        <f>+P30/$P$20</f>
        <v>0.64667524567985413</v>
      </c>
      <c r="R30" s="28">
        <f>IF(P30=0,"",(M30-P30)/ABS(P30))</f>
        <v>5.3648979287675216E-3</v>
      </c>
      <c r="S30" s="28"/>
      <c r="T30" s="55"/>
      <c r="U30" s="17" t="s">
        <v>36</v>
      </c>
      <c r="V30" s="63">
        <f>V21-V23-V25-V27-V28</f>
        <v>8795.0749180777784</v>
      </c>
      <c r="W30" s="63">
        <f>W21-W23-W25-W27-W28</f>
        <v>12166.550000000003</v>
      </c>
      <c r="X30" s="63">
        <f>X21-X23-X25-X27-X28</f>
        <v>19902.3</v>
      </c>
      <c r="Y30" s="63">
        <f>Y21-Y23-Y25-Y27-Y28</f>
        <v>8795.2233386055814</v>
      </c>
      <c r="Z30" s="63">
        <f>Z21-Z23-Z25-Z27-Z28</f>
        <v>12166.640000000003</v>
      </c>
      <c r="AA30" s="65">
        <f>+Z30-Y30</f>
        <v>3371.4166613944217</v>
      </c>
      <c r="AB30" s="66">
        <f>IF(V30=0,"",(W30-V30)/ABS(V30)+1)</f>
        <v>1.3833367098434088</v>
      </c>
      <c r="AC30" s="63">
        <f>AC21-AC23-AC25-AC27-AC28</f>
        <v>19901.920000000002</v>
      </c>
      <c r="AD30" s="28">
        <f>IF(AC30=0,"",(Z30-AC30)/ABS(AC30))</f>
        <v>-0.38867003786569326</v>
      </c>
      <c r="AF30" s="60">
        <v>15206.028310655587</v>
      </c>
      <c r="AG30" s="2">
        <v>13139.619999999999</v>
      </c>
      <c r="AH30" s="2">
        <v>17175.600000000006</v>
      </c>
    </row>
    <row r="31" spans="1:35" x14ac:dyDescent="0.2">
      <c r="B31" s="3" t="s">
        <v>37</v>
      </c>
      <c r="C31" s="59">
        <v>0</v>
      </c>
      <c r="D31" s="28">
        <f>+C31/$C$20</f>
        <v>0</v>
      </c>
      <c r="E31" s="59">
        <v>0</v>
      </c>
      <c r="F31" s="28">
        <f>+E31/$E$20</f>
        <v>0</v>
      </c>
      <c r="G31" s="28" t="str">
        <f>IF(C31=0,"",(E31-C31)/ABS(C31)+1)</f>
        <v/>
      </c>
      <c r="H31" s="59">
        <v>0</v>
      </c>
      <c r="I31" s="28">
        <f>+H31/$H$20</f>
        <v>0</v>
      </c>
      <c r="J31" s="28" t="str">
        <f>IF(H31=0,"",(E31-H31)/ABS(H31))</f>
        <v/>
      </c>
      <c r="K31" s="59">
        <v>0</v>
      </c>
      <c r="L31" s="28">
        <f>+K31/$K$20</f>
        <v>0</v>
      </c>
      <c r="M31" s="59">
        <v>0</v>
      </c>
      <c r="N31" s="28">
        <f>+M31/$M$20</f>
        <v>0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>IF(P31=0,"",(M31-P31)/ABS(P31))</f>
        <v/>
      </c>
      <c r="S31" s="28"/>
      <c r="T31" s="55"/>
      <c r="U31" s="47"/>
      <c r="V31" s="53" t="s">
        <v>47</v>
      </c>
      <c r="W31" s="55" t="s">
        <v>47</v>
      </c>
      <c r="X31" s="53" t="s">
        <v>46</v>
      </c>
      <c r="Y31" s="59" t="s">
        <v>47</v>
      </c>
      <c r="Z31" s="59" t="s">
        <v>47</v>
      </c>
      <c r="AA31" s="53"/>
      <c r="AB31" s="53"/>
      <c r="AC31" s="59" t="s">
        <v>46</v>
      </c>
      <c r="AD31" s="53"/>
      <c r="AE31" s="53"/>
      <c r="AF31" s="53"/>
      <c r="AG31" s="53"/>
    </row>
    <row r="32" spans="1:35" x14ac:dyDescent="0.2">
      <c r="B32" s="3" t="s">
        <v>38</v>
      </c>
      <c r="C32" s="59">
        <f>SUM(C30:C31)</f>
        <v>6518.22</v>
      </c>
      <c r="D32" s="28">
        <f>+C32/$C$20</f>
        <v>0.66338614732008383</v>
      </c>
      <c r="E32" s="59">
        <f>SUM(E30:E31)</f>
        <v>5619.21</v>
      </c>
      <c r="F32" s="28">
        <f>+E32/$E$20</f>
        <v>0.73793367906403196</v>
      </c>
      <c r="G32" s="28">
        <f>IF(C32=0,"",(E32-C32)/ABS(C32)+1)</f>
        <v>0.86207737695260356</v>
      </c>
      <c r="H32" s="59">
        <f>SUM(H30:H31)</f>
        <v>4233.1099999999997</v>
      </c>
      <c r="I32" s="28">
        <f>+H32/$H$20</f>
        <v>0.3658432454715867</v>
      </c>
      <c r="J32" s="28">
        <f>IF(H32=0,"",(E32-H32)/ABS(H32))</f>
        <v>0.32744247137447419</v>
      </c>
      <c r="K32" s="59">
        <f>SUM(K30:K31)</f>
        <v>65616.2</v>
      </c>
      <c r="L32" s="28">
        <f>+K32/$K$20</f>
        <v>0.70996322627617647</v>
      </c>
      <c r="M32" s="59">
        <f>SUM(M30:M31)</f>
        <v>58282.29</v>
      </c>
      <c r="N32" s="28">
        <f>+M32/$M$20</f>
        <v>0.72179937960882934</v>
      </c>
      <c r="O32" s="28">
        <f>IF(K32=0,"",(M32-K32)/ABS(K32)+1)</f>
        <v>0.88823019315352003</v>
      </c>
      <c r="P32" s="59">
        <f>SUM(P30:P31)</f>
        <v>57971.28</v>
      </c>
      <c r="Q32" s="28">
        <f>+P32/$P$20</f>
        <v>0.64667524567985413</v>
      </c>
      <c r="R32" s="28">
        <f>IF(P32=0,"",(M32-P32)/ABS(P32))</f>
        <v>5.3648979287675216E-3</v>
      </c>
      <c r="S32" s="28"/>
      <c r="T32" s="55"/>
      <c r="Y32" s="47"/>
      <c r="Z32" s="47"/>
      <c r="AA32" s="47"/>
    </row>
    <row r="33" spans="1:30" x14ac:dyDescent="0.2">
      <c r="J33" s="28"/>
      <c r="R33" s="28"/>
      <c r="S33" s="28"/>
      <c r="AA33" s="46"/>
      <c r="AB33" s="46"/>
    </row>
    <row r="34" spans="1:30" x14ac:dyDescent="0.2">
      <c r="B34" s="3" t="s">
        <v>39</v>
      </c>
      <c r="C34" s="59">
        <f>C28+C32</f>
        <v>8524.9700000000012</v>
      </c>
      <c r="D34" s="28">
        <f>+C34/$C$20</f>
        <v>0.86762137582335297</v>
      </c>
      <c r="E34" s="59">
        <f>E28+E32</f>
        <v>7067.55</v>
      </c>
      <c r="F34" s="28">
        <f>+E34/$E$20</f>
        <v>0.92813459071097171</v>
      </c>
      <c r="G34" s="28">
        <f>IF(C34=0,"",(E34-C34)/ABS(C34)+1)</f>
        <v>0.8290410406136326</v>
      </c>
      <c r="H34" s="59">
        <f>H28+H32</f>
        <v>7187.3899999999994</v>
      </c>
      <c r="I34" s="28">
        <f>+H34/$H$20</f>
        <v>0.62116460098368043</v>
      </c>
      <c r="J34" s="28">
        <f>IF(H34=0,"",(E34-H34)/ABS(H34))</f>
        <v>-1.6673646483633037E-2</v>
      </c>
      <c r="K34" s="59">
        <f>K28+K32</f>
        <v>87538.86</v>
      </c>
      <c r="L34" s="28">
        <f>+K34/$K$20</f>
        <v>0.94716505177286314</v>
      </c>
      <c r="M34" s="59">
        <f>M28+M32</f>
        <v>77285.040000000008</v>
      </c>
      <c r="N34" s="28">
        <f>+M34/$M$20</f>
        <v>0.95713970616191579</v>
      </c>
      <c r="O34" s="28">
        <f>IF(K34=0,"",(M34-K34)/ABS(K34)+1)</f>
        <v>0.88286550681605869</v>
      </c>
      <c r="P34" s="59">
        <f>P28+P32</f>
        <v>79604.39</v>
      </c>
      <c r="Q34" s="28">
        <f>+P34/$P$20</f>
        <v>0.88799468392702252</v>
      </c>
      <c r="R34" s="28">
        <f>IF(P34=0,"",(M34-P34)/ABS(P34))</f>
        <v>-2.9135955944138148E-2</v>
      </c>
      <c r="S34" s="28"/>
      <c r="T34" s="55"/>
    </row>
    <row r="35" spans="1:30" x14ac:dyDescent="0.2">
      <c r="J35" s="28"/>
      <c r="R35" s="28"/>
      <c r="S35" s="28"/>
      <c r="T35" s="5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</row>
    <row r="36" spans="1:30" x14ac:dyDescent="0.2">
      <c r="B36" s="17" t="s">
        <v>40</v>
      </c>
      <c r="C36" s="63">
        <f>C24-C34</f>
        <v>1182.5399999999972</v>
      </c>
      <c r="D36" s="36">
        <f>+C36/$C$20</f>
        <v>0.1203519756393448</v>
      </c>
      <c r="E36" s="63">
        <f>E24-E34</f>
        <v>547.23999999999978</v>
      </c>
      <c r="F36" s="36">
        <f>+E36/$E$20</f>
        <v>7.1865409289028293E-2</v>
      </c>
      <c r="G36" s="36">
        <f>IF(C36=0,"",(E36-C36)/ABS(C36)+1)</f>
        <v>0.46276658717675601</v>
      </c>
      <c r="H36" s="63">
        <f>H24-H34</f>
        <v>3357.5</v>
      </c>
      <c r="I36" s="36">
        <f>+H36/$H$20</f>
        <v>0.29016933098144215</v>
      </c>
      <c r="J36" s="36">
        <f>IF(H36=0,"",(E36-H36)/ABS(H36))</f>
        <v>-0.8370096798212957</v>
      </c>
      <c r="K36" s="63">
        <f>K24-K34</f>
        <v>4045.6600000000035</v>
      </c>
      <c r="L36" s="36">
        <f>+K36/$K$20</f>
        <v>4.3773791015274871E-2</v>
      </c>
      <c r="M36" s="63">
        <f>M24-M34</f>
        <v>3413.0899999999965</v>
      </c>
      <c r="N36" s="36">
        <f>+M36/$M$20</f>
        <v>4.2269551257321854E-2</v>
      </c>
      <c r="O36" s="36">
        <f>IF(K36=0,"",(M36-K36)/ABS(K36)+1)</f>
        <v>0.84364232288427443</v>
      </c>
      <c r="P36" s="63">
        <f>P24-P34</f>
        <v>8974.2299999999959</v>
      </c>
      <c r="Q36" s="36">
        <f>+P36/$P$20</f>
        <v>0.10010840523165117</v>
      </c>
      <c r="R36" s="36">
        <f>IF(P36=0,"",(M36-P36)/ABS(P36))</f>
        <v>-0.61967879138377358</v>
      </c>
      <c r="S36" s="36"/>
      <c r="T36" s="55"/>
      <c r="U36" s="125"/>
      <c r="V36" s="126"/>
      <c r="W36" s="126"/>
      <c r="X36" s="125"/>
      <c r="Y36" s="126"/>
      <c r="Z36" s="125"/>
      <c r="AA36" s="125"/>
      <c r="AB36" s="125"/>
      <c r="AC36" s="125"/>
      <c r="AD36" s="125"/>
    </row>
    <row r="37" spans="1:30" x14ac:dyDescent="0.2">
      <c r="J37" s="28"/>
      <c r="R37" s="28"/>
      <c r="S37" s="28"/>
      <c r="U37" s="125" t="s">
        <v>95</v>
      </c>
      <c r="V37" s="127" t="s">
        <v>96</v>
      </c>
      <c r="W37" s="127" t="s">
        <v>97</v>
      </c>
      <c r="X37" s="127"/>
      <c r="Y37" s="125"/>
      <c r="Z37" s="125"/>
      <c r="AA37" s="125"/>
      <c r="AB37" s="125"/>
      <c r="AC37" s="125"/>
      <c r="AD37" s="125"/>
    </row>
    <row r="38" spans="1:30" x14ac:dyDescent="0.2">
      <c r="B38" s="3" t="s">
        <v>41</v>
      </c>
      <c r="C38" s="59">
        <v>0.76</v>
      </c>
      <c r="D38" s="28">
        <f>+C38/$C$20</f>
        <v>7.7348336196578774E-5</v>
      </c>
      <c r="E38" s="59">
        <v>0</v>
      </c>
      <c r="F38" s="28">
        <f>+E38/$E$20</f>
        <v>0</v>
      </c>
      <c r="G38" s="28">
        <f>IF(C38=0,"",(E38-C38)/ABS(C38)+1)</f>
        <v>0</v>
      </c>
      <c r="H38" s="59">
        <v>0</v>
      </c>
      <c r="I38" s="28">
        <f>+H38/$H$20</f>
        <v>0</v>
      </c>
      <c r="J38" s="28" t="str">
        <f>IF(H38=0,"",(E38-H38)/ABS(H38))</f>
        <v/>
      </c>
      <c r="K38" s="59">
        <v>7.6</v>
      </c>
      <c r="L38" s="28">
        <f>+K38/$K$20</f>
        <v>8.2231530013913352E-5</v>
      </c>
      <c r="M38" s="59">
        <v>150</v>
      </c>
      <c r="N38" s="28">
        <f>+M38/$M$20</f>
        <v>1.8576810715797954E-3</v>
      </c>
      <c r="O38" s="28">
        <f>IF(K38=0,"",(M38-K38)/ABS(K38)+1)</f>
        <v>19.736842105263161</v>
      </c>
      <c r="P38" s="59">
        <v>832.4</v>
      </c>
      <c r="Q38" s="28">
        <f>+P38/$P$20</f>
        <v>9.2855026575902853E-3</v>
      </c>
      <c r="R38" s="28">
        <f>IF(P38=0,"",(M38-P38)/ABS(P38))</f>
        <v>-0.81979817395482946</v>
      </c>
      <c r="S38" s="28"/>
      <c r="T38" s="55"/>
      <c r="U38" s="125" t="s">
        <v>98</v>
      </c>
      <c r="V38" s="126">
        <f>+V30</f>
        <v>8795.0749180777784</v>
      </c>
      <c r="W38" s="126">
        <f>+W30</f>
        <v>12166.550000000003</v>
      </c>
      <c r="X38" s="128">
        <f>+W38/V38</f>
        <v>1.3833367098434088</v>
      </c>
      <c r="Y38" s="125"/>
      <c r="Z38" s="125"/>
      <c r="AA38" s="125"/>
      <c r="AB38" s="125"/>
      <c r="AC38" s="125"/>
      <c r="AD38" s="125"/>
    </row>
    <row r="39" spans="1:30" x14ac:dyDescent="0.2">
      <c r="B39" s="3" t="s">
        <v>42</v>
      </c>
      <c r="C39" s="59">
        <v>63.02</v>
      </c>
      <c r="D39" s="28">
        <f>+C39/$C$20</f>
        <v>6.4138054567215719E-3</v>
      </c>
      <c r="E39" s="59">
        <v>13.36</v>
      </c>
      <c r="F39" s="28">
        <f>+E39/$E$20</f>
        <v>1.7544804255928265E-3</v>
      </c>
      <c r="G39" s="28">
        <f>IF(C39=0,"",(E39-C39)/ABS(C39)+1)</f>
        <v>0.21199619168517925</v>
      </c>
      <c r="H39" s="59">
        <v>9.9700000000000006</v>
      </c>
      <c r="I39" s="28">
        <f>+H39/$H$20</f>
        <v>8.6164951001786391E-4</v>
      </c>
      <c r="J39" s="28">
        <f>IF(H39=0,"",(E39-H39)/ABS(H39))</f>
        <v>0.34002006018054148</v>
      </c>
      <c r="K39" s="59">
        <v>630.20000000000005</v>
      </c>
      <c r="L39" s="28">
        <f>+K39/$K$20</f>
        <v>6.8187250282589736E-3</v>
      </c>
      <c r="M39" s="59">
        <v>115.14</v>
      </c>
      <c r="N39" s="28">
        <f>+M39/$M$20</f>
        <v>1.4259559905446511E-3</v>
      </c>
      <c r="O39" s="28">
        <f>IF(K39=0,"",(M39-K39)/ABS(K39)+1)</f>
        <v>0.18270390352269117</v>
      </c>
      <c r="P39" s="59">
        <v>202.62</v>
      </c>
      <c r="Q39" s="28">
        <f>+P39/$P$20</f>
        <v>2.2602457333985386E-3</v>
      </c>
      <c r="R39" s="28">
        <f>IF(P39=0,"",(M39-P39)/ABS(P39))</f>
        <v>-0.43174415161385848</v>
      </c>
      <c r="S39" s="28"/>
      <c r="T39" s="55"/>
      <c r="U39" s="125" t="s">
        <v>99</v>
      </c>
      <c r="V39" s="126">
        <f>+'VENEZUELA USD'!W24</f>
        <v>0</v>
      </c>
      <c r="W39" s="126">
        <f>+'VENEZUELA USD'!Y24</f>
        <v>0</v>
      </c>
      <c r="X39" s="125"/>
      <c r="Y39" s="125"/>
      <c r="Z39" s="125"/>
      <c r="AA39" s="125"/>
      <c r="AB39" s="125"/>
      <c r="AC39" s="125"/>
      <c r="AD39" s="125"/>
    </row>
    <row r="40" spans="1:30" x14ac:dyDescent="0.2">
      <c r="J40" s="28"/>
      <c r="R40" s="28"/>
      <c r="S40" s="28"/>
      <c r="U40" s="125" t="s">
        <v>100</v>
      </c>
      <c r="V40" s="126">
        <f>+'PANAMA USD'!U30</f>
        <v>4900.67</v>
      </c>
      <c r="W40" s="126">
        <f>+'PANAMA USD'!V30</f>
        <v>4900.67</v>
      </c>
      <c r="X40" s="125"/>
      <c r="Y40" s="125"/>
      <c r="Z40" s="125"/>
      <c r="AA40" s="125"/>
      <c r="AB40" s="125"/>
      <c r="AC40" s="125"/>
      <c r="AD40" s="125"/>
    </row>
    <row r="41" spans="1:30" x14ac:dyDescent="0.2">
      <c r="B41" s="3" t="s">
        <v>43</v>
      </c>
      <c r="C41" s="59">
        <f>C36+C38-C39</f>
        <v>1120.2799999999972</v>
      </c>
      <c r="D41" s="28">
        <f>+C41/$C$20</f>
        <v>0.1140155185188198</v>
      </c>
      <c r="E41" s="59">
        <f>E36+E38-E39</f>
        <v>533.87999999999977</v>
      </c>
      <c r="F41" s="28">
        <f>+E41/$E$20</f>
        <v>7.0110928863435465E-2</v>
      </c>
      <c r="G41" s="28">
        <f>IF(C41=0,"",(E41-C41)/ABS(C41)+1)</f>
        <v>0.4765594315706797</v>
      </c>
      <c r="H41" s="59">
        <f>H36+H38-H39</f>
        <v>3347.53</v>
      </c>
      <c r="I41" s="28">
        <f>+H41/$H$20</f>
        <v>0.28930768147142427</v>
      </c>
      <c r="J41" s="28">
        <f>IF(H41=0,"",(E41-H41)/ABS(H41))</f>
        <v>-0.84051524556912127</v>
      </c>
      <c r="K41" s="59">
        <f>K36+K38-K39</f>
        <v>3423.0600000000031</v>
      </c>
      <c r="L41" s="28">
        <f>+K41/$K$20</f>
        <v>3.7037297517029805E-2</v>
      </c>
      <c r="M41" s="59">
        <f>M36+M38-M39</f>
        <v>3447.9499999999966</v>
      </c>
      <c r="N41" s="28">
        <f>+M41/$M$20</f>
        <v>4.2701276338356998E-2</v>
      </c>
      <c r="O41" s="28">
        <f>IF(K41=0,"",(M41-K41)/ABS(K41)+1)</f>
        <v>1.0072712719029153</v>
      </c>
      <c r="P41" s="59">
        <f>P36+P38-P39</f>
        <v>9604.0099999999948</v>
      </c>
      <c r="Q41" s="28">
        <f>+P41/$P$20</f>
        <v>0.1071336621558429</v>
      </c>
      <c r="R41" s="28">
        <f>IF(P41=0,"",(M41-P41)/ABS(P41))</f>
        <v>-0.6409885037604085</v>
      </c>
      <c r="S41" s="28"/>
      <c r="T41" s="55"/>
      <c r="U41" s="125" t="s">
        <v>101</v>
      </c>
      <c r="V41" s="126">
        <f>SUM(V38:V40)</f>
        <v>13695.744918077778</v>
      </c>
      <c r="W41" s="126">
        <f>SUM(W38:W40)</f>
        <v>17067.22</v>
      </c>
      <c r="X41" s="125" t="s">
        <v>102</v>
      </c>
      <c r="Y41" s="125"/>
      <c r="Z41" s="125"/>
      <c r="AA41" s="125"/>
      <c r="AB41" s="125"/>
      <c r="AC41" s="125"/>
      <c r="AD41" s="125"/>
    </row>
    <row r="42" spans="1:30" x14ac:dyDescent="0.2">
      <c r="A42" s="87"/>
      <c r="B42" s="3" t="s">
        <v>29</v>
      </c>
      <c r="C42" s="59">
        <v>366.19</v>
      </c>
      <c r="D42" s="28">
        <f>+C42/$C$20</f>
        <v>3.7268667410296288E-2</v>
      </c>
      <c r="E42" s="59">
        <v>133.47</v>
      </c>
      <c r="F42" s="28">
        <f>+E42/$E$20</f>
        <v>1.7527732215858873E-2</v>
      </c>
      <c r="G42" s="28">
        <f>IF(C42=0,"",(E42-C42)/ABS(C42)+1)</f>
        <v>0.36448291870340532</v>
      </c>
      <c r="H42" s="59">
        <v>836.88</v>
      </c>
      <c r="I42" s="28">
        <f>+H42/$H$20</f>
        <v>7.2326704307296888E-2</v>
      </c>
      <c r="J42" s="28">
        <f>IF(H42=0,"",(E42-H42)/ABS(H42))</f>
        <v>-0.84051476914252932</v>
      </c>
      <c r="K42" s="59">
        <v>966.88</v>
      </c>
      <c r="L42" s="28">
        <f>+K42/$K$20</f>
        <v>1.0461581807875335E-2</v>
      </c>
      <c r="M42" s="59">
        <v>839.78</v>
      </c>
      <c r="N42" s="28">
        <f>+M42/$M$20</f>
        <v>1.040028940194187E-2</v>
      </c>
      <c r="O42" s="28">
        <f>IF(K42=0,"",(M42-K42)/ABS(K42)+1)</f>
        <v>0.86854625186165813</v>
      </c>
      <c r="P42" s="59">
        <v>2827.44</v>
      </c>
      <c r="Q42" s="28">
        <f>+P42/$P$20</f>
        <v>3.1540367172245405E-2</v>
      </c>
      <c r="R42" s="28">
        <f>IF(P42=0,"",(M42-P42)/ABS(P42))</f>
        <v>-0.70298927651868826</v>
      </c>
      <c r="S42" s="28"/>
      <c r="T42" s="55"/>
      <c r="U42" s="125" t="s">
        <v>103</v>
      </c>
      <c r="V42" s="126">
        <f>+V41-V39</f>
        <v>13695.744918077778</v>
      </c>
      <c r="W42" s="126">
        <f>+W41-W39</f>
        <v>17067.22</v>
      </c>
      <c r="X42" s="129">
        <f>+W42/V42</f>
        <v>1.24616952944794</v>
      </c>
      <c r="Y42" s="125"/>
      <c r="Z42" s="125"/>
      <c r="AA42" s="125"/>
      <c r="AB42" s="125"/>
      <c r="AC42" s="125"/>
      <c r="AD42" s="125"/>
    </row>
    <row r="43" spans="1:30" x14ac:dyDescent="0.2">
      <c r="B43" s="17" t="s">
        <v>44</v>
      </c>
      <c r="C43" s="63">
        <f>C41-C42</f>
        <v>754.08999999999719</v>
      </c>
      <c r="D43" s="36">
        <f>+C43/$C$20</f>
        <v>7.6746851108523514E-2</v>
      </c>
      <c r="E43" s="63">
        <f>E41-E42</f>
        <v>400.40999999999974</v>
      </c>
      <c r="F43" s="36">
        <f>+E43/$E$20</f>
        <v>5.2583196647576588E-2</v>
      </c>
      <c r="G43" s="36">
        <f>IF(C43=0,"",(E43-C43)/ABS(C43)+1)</f>
        <v>0.53098436526144255</v>
      </c>
      <c r="H43" s="63">
        <f>H41-H42</f>
        <v>2510.65</v>
      </c>
      <c r="I43" s="36">
        <f>+H43/$H$20</f>
        <v>0.2169809771641274</v>
      </c>
      <c r="J43" s="36">
        <f>IF(H43=0,"",(E43-H43)/ABS(H43))</f>
        <v>-0.8405154043773525</v>
      </c>
      <c r="K43" s="63">
        <f>K41-K42</f>
        <v>2456.180000000003</v>
      </c>
      <c r="L43" s="36">
        <f>+K43/$K$20</f>
        <v>2.6575715709154468E-2</v>
      </c>
      <c r="M43" s="63">
        <f>M41-M42</f>
        <v>2608.1699999999964</v>
      </c>
      <c r="N43" s="36">
        <f>+M43/$M$20</f>
        <v>3.2300986936415123E-2</v>
      </c>
      <c r="O43" s="36">
        <f>IF(K43=0,"",(M43-K43)/ABS(K43)+1)</f>
        <v>1.0618806439267452</v>
      </c>
      <c r="P43" s="63">
        <f>P41-P42</f>
        <v>6776.5699999999943</v>
      </c>
      <c r="Q43" s="36">
        <f>+P43/$P$20</f>
        <v>7.5593294983597487E-2</v>
      </c>
      <c r="R43" s="36">
        <f>IF(P43=0,"",(M43-P43)/ABS(P43))</f>
        <v>-0.61511944833448207</v>
      </c>
      <c r="S43" s="36"/>
      <c r="T43" s="5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</row>
    <row r="44" spans="1:30" x14ac:dyDescent="0.2">
      <c r="J44" s="28"/>
      <c r="R44" s="28"/>
      <c r="S44" s="28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</row>
    <row r="45" spans="1:30" x14ac:dyDescent="0.2">
      <c r="A45" s="87"/>
      <c r="B45" s="3" t="s">
        <v>45</v>
      </c>
      <c r="C45" s="59">
        <v>1641.3199999999972</v>
      </c>
      <c r="D45" s="28">
        <f>+C45/$C$20</f>
        <v>0.16704390942916902</v>
      </c>
      <c r="E45" s="59">
        <v>889.4699999999998</v>
      </c>
      <c r="F45" s="28">
        <f>+E45/$E$20</f>
        <v>0.11680821138862658</v>
      </c>
      <c r="G45" s="28">
        <f>IF(C45=0,"",(E45-C45)/ABS(C45)+1)</f>
        <v>0.54192357370896671</v>
      </c>
      <c r="H45" s="59">
        <v>3727.4</v>
      </c>
      <c r="I45" s="28">
        <f>+H45/$H$20</f>
        <v>0.32213765131801264</v>
      </c>
      <c r="J45" s="28">
        <f>IF(H45=0,"",(E45-H45)/ABS(H45))</f>
        <v>-0.76136985566346516</v>
      </c>
      <c r="K45" s="59">
        <v>8633.4600000000028</v>
      </c>
      <c r="L45" s="28">
        <f>+K45/$K$20</f>
        <v>9.3413503304463241E-2</v>
      </c>
      <c r="M45" s="59">
        <v>6879.8699999999972</v>
      </c>
      <c r="N45" s="28">
        <f>+M45/$M$20</f>
        <v>8.5204028492864542E-2</v>
      </c>
      <c r="O45" s="28">
        <f>IF(K45=0,"",(M45-K45)/ABS(K45)+1)</f>
        <v>0.79688444725521346</v>
      </c>
      <c r="P45" s="59">
        <v>13100.519999999997</v>
      </c>
      <c r="Q45" s="28">
        <f>+P45/$P$20</f>
        <v>0.1461375700093881</v>
      </c>
      <c r="R45" s="28">
        <f>IF(P45=0,"",(M45-P45)/ABS(P45))</f>
        <v>-0.4748399300180452</v>
      </c>
      <c r="S45" s="28"/>
      <c r="T45" s="55"/>
    </row>
    <row r="46" spans="1:30" x14ac:dyDescent="0.2">
      <c r="B46" s="3" t="s">
        <v>20</v>
      </c>
      <c r="C46" s="59">
        <v>6346.89</v>
      </c>
      <c r="D46" s="28">
        <f>+C46/$C$20</f>
        <v>0.64594918621408404</v>
      </c>
      <c r="E46" s="59">
        <v>5504.81</v>
      </c>
      <c r="F46" s="28">
        <f>+E46/$E$20</f>
        <v>0.72291028380296773</v>
      </c>
      <c r="G46" s="28">
        <f>IF(C46=0,"",(E46-C46)/ABS(C46)+1)</f>
        <v>0.86732399647701475</v>
      </c>
      <c r="H46" s="59">
        <v>4074.85</v>
      </c>
      <c r="I46" s="28">
        <f>+H46/$H$20</f>
        <v>0.35216574783312865</v>
      </c>
      <c r="J46" s="28">
        <f>IF(H46=0,"",(E46-H46)/ABS(H46))</f>
        <v>0.3509233468716641</v>
      </c>
      <c r="K46" s="59">
        <v>62268.9</v>
      </c>
      <c r="L46" s="28">
        <f>+K46/$K$20</f>
        <v>0.67374564727412756</v>
      </c>
      <c r="M46" s="59">
        <v>55221.71</v>
      </c>
      <c r="N46" s="28">
        <f>+M46/$M$20</f>
        <v>0.68389550271512467</v>
      </c>
      <c r="O46" s="28">
        <f>IF(K46=0,"",(M46-K46)/ABS(K46)+1)</f>
        <v>0.88682648962804866</v>
      </c>
      <c r="P46" s="59">
        <v>54711.11</v>
      </c>
      <c r="Q46" s="28">
        <f>+P46/$P$20</f>
        <v>0.61030773342709566</v>
      </c>
      <c r="R46" s="28">
        <f>IF(P46=0,"",(M46-P46)/ABS(P46))</f>
        <v>9.3326565664633484E-3</v>
      </c>
      <c r="S46" s="28"/>
    </row>
    <row r="47" spans="1:30" x14ac:dyDescent="0.2">
      <c r="B47" s="3"/>
      <c r="C47" s="2" t="s">
        <v>47</v>
      </c>
      <c r="E47" s="2" t="s">
        <v>47</v>
      </c>
      <c r="H47" s="2" t="s">
        <v>46</v>
      </c>
      <c r="K47" s="2" t="s">
        <v>47</v>
      </c>
      <c r="M47" s="2" t="s">
        <v>47</v>
      </c>
      <c r="P47" s="2" t="s">
        <v>46</v>
      </c>
    </row>
    <row r="49" spans="2:19" x14ac:dyDescent="0.2">
      <c r="M49" s="47"/>
    </row>
    <row r="50" spans="2:19" x14ac:dyDescent="0.2"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</row>
    <row r="51" spans="2:19" x14ac:dyDescent="0.2"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</row>
    <row r="52" spans="2:19" x14ac:dyDescent="0.2"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</row>
    <row r="53" spans="2:19" x14ac:dyDescent="0.2"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</row>
    <row r="54" spans="2:19" x14ac:dyDescent="0.2"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</row>
    <row r="55" spans="2:19" x14ac:dyDescent="0.2">
      <c r="B55" s="125"/>
      <c r="C55" s="125"/>
      <c r="D55" s="125"/>
      <c r="E55" s="125"/>
      <c r="F55" s="125"/>
      <c r="G55" s="125"/>
      <c r="H55" s="126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</row>
    <row r="56" spans="2:19" x14ac:dyDescent="0.2">
      <c r="B56" s="125" t="s">
        <v>104</v>
      </c>
      <c r="C56" s="126" t="s">
        <v>105</v>
      </c>
      <c r="D56" s="125"/>
      <c r="E56" s="126" t="s">
        <v>106</v>
      </c>
      <c r="F56" s="125"/>
      <c r="G56" s="125"/>
      <c r="H56" s="125"/>
      <c r="I56" s="125"/>
      <c r="J56" s="125"/>
      <c r="K56" s="125"/>
      <c r="L56" s="125"/>
      <c r="M56" s="125"/>
      <c r="N56" s="126" t="s">
        <v>107</v>
      </c>
      <c r="O56" s="125"/>
      <c r="P56" s="125"/>
      <c r="Q56" s="125"/>
      <c r="R56" s="126" t="s">
        <v>108</v>
      </c>
      <c r="S56" s="126"/>
    </row>
    <row r="57" spans="2:19" x14ac:dyDescent="0.2">
      <c r="B57" s="125" t="s">
        <v>98</v>
      </c>
      <c r="C57" s="126">
        <f>+C36</f>
        <v>1182.5399999999972</v>
      </c>
      <c r="D57" s="125"/>
      <c r="E57" s="126">
        <f>+E36</f>
        <v>547.23999999999978</v>
      </c>
      <c r="F57" s="125"/>
      <c r="G57" s="125"/>
      <c r="H57" s="125"/>
      <c r="I57" s="125"/>
      <c r="J57" s="125"/>
      <c r="K57" s="125"/>
      <c r="L57" s="125"/>
      <c r="M57" s="125"/>
      <c r="N57" s="126">
        <f>+K36</f>
        <v>4045.6600000000035</v>
      </c>
      <c r="O57" s="125"/>
      <c r="P57" s="125"/>
      <c r="Q57" s="125"/>
      <c r="R57" s="126">
        <f>+M36</f>
        <v>3413.0899999999965</v>
      </c>
      <c r="S57" s="126"/>
    </row>
    <row r="58" spans="2:19" x14ac:dyDescent="0.2">
      <c r="B58" s="125" t="s">
        <v>109</v>
      </c>
      <c r="C58" s="126">
        <f>+'VENEZUELA USD'!C36</f>
        <v>0</v>
      </c>
      <c r="D58" s="125"/>
      <c r="E58" s="126">
        <f>+'VENEZUELA USD'!E36</f>
        <v>2208.8722651933708</v>
      </c>
      <c r="F58" s="125"/>
      <c r="G58" s="125"/>
      <c r="H58" s="125"/>
      <c r="I58" s="125"/>
      <c r="J58" s="125"/>
      <c r="K58" s="125"/>
      <c r="L58" s="125"/>
      <c r="M58" s="125"/>
      <c r="N58" s="126">
        <f>+'VENEZUELA USD'!K36</f>
        <v>0</v>
      </c>
      <c r="O58" s="125"/>
      <c r="P58" s="125"/>
      <c r="Q58" s="125"/>
      <c r="R58" s="126" t="str">
        <f>+'VENEZUELA USD'!O36</f>
        <v/>
      </c>
      <c r="S58" s="126"/>
    </row>
    <row r="59" spans="2:19" x14ac:dyDescent="0.2">
      <c r="B59" s="125" t="s">
        <v>110</v>
      </c>
      <c r="C59" s="126">
        <f>+'PANAMA USD'!C36</f>
        <v>-250</v>
      </c>
      <c r="D59" s="125"/>
      <c r="E59" s="126">
        <f>+'PANAMA USD'!E36</f>
        <v>-250</v>
      </c>
      <c r="F59" s="125"/>
      <c r="G59" s="125"/>
      <c r="H59" s="125"/>
      <c r="I59" s="125"/>
      <c r="J59" s="125"/>
      <c r="K59" s="125"/>
      <c r="L59" s="125"/>
      <c r="M59" s="125"/>
      <c r="N59" s="126">
        <f>+'PANAMA USD'!K36</f>
        <v>0</v>
      </c>
      <c r="O59" s="125"/>
      <c r="P59" s="125"/>
      <c r="Q59" s="125"/>
      <c r="R59" s="126">
        <f>+'PANAMA USD'!M36</f>
        <v>-4045</v>
      </c>
      <c r="S59" s="126"/>
    </row>
    <row r="60" spans="2:19" x14ac:dyDescent="0.2">
      <c r="B60" s="125" t="s">
        <v>111</v>
      </c>
      <c r="C60" s="126">
        <f>SUM(C57:C59)</f>
        <v>932.53999999999724</v>
      </c>
      <c r="D60" s="125"/>
      <c r="E60" s="126">
        <f>SUM(E57:E59)</f>
        <v>2506.1122651933706</v>
      </c>
      <c r="F60" s="125"/>
      <c r="G60" s="125"/>
      <c r="H60" s="125"/>
      <c r="I60" s="125"/>
      <c r="J60" s="125"/>
      <c r="K60" s="125"/>
      <c r="L60" s="125"/>
      <c r="M60" s="125"/>
      <c r="N60" s="126">
        <f>SUM(N57:N59)</f>
        <v>4045.6600000000035</v>
      </c>
      <c r="O60" s="125"/>
      <c r="P60" s="125"/>
      <c r="Q60" s="125"/>
      <c r="R60" s="126">
        <f>SUM(R57:R59)</f>
        <v>-631.91000000000349</v>
      </c>
      <c r="S60" s="126"/>
    </row>
    <row r="61" spans="2:19" x14ac:dyDescent="0.2">
      <c r="B61" s="125" t="s">
        <v>112</v>
      </c>
      <c r="C61" s="126">
        <f>+C60-C58</f>
        <v>932.53999999999724</v>
      </c>
      <c r="D61" s="125"/>
      <c r="E61" s="126">
        <f>+E60-E58</f>
        <v>297.23999999999978</v>
      </c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25"/>
    </row>
    <row r="62" spans="2:19" x14ac:dyDescent="0.2">
      <c r="B62" s="130" t="s">
        <v>113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</row>
    <row r="63" spans="2:19" x14ac:dyDescent="0.2">
      <c r="B63" s="125" t="s">
        <v>98</v>
      </c>
      <c r="C63" s="126">
        <f>+C43</f>
        <v>754.08999999999719</v>
      </c>
      <c r="D63" s="125"/>
      <c r="E63" s="126">
        <f>+E43</f>
        <v>400.40999999999974</v>
      </c>
      <c r="F63" s="125"/>
      <c r="G63" s="125"/>
      <c r="H63" s="125"/>
      <c r="I63" s="125"/>
      <c r="J63" s="125"/>
      <c r="K63" s="125">
        <f>+E63/C63</f>
        <v>0.53098436526144255</v>
      </c>
      <c r="L63" s="125"/>
      <c r="M63" s="125"/>
      <c r="N63" s="125"/>
      <c r="O63" s="125"/>
      <c r="P63" s="125"/>
      <c r="Q63" s="125"/>
      <c r="R63" s="125"/>
      <c r="S63" s="125"/>
    </row>
    <row r="64" spans="2:19" x14ac:dyDescent="0.2">
      <c r="B64" s="125" t="s">
        <v>114</v>
      </c>
      <c r="C64" s="126">
        <f>+'VENEZUELA USD'!C43</f>
        <v>0</v>
      </c>
      <c r="D64" s="125"/>
      <c r="E64" s="126">
        <f>+'VENEZUELA USD'!E43</f>
        <v>-256.17414364640763</v>
      </c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</row>
    <row r="65" spans="2:19" x14ac:dyDescent="0.2">
      <c r="B65" s="125" t="s">
        <v>110</v>
      </c>
      <c r="C65" s="126">
        <f>+'PANAMA USD'!C43</f>
        <v>-837</v>
      </c>
      <c r="D65" s="125"/>
      <c r="E65" s="126">
        <f>+'PANAMA USD'!E43</f>
        <v>-837</v>
      </c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</row>
    <row r="66" spans="2:19" x14ac:dyDescent="0.2">
      <c r="B66" s="125" t="s">
        <v>115</v>
      </c>
      <c r="C66" s="126">
        <f>SUM(C63:C65)</f>
        <v>-82.91000000000281</v>
      </c>
      <c r="D66" s="125"/>
      <c r="E66" s="126">
        <f>SUM(E63:E65)</f>
        <v>-692.76414364640789</v>
      </c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</row>
    <row r="67" spans="2:19" x14ac:dyDescent="0.2">
      <c r="B67" s="125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</row>
    <row r="68" spans="2:19" x14ac:dyDescent="0.2">
      <c r="B68" s="130" t="s">
        <v>116</v>
      </c>
      <c r="C68" s="131">
        <f>+C63+C65</f>
        <v>-82.91000000000281</v>
      </c>
      <c r="D68" s="130"/>
      <c r="E68" s="131">
        <f>+E63+E65</f>
        <v>-436.59000000000026</v>
      </c>
      <c r="F68" s="128">
        <f>+E68/C68</f>
        <v>5.2658304185259377</v>
      </c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</row>
    <row r="69" spans="2:19" x14ac:dyDescent="0.2">
      <c r="B69" s="125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R69" s="125"/>
      <c r="S69" s="125"/>
    </row>
    <row r="70" spans="2:19" x14ac:dyDescent="0.2">
      <c r="B70" s="125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R70" s="125"/>
      <c r="S70" s="125"/>
    </row>
    <row r="71" spans="2:19" x14ac:dyDescent="0.2">
      <c r="B71" s="125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</row>
    <row r="72" spans="2:19" x14ac:dyDescent="0.2">
      <c r="B72" s="125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</row>
    <row r="73" spans="2:19" x14ac:dyDescent="0.2">
      <c r="B73" s="125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R73" s="125"/>
      <c r="S73" s="125"/>
    </row>
  </sheetData>
  <conditionalFormatting sqref="R10:S46">
    <cfRule type="cellIs" dxfId="60" priority="3" operator="lessThan">
      <formula>0</formula>
    </cfRule>
  </conditionalFormatting>
  <conditionalFormatting sqref="J10:J46">
    <cfRule type="cellIs" dxfId="59" priority="2" operator="lessThan">
      <formula>0</formula>
    </cfRule>
  </conditionalFormatting>
  <conditionalFormatting sqref="AD19:AD28 AD30 AD10:AD11 AD13:AD17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48FB-6F7F-4A86-AB32-806C4C2D0261}">
  <sheetPr>
    <tabColor theme="0" tint="-0.14999847407452621"/>
  </sheetPr>
  <dimension ref="A1:AH48"/>
  <sheetViews>
    <sheetView showGridLines="0" zoomScale="98" zoomScaleNormal="98" workbookViewId="0">
      <selection activeCell="O6" sqref="O6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6.42578125" style="2" bestFit="1" customWidth="1"/>
    <col min="19" max="19" width="14.140625" style="55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46" customFormat="1" ht="19.5" customHeight="1" x14ac:dyDescent="0.2">
      <c r="B1" s="41"/>
      <c r="S1" s="55"/>
    </row>
    <row r="2" spans="1:34" ht="13.5" customHeight="1" x14ac:dyDescent="0.2">
      <c r="A2" s="46"/>
      <c r="X2" s="46"/>
      <c r="Y2" s="46"/>
    </row>
    <row r="3" spans="1:34" ht="25.5" customHeight="1" x14ac:dyDescent="0.25">
      <c r="B3" s="13" t="s">
        <v>117</v>
      </c>
      <c r="T3" s="15" t="s">
        <v>117</v>
      </c>
    </row>
    <row r="4" spans="1:34" x14ac:dyDescent="0.2">
      <c r="B4" s="3" t="s">
        <v>92</v>
      </c>
      <c r="C4" s="84"/>
      <c r="S4" s="88"/>
      <c r="T4" s="3" t="s">
        <v>6</v>
      </c>
    </row>
    <row r="5" spans="1:34" ht="15.75" customHeight="1" thickBot="1" x14ac:dyDescent="0.25">
      <c r="B5" s="3" t="s">
        <v>118</v>
      </c>
      <c r="T5" s="3" t="s">
        <v>118</v>
      </c>
      <c r="X5" s="18" t="s">
        <v>8</v>
      </c>
      <c r="Y5" s="18"/>
      <c r="Z5" s="18"/>
      <c r="AA5" s="18"/>
      <c r="AB5" s="18"/>
      <c r="AC5" s="18"/>
      <c r="AD5" s="2" t="s">
        <v>93</v>
      </c>
    </row>
    <row r="6" spans="1:34" ht="13.5" thickBot="1" x14ac:dyDescent="0.25">
      <c r="B6" s="72" t="str">
        <f>+'COL. CONS.$'!B6</f>
        <v>OCTUBRE de 2022</v>
      </c>
      <c r="K6" s="89" t="s">
        <v>8</v>
      </c>
      <c r="L6" s="89"/>
      <c r="M6" s="89"/>
      <c r="N6" s="89"/>
      <c r="O6" s="89"/>
      <c r="P6" s="89"/>
      <c r="Q6" s="89"/>
      <c r="R6" s="89"/>
      <c r="T6" s="17" t="str">
        <f>+B6</f>
        <v>OCTUBRE de 2022</v>
      </c>
      <c r="Z6" s="2" t="s">
        <v>11</v>
      </c>
      <c r="AA6" s="2" t="s">
        <v>9</v>
      </c>
      <c r="AC6" s="2" t="s">
        <v>10</v>
      </c>
      <c r="AD6" s="2" t="s">
        <v>50</v>
      </c>
      <c r="AE6" s="2" t="s">
        <v>119</v>
      </c>
      <c r="AF6" s="2" t="s">
        <v>94</v>
      </c>
    </row>
    <row r="7" spans="1:34" x14ac:dyDescent="0.2">
      <c r="C7" s="53" t="str">
        <f>+'COL. CONS.$'!C7:C7</f>
        <v>Ppto 2022</v>
      </c>
      <c r="D7" s="53"/>
      <c r="E7" s="53" t="s">
        <v>51</v>
      </c>
      <c r="F7" s="53"/>
      <c r="G7" s="53" t="s">
        <v>9</v>
      </c>
      <c r="H7" s="53" t="s">
        <v>52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60"/>
      <c r="AE7" s="60"/>
      <c r="AG7" s="60"/>
    </row>
    <row r="8" spans="1:34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60"/>
      <c r="AE8" s="60"/>
      <c r="AG8" s="60"/>
      <c r="AH8" s="60"/>
    </row>
    <row r="9" spans="1:34" x14ac:dyDescent="0.2">
      <c r="AD9" s="60"/>
      <c r="AE9" s="60"/>
      <c r="AG9" s="60"/>
      <c r="AH9" s="60"/>
    </row>
    <row r="10" spans="1:34" x14ac:dyDescent="0.2">
      <c r="B10" s="3" t="str">
        <f>+'COLOMB$ '!B10</f>
        <v>Musical Experience  (Ambiental)</v>
      </c>
      <c r="C10" s="59"/>
      <c r="D10" s="61" t="str">
        <f t="shared" ref="D10:D20" si="0">IF($C$20=0," ",C10/$C$20)</f>
        <v xml:space="preserve"> </v>
      </c>
      <c r="E10" s="59">
        <v>26628</v>
      </c>
      <c r="F10" s="61">
        <f t="shared" ref="F10:F15" si="1">+E10/$E$20</f>
        <v>0.57890983720606648</v>
      </c>
      <c r="G10" s="61" t="str">
        <f t="shared" ref="G10:G15" si="2">IF(C10=0,"",(E10-C10)/ABS(C10)+1)</f>
        <v/>
      </c>
      <c r="H10" s="59">
        <v>6642</v>
      </c>
      <c r="I10" s="61">
        <f t="shared" ref="I10:I15" si="3">+H10/$H$20</f>
        <v>0.57496636940160906</v>
      </c>
      <c r="J10" s="61">
        <f t="shared" ref="J10:J15" si="4">IF(H10=0,"",(E10-H10)/ABS(H10))</f>
        <v>3.00903342366757</v>
      </c>
      <c r="K10" s="59"/>
      <c r="L10" s="61" t="str">
        <f t="shared" ref="L10:L20" si="5">IF($K$20=0," ",K10/$K$20)</f>
        <v xml:space="preserve"> </v>
      </c>
      <c r="M10" s="59">
        <v>147756</v>
      </c>
      <c r="N10" s="61">
        <f t="shared" ref="N10:N15" si="6">+M10/$M$20</f>
        <v>0.44302819769715057</v>
      </c>
      <c r="O10" s="61" t="str">
        <f>IF(K10=0,"",(M10-K10)/ABS(K10)+1)</f>
        <v/>
      </c>
      <c r="P10" s="59">
        <v>33095</v>
      </c>
      <c r="Q10" s="61">
        <f t="shared" ref="Q10:Q15" si="7">+P10/$P$20</f>
        <v>0.53416594617822555</v>
      </c>
      <c r="R10" s="61">
        <f t="shared" ref="R10:R15" si="8">IF(P10=0,"",(M10-P10)/ABS(P10))</f>
        <v>3.4646019036108173</v>
      </c>
      <c r="T10" s="3" t="s">
        <v>16</v>
      </c>
      <c r="U10" s="59">
        <v>236652</v>
      </c>
      <c r="V10" s="59">
        <v>58133</v>
      </c>
      <c r="W10" s="59">
        <v>1710</v>
      </c>
      <c r="X10" s="59">
        <v>236652</v>
      </c>
      <c r="Y10" s="59">
        <v>14767</v>
      </c>
      <c r="Z10" s="55">
        <f>+Y10-X10</f>
        <v>-221885</v>
      </c>
      <c r="AA10" s="61">
        <f>IF(X10=0,"",(Y10-X10)/ABS(X10)+1)</f>
        <v>6.2399641667934325E-2</v>
      </c>
      <c r="AB10" s="59">
        <v>459</v>
      </c>
      <c r="AC10" s="61">
        <f>IF(W10=0,"",(Y10-AB10)/ABS(AB10))</f>
        <v>31.17211328976035</v>
      </c>
      <c r="AD10" s="60"/>
      <c r="AE10" s="60"/>
      <c r="AF10" s="60">
        <v>14767</v>
      </c>
      <c r="AG10" s="60"/>
      <c r="AH10" s="60"/>
    </row>
    <row r="11" spans="1:34" ht="13.5" customHeight="1" x14ac:dyDescent="0.2">
      <c r="B11" s="3" t="str">
        <f>+'COLOMB$ '!B11</f>
        <v>Instalaciones</v>
      </c>
      <c r="C11" s="59"/>
      <c r="D11" s="61" t="str">
        <f t="shared" si="0"/>
        <v xml:space="preserve"> </v>
      </c>
      <c r="E11" s="59">
        <v>4848</v>
      </c>
      <c r="F11" s="61">
        <f t="shared" si="1"/>
        <v>0.10539863642688187</v>
      </c>
      <c r="G11" s="61" t="str">
        <f t="shared" si="2"/>
        <v/>
      </c>
      <c r="H11" s="59">
        <v>1223.8499999999999</v>
      </c>
      <c r="I11" s="61">
        <f t="shared" si="3"/>
        <v>0.10594287732492609</v>
      </c>
      <c r="J11" s="61">
        <f t="shared" si="4"/>
        <v>2.9612697634514036</v>
      </c>
      <c r="K11" s="59"/>
      <c r="L11" s="61" t="str">
        <f t="shared" si="5"/>
        <v xml:space="preserve"> </v>
      </c>
      <c r="M11" s="59">
        <v>32459.800000000003</v>
      </c>
      <c r="N11" s="61">
        <f t="shared" si="6"/>
        <v>9.7326718993543199E-2</v>
      </c>
      <c r="O11" s="61" t="str">
        <f>IF(K11=0,"",(M11-K11)/ABS(K11)+1)</f>
        <v/>
      </c>
      <c r="P11" s="59">
        <v>10010.431574100001</v>
      </c>
      <c r="Q11" s="61">
        <f t="shared" si="7"/>
        <v>0.16157219076692886</v>
      </c>
      <c r="R11" s="61">
        <f t="shared" si="8"/>
        <v>2.2425974604315035</v>
      </c>
      <c r="T11" s="3" t="s">
        <v>17</v>
      </c>
      <c r="U11" s="59"/>
      <c r="V11" s="59">
        <v>35458.54</v>
      </c>
      <c r="W11" s="59">
        <v>12040</v>
      </c>
      <c r="X11" s="59">
        <f>+AD8+U11</f>
        <v>0</v>
      </c>
      <c r="Y11" s="59">
        <f>+V11+AF11</f>
        <v>319802.87</v>
      </c>
      <c r="Z11" s="55">
        <f>+Y11-X11</f>
        <v>319802.87</v>
      </c>
      <c r="AA11" s="61" t="str">
        <f>IF(X11=0,"",(Y11-X11)/ABS(X11)+1)</f>
        <v/>
      </c>
      <c r="AB11" s="59">
        <v>53323</v>
      </c>
      <c r="AC11" s="61">
        <f>IF(AB11=0,"",(Y11-AB11)/ABS(AB11))</f>
        <v>4.9974658215029164</v>
      </c>
      <c r="AD11" s="60"/>
      <c r="AE11" s="60"/>
      <c r="AF11" s="60">
        <v>284344.33</v>
      </c>
      <c r="AG11" s="60"/>
      <c r="AH11" s="60"/>
    </row>
    <row r="12" spans="1:34" x14ac:dyDescent="0.2">
      <c r="B12" s="3" t="str">
        <f>+'COLOMB$ '!B12</f>
        <v>Voice Experience (Publihold)</v>
      </c>
      <c r="C12" s="59"/>
      <c r="D12" s="61" t="str">
        <f t="shared" si="0"/>
        <v xml:space="preserve"> </v>
      </c>
      <c r="E12" s="59">
        <v>7485.6</v>
      </c>
      <c r="F12" s="61">
        <f t="shared" si="1"/>
        <v>0.16274175594823986</v>
      </c>
      <c r="G12" s="61" t="str">
        <f t="shared" si="2"/>
        <v/>
      </c>
      <c r="H12" s="59">
        <v>1655.28</v>
      </c>
      <c r="I12" s="61">
        <f t="shared" si="3"/>
        <v>0.14328972176198365</v>
      </c>
      <c r="J12" s="61">
        <f t="shared" si="4"/>
        <v>3.5222560533565321</v>
      </c>
      <c r="K12" s="59"/>
      <c r="L12" s="61" t="str">
        <f t="shared" si="5"/>
        <v xml:space="preserve"> </v>
      </c>
      <c r="M12" s="59">
        <v>45289.649999999994</v>
      </c>
      <c r="N12" s="61">
        <f t="shared" si="6"/>
        <v>0.13579544664064236</v>
      </c>
      <c r="O12" s="61" t="str">
        <f>IF(K12=0,"",(M12-K12)/ABS(K12)+1)</f>
        <v/>
      </c>
      <c r="P12" s="59">
        <v>8103.9290509399989</v>
      </c>
      <c r="Q12" s="61">
        <f t="shared" si="7"/>
        <v>0.13080051153517369</v>
      </c>
      <c r="R12" s="61">
        <f t="shared" si="8"/>
        <v>4.5886039617716925</v>
      </c>
      <c r="AF12" s="60"/>
      <c r="AG12" s="60"/>
      <c r="AH12" s="60"/>
    </row>
    <row r="13" spans="1:34" x14ac:dyDescent="0.2">
      <c r="B13" s="3" t="str">
        <f>+'COLOMB$ '!B13</f>
        <v>Service &amp; Equipment Experience</v>
      </c>
      <c r="C13" s="59"/>
      <c r="D13" s="61" t="str">
        <f t="shared" si="0"/>
        <v xml:space="preserve"> </v>
      </c>
      <c r="E13" s="59">
        <v>98.4</v>
      </c>
      <c r="F13" s="61">
        <f t="shared" si="1"/>
        <v>2.1392792542089885E-3</v>
      </c>
      <c r="G13" s="61" t="str">
        <f t="shared" si="2"/>
        <v/>
      </c>
      <c r="H13" s="59">
        <v>0</v>
      </c>
      <c r="I13" s="61">
        <f t="shared" si="3"/>
        <v>0</v>
      </c>
      <c r="J13" s="61" t="str">
        <f t="shared" si="4"/>
        <v/>
      </c>
      <c r="K13" s="59"/>
      <c r="L13" s="61" t="str">
        <f t="shared" si="5"/>
        <v xml:space="preserve"> </v>
      </c>
      <c r="M13" s="59">
        <v>65017.07</v>
      </c>
      <c r="N13" s="61">
        <f t="shared" si="6"/>
        <v>0.1949456897970267</v>
      </c>
      <c r="O13" s="61" t="str">
        <f>IF(K13=0,"",(M13-K13)/ABS(K13)+1)</f>
        <v/>
      </c>
      <c r="P13" s="59">
        <v>928.56211400000007</v>
      </c>
      <c r="Q13" s="61">
        <f t="shared" si="7"/>
        <v>1.4987347339781337E-2</v>
      </c>
      <c r="R13" s="61">
        <f t="shared" si="8"/>
        <v>69.019085443755245</v>
      </c>
      <c r="T13" s="3" t="s">
        <v>18</v>
      </c>
      <c r="U13" s="59"/>
      <c r="V13" s="59"/>
      <c r="W13" s="59"/>
      <c r="X13" s="59">
        <f>+AD9+U13</f>
        <v>0</v>
      </c>
      <c r="Y13" s="59">
        <f>+V13+AF12</f>
        <v>0</v>
      </c>
      <c r="Z13" s="55">
        <f>+X13-Y13</f>
        <v>0</v>
      </c>
      <c r="AA13" s="61" t="str">
        <f>IF(X13=0,"",(Y13-X13)/ABS(X13)+1)</f>
        <v/>
      </c>
      <c r="AB13" s="59">
        <v>0</v>
      </c>
      <c r="AC13" s="61" t="str">
        <f>IF(AB13=0,"",(Y13-AB13)/ABS(AB13))</f>
        <v/>
      </c>
      <c r="AD13" s="60"/>
      <c r="AE13" s="60"/>
      <c r="AF13" s="2">
        <v>0</v>
      </c>
      <c r="AG13" s="60"/>
      <c r="AH13" s="60"/>
    </row>
    <row r="14" spans="1:34" x14ac:dyDescent="0.2">
      <c r="B14" s="3" t="str">
        <f>+'COLOMB$ '!B14</f>
        <v>POP Satelital</v>
      </c>
      <c r="C14" s="59"/>
      <c r="D14" s="61" t="str">
        <f t="shared" si="0"/>
        <v xml:space="preserve"> </v>
      </c>
      <c r="E14" s="59"/>
      <c r="F14" s="61">
        <f t="shared" si="1"/>
        <v>0</v>
      </c>
      <c r="G14" s="61" t="str">
        <f t="shared" si="2"/>
        <v/>
      </c>
      <c r="H14" s="59"/>
      <c r="I14" s="61">
        <f t="shared" si="3"/>
        <v>0</v>
      </c>
      <c r="J14" s="61" t="str">
        <f t="shared" si="4"/>
        <v/>
      </c>
      <c r="K14" s="59"/>
      <c r="L14" s="61" t="str">
        <f t="shared" si="5"/>
        <v xml:space="preserve"> </v>
      </c>
      <c r="M14" s="59"/>
      <c r="N14" s="61">
        <f t="shared" si="6"/>
        <v>0</v>
      </c>
      <c r="O14" s="61" t="str">
        <f>IF(K14=0,"",(M14-K14)/ABS(K14)+1)</f>
        <v/>
      </c>
      <c r="P14" s="59"/>
      <c r="Q14" s="61">
        <f t="shared" si="7"/>
        <v>0</v>
      </c>
      <c r="R14" s="61" t="str">
        <f t="shared" si="8"/>
        <v/>
      </c>
      <c r="T14" s="3" t="s">
        <v>19</v>
      </c>
      <c r="U14" s="59"/>
      <c r="V14" s="59">
        <v>0</v>
      </c>
      <c r="W14" s="59">
        <v>0</v>
      </c>
      <c r="X14" s="59">
        <f>+AD10+U14</f>
        <v>0</v>
      </c>
      <c r="Y14" s="59">
        <f>+V14+AF14</f>
        <v>0</v>
      </c>
      <c r="Z14" s="55">
        <f>+X14-Y14</f>
        <v>0</v>
      </c>
      <c r="AA14" s="61" t="str">
        <f>IF(X14=0,"",(Y14-X14)/ABS(X14)+1)</f>
        <v/>
      </c>
      <c r="AB14" s="59">
        <v>0</v>
      </c>
      <c r="AC14" s="61" t="str">
        <f>IF(AB14=0,"",(Y14-AB14)/ABS(AB14))</f>
        <v/>
      </c>
      <c r="AD14" s="60"/>
      <c r="AE14" s="60"/>
      <c r="AF14" s="60">
        <v>0</v>
      </c>
      <c r="AG14" s="60"/>
      <c r="AH14" s="60"/>
    </row>
    <row r="15" spans="1:34" x14ac:dyDescent="0.2">
      <c r="B15" s="3" t="str">
        <f>+'COLOMB$ '!B15</f>
        <v>Voice Experience (Audicóm)</v>
      </c>
      <c r="C15" s="59"/>
      <c r="D15" s="61" t="str">
        <f t="shared" si="0"/>
        <v xml:space="preserve"> </v>
      </c>
      <c r="E15" s="59">
        <v>6936.8</v>
      </c>
      <c r="F15" s="61">
        <f t="shared" si="1"/>
        <v>0.15081049116460274</v>
      </c>
      <c r="G15" s="61" t="str">
        <f t="shared" si="2"/>
        <v/>
      </c>
      <c r="H15" s="59">
        <v>2030.85</v>
      </c>
      <c r="I15" s="61">
        <f t="shared" si="3"/>
        <v>0.17580103151148113</v>
      </c>
      <c r="J15" s="61">
        <f t="shared" si="4"/>
        <v>2.415712632641505</v>
      </c>
      <c r="K15" s="59"/>
      <c r="L15" s="61" t="str">
        <f t="shared" si="5"/>
        <v xml:space="preserve"> </v>
      </c>
      <c r="M15" s="59">
        <v>42991.24</v>
      </c>
      <c r="N15" s="61">
        <f t="shared" si="6"/>
        <v>0.12890394687163734</v>
      </c>
      <c r="O15" s="61"/>
      <c r="P15" s="59">
        <v>9818.4790809999995</v>
      </c>
      <c r="Q15" s="61">
        <f t="shared" si="7"/>
        <v>0.15847400417989058</v>
      </c>
      <c r="R15" s="61">
        <f t="shared" si="8"/>
        <v>3.3786048374023117</v>
      </c>
      <c r="T15" s="3" t="s">
        <v>20</v>
      </c>
      <c r="U15" s="59"/>
      <c r="V15" s="59">
        <v>9360.69</v>
      </c>
      <c r="W15" s="59">
        <v>2429</v>
      </c>
      <c r="X15" s="59">
        <f>+AD11+U15</f>
        <v>0</v>
      </c>
      <c r="Y15" s="59">
        <f>+V15+AF15</f>
        <v>69106.91</v>
      </c>
      <c r="Z15" s="55">
        <f>+X15-Y15</f>
        <v>-69106.91</v>
      </c>
      <c r="AA15" s="61" t="str">
        <f>IF(X15=0,"",(Y15-X15)/ABS(X15)+1)</f>
        <v/>
      </c>
      <c r="AB15" s="59">
        <v>10228</v>
      </c>
      <c r="AC15" s="61">
        <f>IF(AB15=0,"",(Y15-AB15)/ABS(AB15))</f>
        <v>5.756639616738366</v>
      </c>
      <c r="AD15" s="60"/>
      <c r="AE15" s="60"/>
      <c r="AF15" s="60">
        <v>59746.22</v>
      </c>
      <c r="AG15" s="60"/>
      <c r="AH15" s="60"/>
    </row>
    <row r="16" spans="1:34" x14ac:dyDescent="0.2">
      <c r="B16" s="3" t="str">
        <f>+'COLOMB$ '!B16</f>
        <v>Fact. Servicio Satelital</v>
      </c>
      <c r="C16" s="59"/>
      <c r="D16" s="61" t="str">
        <f t="shared" si="0"/>
        <v xml:space="preserve"> </v>
      </c>
      <c r="E16" s="59"/>
      <c r="F16" s="61"/>
      <c r="G16" s="61"/>
      <c r="H16" s="59"/>
      <c r="I16" s="61"/>
      <c r="J16" s="61"/>
      <c r="K16" s="59"/>
      <c r="L16" s="61" t="str">
        <f t="shared" si="5"/>
        <v xml:space="preserve"> </v>
      </c>
      <c r="M16" s="59"/>
      <c r="N16" s="61"/>
      <c r="O16" s="61"/>
      <c r="P16" s="59"/>
      <c r="Q16" s="61"/>
      <c r="R16" s="61"/>
      <c r="T16" s="3" t="s">
        <v>21</v>
      </c>
      <c r="U16" s="59"/>
      <c r="V16" s="59">
        <v>11807.53</v>
      </c>
      <c r="W16" s="59">
        <v>6649</v>
      </c>
      <c r="X16" s="59">
        <f>+AD13+U16</f>
        <v>0</v>
      </c>
      <c r="Y16" s="59">
        <f>+V16+AF16</f>
        <v>159777</v>
      </c>
      <c r="Z16" s="55">
        <f>+X16-Y16</f>
        <v>-159777</v>
      </c>
      <c r="AA16" s="61" t="str">
        <f>IF(X16=0,"",(Y16-X16)/ABS(X16)+1)</f>
        <v/>
      </c>
      <c r="AB16" s="59">
        <v>33978</v>
      </c>
      <c r="AC16" s="61">
        <f>IF(AB16=0,"",(Y16-AB16)/ABS(AB16))</f>
        <v>3.7023662369768675</v>
      </c>
      <c r="AD16" s="60"/>
      <c r="AE16" s="60"/>
      <c r="AF16" s="60">
        <v>147969.47</v>
      </c>
      <c r="AG16" s="60"/>
      <c r="AH16" s="60"/>
    </row>
    <row r="17" spans="2:34" x14ac:dyDescent="0.2">
      <c r="B17" s="3" t="str">
        <f>+'COLOMB$ '!B17</f>
        <v>Visual Experience</v>
      </c>
      <c r="C17" s="59"/>
      <c r="D17" s="61" t="str">
        <f t="shared" si="0"/>
        <v xml:space="preserve"> </v>
      </c>
      <c r="E17" s="59"/>
      <c r="F17" s="61"/>
      <c r="G17" s="61"/>
      <c r="H17" s="59"/>
      <c r="I17" s="61"/>
      <c r="J17" s="61"/>
      <c r="K17" s="59"/>
      <c r="L17" s="61" t="str">
        <f t="shared" si="5"/>
        <v xml:space="preserve"> </v>
      </c>
      <c r="M17" s="59"/>
      <c r="N17" s="61"/>
      <c r="O17" s="61"/>
      <c r="P17" s="59"/>
      <c r="Q17" s="61"/>
      <c r="R17" s="61"/>
      <c r="T17" s="3" t="s">
        <v>22</v>
      </c>
      <c r="U17" s="59">
        <f t="shared" ref="U17:Y17" si="9">U13+U14+U15+U16</f>
        <v>0</v>
      </c>
      <c r="V17" s="59">
        <f>V13+V14+V15+V16</f>
        <v>21168.22</v>
      </c>
      <c r="W17" s="59">
        <f>W13+W14+W15+W16</f>
        <v>9078</v>
      </c>
      <c r="X17" s="59">
        <f>X13+X14+X15+X16</f>
        <v>0</v>
      </c>
      <c r="Y17" s="59">
        <f t="shared" si="9"/>
        <v>228883.91</v>
      </c>
      <c r="Z17" s="55">
        <f>+Y17-X17</f>
        <v>228883.91</v>
      </c>
      <c r="AA17" s="61" t="str">
        <f>IF(X17=0,"",(Y17-X17)/ABS(X17)+1)</f>
        <v/>
      </c>
      <c r="AB17" s="59">
        <f>AB13+AB14+AB15+AB16</f>
        <v>44206</v>
      </c>
      <c r="AC17" s="61">
        <f>IF(AB17=0,"",(Y17-AB17)/ABS(AB17))</f>
        <v>4.1776661539157578</v>
      </c>
      <c r="AD17" s="60"/>
      <c r="AE17" s="60"/>
      <c r="AF17" s="60">
        <v>207715.69</v>
      </c>
      <c r="AG17" s="60"/>
      <c r="AH17" s="60"/>
    </row>
    <row r="18" spans="2:34" x14ac:dyDescent="0.2">
      <c r="B18" s="3" t="s">
        <v>120</v>
      </c>
      <c r="C18" s="59"/>
      <c r="D18" s="61" t="str">
        <f t="shared" si="0"/>
        <v xml:space="preserve"> </v>
      </c>
      <c r="E18" s="59"/>
      <c r="F18" s="61"/>
      <c r="G18" s="61"/>
      <c r="H18" s="59"/>
      <c r="I18" s="61"/>
      <c r="J18" s="61"/>
      <c r="K18" s="59"/>
      <c r="L18" s="61" t="str">
        <f t="shared" si="5"/>
        <v xml:space="preserve"> </v>
      </c>
      <c r="M18" s="59"/>
      <c r="N18" s="61"/>
      <c r="O18" s="61"/>
      <c r="P18" s="59"/>
      <c r="Q18" s="61"/>
      <c r="R18" s="61"/>
      <c r="AF18" s="60"/>
      <c r="AG18" s="60"/>
      <c r="AH18" s="60"/>
    </row>
    <row r="19" spans="2:34" x14ac:dyDescent="0.2">
      <c r="B19" s="3" t="str">
        <f>+'COLOMB$ '!B19</f>
        <v>Locutor virtual</v>
      </c>
      <c r="C19" s="59"/>
      <c r="D19" s="61" t="str">
        <f t="shared" si="0"/>
        <v xml:space="preserve"> </v>
      </c>
      <c r="E19" s="59"/>
      <c r="F19" s="61"/>
      <c r="G19" s="61"/>
      <c r="H19" s="59"/>
      <c r="I19" s="61"/>
      <c r="J19" s="61"/>
      <c r="K19" s="59"/>
      <c r="L19" s="61" t="str">
        <f t="shared" si="5"/>
        <v xml:space="preserve"> </v>
      </c>
      <c r="M19" s="59"/>
      <c r="N19" s="61"/>
      <c r="O19" s="61"/>
      <c r="P19" s="59"/>
      <c r="Q19" s="61"/>
      <c r="R19" s="61"/>
      <c r="T19" s="3" t="s">
        <v>23</v>
      </c>
      <c r="U19" s="59">
        <f>+U11-U17</f>
        <v>0</v>
      </c>
      <c r="V19" s="59">
        <f>+V11-V17</f>
        <v>14290.32</v>
      </c>
      <c r="W19" s="59">
        <f>+W11-W17</f>
        <v>2962</v>
      </c>
      <c r="X19" s="59">
        <f>X11-X17</f>
        <v>0</v>
      </c>
      <c r="Y19" s="59">
        <f>Y11-Y17</f>
        <v>90918.959999999992</v>
      </c>
      <c r="Z19" s="55">
        <f>+Y19-X19</f>
        <v>90918.959999999992</v>
      </c>
      <c r="AA19" s="61" t="str">
        <f>IF(X19=0,"",(Y19-X19)/ABS(X19)+1)</f>
        <v/>
      </c>
      <c r="AB19" s="59">
        <f>+AB11-AB17</f>
        <v>9117</v>
      </c>
      <c r="AC19" s="61">
        <f>IF(AB19=0,"",(Y19-AB19)/ABS(AB19))</f>
        <v>8.9724646265218819</v>
      </c>
      <c r="AD19" s="60"/>
      <c r="AE19" s="60"/>
      <c r="AF19" s="60">
        <v>76628.640000000014</v>
      </c>
      <c r="AG19" s="60"/>
      <c r="AH19" s="60"/>
    </row>
    <row r="20" spans="2:34" x14ac:dyDescent="0.2">
      <c r="B20" s="3" t="s">
        <v>24</v>
      </c>
      <c r="C20" s="59">
        <f>SUM(C10:C16)</f>
        <v>0</v>
      </c>
      <c r="D20" s="61" t="str">
        <f t="shared" si="0"/>
        <v xml:space="preserve"> </v>
      </c>
      <c r="E20" s="59">
        <f>SUM(E10:E16)</f>
        <v>45996.800000000003</v>
      </c>
      <c r="F20" s="61">
        <f>+E20/$E$20</f>
        <v>1</v>
      </c>
      <c r="G20" s="61" t="str">
        <f>IF(C20=0,"",(E20-C20)/ABS(C20)+1)</f>
        <v/>
      </c>
      <c r="H20" s="59">
        <f>SUM(H10:H16)</f>
        <v>11551.980000000001</v>
      </c>
      <c r="I20" s="61">
        <f>+H20/$H$20</f>
        <v>1</v>
      </c>
      <c r="J20" s="61">
        <f>IF(H20=0,"",(E20-H20)/ABS(H20))</f>
        <v>2.9817243450906248</v>
      </c>
      <c r="K20" s="59">
        <f>SUM(K10:K16)</f>
        <v>0</v>
      </c>
      <c r="L20" s="61" t="str">
        <f t="shared" si="5"/>
        <v xml:space="preserve"> </v>
      </c>
      <c r="M20" s="59">
        <f>SUM(M10:M19)</f>
        <v>333513.75999999995</v>
      </c>
      <c r="N20" s="61">
        <f>+M20/$M$20</f>
        <v>1</v>
      </c>
      <c r="O20" s="61" t="str">
        <f>IF(K20=0,"",(M20-K20)/ABS(K20)+1)</f>
        <v/>
      </c>
      <c r="P20" s="59">
        <f>SUM(P10:P16)</f>
        <v>61956.401820040002</v>
      </c>
      <c r="Q20" s="61">
        <f>+P20/$P$20</f>
        <v>1</v>
      </c>
      <c r="R20" s="61">
        <f>IF(P20=0,"",(M20-P20)/ABS(P20))</f>
        <v>4.3830395278397818</v>
      </c>
      <c r="T20" s="3"/>
      <c r="U20" s="59"/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0"/>
      <c r="AE20" s="60"/>
      <c r="AF20" s="60"/>
      <c r="AG20" s="60"/>
      <c r="AH20" s="60"/>
    </row>
    <row r="21" spans="2:34" x14ac:dyDescent="0.2">
      <c r="T21" s="3" t="s">
        <v>25</v>
      </c>
      <c r="U21" s="59">
        <f>+U10+U19</f>
        <v>236652</v>
      </c>
      <c r="V21" s="59">
        <f>+V10+V19</f>
        <v>72423.320000000007</v>
      </c>
      <c r="W21" s="59">
        <f>+W10+W19</f>
        <v>4672</v>
      </c>
      <c r="X21" s="59">
        <f>+X10+X19</f>
        <v>236652</v>
      </c>
      <c r="Y21" s="59">
        <f>+Y10+Y19</f>
        <v>105685.95999999999</v>
      </c>
      <c r="Z21" s="55">
        <f>+Y21-X21</f>
        <v>-130966.04000000001</v>
      </c>
      <c r="AA21" s="61">
        <f>IF(X21=0,"",(Y21-X21)/ABS(X21)+1)</f>
        <v>0.44658807024660685</v>
      </c>
      <c r="AB21" s="59">
        <f>+AB10+AB19</f>
        <v>9576</v>
      </c>
      <c r="AC21" s="61">
        <f>IF(AB21=0,"",(Y21-AB21)/ABS(AB21))</f>
        <v>10.036545530492898</v>
      </c>
      <c r="AD21" s="60"/>
      <c r="AE21" s="60"/>
      <c r="AF21" s="2">
        <v>91395.640000000014</v>
      </c>
      <c r="AG21" s="60"/>
      <c r="AH21" s="60"/>
    </row>
    <row r="22" spans="2:34" x14ac:dyDescent="0.2">
      <c r="B22" s="3" t="s">
        <v>26</v>
      </c>
      <c r="C22" s="59"/>
      <c r="D22" s="61" t="str">
        <f>IF($C$20=0," ",C22/$C$20)</f>
        <v xml:space="preserve"> </v>
      </c>
      <c r="E22" s="59">
        <v>0</v>
      </c>
      <c r="F22" s="61">
        <f>+E22/$E$20</f>
        <v>0</v>
      </c>
      <c r="G22" s="61" t="str">
        <f>IF(C22=0,"",(E22-C22)/ABS(C22)+1)</f>
        <v/>
      </c>
      <c r="H22" s="59"/>
      <c r="I22" s="61">
        <f>+H22/$H$20</f>
        <v>0</v>
      </c>
      <c r="J22" s="61" t="str">
        <f>IF(H22=0,"",(E22-H22)/ABS(H22))</f>
        <v/>
      </c>
      <c r="K22" s="59">
        <f>+S18+C22</f>
        <v>0</v>
      </c>
      <c r="L22" s="61" t="str">
        <f>IF($K$20=0," ",K22/$K$20)</f>
        <v xml:space="preserve"> </v>
      </c>
      <c r="M22" s="59">
        <v>54617.06</v>
      </c>
      <c r="N22" s="61">
        <f>+M22/$M$20</f>
        <v>0.16376253861309953</v>
      </c>
      <c r="O22" s="61" t="str">
        <f>IF(K22=0,"",(M22-K22)/ABS(K22)+1)</f>
        <v/>
      </c>
      <c r="P22" s="59"/>
      <c r="Q22" s="61">
        <f>+P22/$P$20</f>
        <v>0</v>
      </c>
      <c r="R22" s="61" t="str">
        <f>IF(P22=0,"",(M22-P22)/ABS(P22))</f>
        <v/>
      </c>
      <c r="AF22" s="60"/>
      <c r="AG22" s="60"/>
      <c r="AH22" s="60"/>
    </row>
    <row r="23" spans="2:34" x14ac:dyDescent="0.2">
      <c r="T23" s="3" t="s">
        <v>27</v>
      </c>
      <c r="U23" s="59"/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G23" s="47"/>
    </row>
    <row r="24" spans="2:34" x14ac:dyDescent="0.2">
      <c r="B24" s="3" t="s">
        <v>28</v>
      </c>
      <c r="C24" s="59">
        <f>+C20-C22</f>
        <v>0</v>
      </c>
      <c r="D24" s="61" t="str">
        <f>IF($C$20=0," ",C24/$C$20)</f>
        <v xml:space="preserve"> </v>
      </c>
      <c r="E24" s="59">
        <f>+E20-E22</f>
        <v>45996.800000000003</v>
      </c>
      <c r="F24" s="61">
        <f>+E24/$E$20</f>
        <v>1</v>
      </c>
      <c r="G24" s="61" t="str">
        <f>IF(C24=0,"",(E24-C24)/ABS(C24)+1)</f>
        <v/>
      </c>
      <c r="H24" s="59">
        <f>+H20-H22</f>
        <v>11551.980000000001</v>
      </c>
      <c r="I24" s="61">
        <f>+H24/$H$20</f>
        <v>1</v>
      </c>
      <c r="J24" s="61">
        <f>IF(H24=0,"",(E24-H24)/ABS(H24))</f>
        <v>2.9817243450906248</v>
      </c>
      <c r="K24" s="59">
        <f>+K20-K22</f>
        <v>0</v>
      </c>
      <c r="L24" s="61" t="str">
        <f>IF($K$20=0," ",K24/$K$20)</f>
        <v xml:space="preserve"> </v>
      </c>
      <c r="M24" s="59">
        <f>+M20-M22</f>
        <v>278896.69999999995</v>
      </c>
      <c r="N24" s="61">
        <f>+M24/$M$20</f>
        <v>0.83623746138690047</v>
      </c>
      <c r="O24" s="61" t="str">
        <f>IF(K24=0,"",(M24-K24)/ABS(K24)+1)</f>
        <v/>
      </c>
      <c r="P24" s="59">
        <f>+P20-P22</f>
        <v>61956.401820040002</v>
      </c>
      <c r="Q24" s="61">
        <f>+P24/$P$20</f>
        <v>1</v>
      </c>
      <c r="R24" s="61">
        <f>IF(P24=0,"",(M24-P24)/ABS(P24))</f>
        <v>3.5014993093060784</v>
      </c>
    </row>
    <row r="25" spans="2:34" x14ac:dyDescent="0.2">
      <c r="T25" s="3" t="s">
        <v>29</v>
      </c>
      <c r="U25" s="59"/>
      <c r="V25" s="59">
        <v>3579.25</v>
      </c>
      <c r="W25" s="59">
        <v>628</v>
      </c>
      <c r="X25" s="59">
        <f>+AD22+U25</f>
        <v>0</v>
      </c>
      <c r="Y25" s="59">
        <f>+V25+AF25</f>
        <v>36842.07</v>
      </c>
      <c r="Z25" s="55">
        <f>+Y25-X25</f>
        <v>36842.07</v>
      </c>
      <c r="AA25" s="61" t="str">
        <f>IF(X25=0,"",(Y25-X25)/ABS(X25)+1)</f>
        <v/>
      </c>
      <c r="AB25" s="59">
        <v>5532</v>
      </c>
      <c r="AC25" s="61">
        <f>IF(AB25=0,"",(Y25-AB25)/ABS(AB25))</f>
        <v>5.6598101952277657</v>
      </c>
      <c r="AD25" s="60"/>
      <c r="AE25" s="60"/>
      <c r="AF25" s="60">
        <v>33262.82</v>
      </c>
    </row>
    <row r="26" spans="2:34" x14ac:dyDescent="0.2">
      <c r="B26" s="3" t="s">
        <v>30</v>
      </c>
      <c r="C26" s="59"/>
      <c r="D26" s="61" t="str">
        <f>IF($C$20=0," ",C26/$C$20)</f>
        <v xml:space="preserve"> </v>
      </c>
      <c r="E26" s="59">
        <v>958.86</v>
      </c>
      <c r="F26" s="61">
        <f>+E26/$E$20</f>
        <v>2.084623278141088E-2</v>
      </c>
      <c r="G26" s="61" t="str">
        <f>IF(C26=0,"",(E26-C26)/ABS(C26)+1)</f>
        <v/>
      </c>
      <c r="H26" s="59">
        <v>190.22</v>
      </c>
      <c r="I26" s="61">
        <f>+H26/$H$20</f>
        <v>1.6466441250763936E-2</v>
      </c>
      <c r="J26" s="61">
        <f>IF(H26=0,"",(E26-H26)/ABS(H26))</f>
        <v>4.0407948690989377</v>
      </c>
      <c r="K26" s="59"/>
      <c r="L26" s="61" t="str">
        <f>IF($K$20=0," ",K26/$K$20)</f>
        <v xml:space="preserve"> </v>
      </c>
      <c r="M26" s="59">
        <v>5859.95</v>
      </c>
      <c r="N26" s="61">
        <f>+M26/$M$20</f>
        <v>1.7570339526621032E-2</v>
      </c>
      <c r="O26" s="61" t="str">
        <f>IF(K26=0,"",(M26-K26)/ABS(K26)+1)</f>
        <v/>
      </c>
      <c r="P26" s="59">
        <v>913.10672944000021</v>
      </c>
      <c r="Q26" s="61">
        <f>+P26/$P$20</f>
        <v>1.4737891527210233E-2</v>
      </c>
      <c r="R26" s="61">
        <f>IF(P26=0,"",(M26-P26)/ABS(P26))</f>
        <v>5.4175958965868674</v>
      </c>
      <c r="AF26" s="60"/>
    </row>
    <row r="27" spans="2:34" x14ac:dyDescent="0.2">
      <c r="B27" s="3" t="s">
        <v>31</v>
      </c>
      <c r="C27" s="59"/>
      <c r="D27" s="61" t="str">
        <f>IF($C$20=0," ",C27/$C$20)</f>
        <v xml:space="preserve"> </v>
      </c>
      <c r="E27" s="59">
        <v>3401.97</v>
      </c>
      <c r="F27" s="61">
        <f>+E27/$E$20</f>
        <v>7.3961014679282025E-2</v>
      </c>
      <c r="G27" s="61" t="str">
        <f>IF(C27=0,"",(E27-C27)/ABS(C27)+1)</f>
        <v/>
      </c>
      <c r="H27" s="59">
        <v>2630.7899999999995</v>
      </c>
      <c r="I27" s="61">
        <f>+H27/$H$20</f>
        <v>0.22773498569076464</v>
      </c>
      <c r="J27" s="61">
        <f>IF(H27=0,"",(E27-H27)/ABS(H27))</f>
        <v>0.29313628225742094</v>
      </c>
      <c r="K27" s="59"/>
      <c r="L27" s="61" t="str">
        <f>IF($K$20=0," ",K27/$K$20)</f>
        <v xml:space="preserve"> </v>
      </c>
      <c r="M27" s="59">
        <v>27766.62</v>
      </c>
      <c r="N27" s="61">
        <f>+M27/$M$20</f>
        <v>8.3254795844105514E-2</v>
      </c>
      <c r="O27" s="61" t="str">
        <f>IF(K27=0,"",(M27-K27)/ABS(K27)+1)</f>
        <v/>
      </c>
      <c r="P27" s="59">
        <v>13394.845822359999</v>
      </c>
      <c r="Q27" s="61">
        <f>+P27/$P$20</f>
        <v>0.21619792997771203</v>
      </c>
      <c r="R27" s="61">
        <f>IF(P27=0,"",(M27-P27)/ABS(P27))</f>
        <v>1.0729331541576399</v>
      </c>
      <c r="T27" s="3" t="s">
        <v>32</v>
      </c>
      <c r="U27" s="59"/>
      <c r="V27" s="59"/>
      <c r="W27" s="59"/>
      <c r="X27" s="59">
        <f>+AD21+U27</f>
        <v>0</v>
      </c>
      <c r="Y27" s="59">
        <f>+V27+AF26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  <c r="AD27" s="47"/>
      <c r="AE27" s="47"/>
      <c r="AF27" s="2">
        <v>0</v>
      </c>
    </row>
    <row r="28" spans="2:34" x14ac:dyDescent="0.2">
      <c r="B28" s="3" t="s">
        <v>33</v>
      </c>
      <c r="C28" s="59">
        <f>SUM(C26:C27)</f>
        <v>0</v>
      </c>
      <c r="D28" s="61" t="str">
        <f>IF($C$20=0," ",C28/$C$20)</f>
        <v xml:space="preserve"> </v>
      </c>
      <c r="E28" s="59">
        <f>SUM(E26:E27)</f>
        <v>4360.83</v>
      </c>
      <c r="F28" s="61">
        <f>+E28/$E$20</f>
        <v>9.4807247460692912E-2</v>
      </c>
      <c r="G28" s="61" t="str">
        <f>IF(C28=0,"",(E28-C28)/ABS(C28)+1)</f>
        <v/>
      </c>
      <c r="H28" s="59">
        <f>+H27+H26</f>
        <v>2821.0099999999993</v>
      </c>
      <c r="I28" s="61">
        <f>+H28/$H$20</f>
        <v>0.24420142694152855</v>
      </c>
      <c r="J28" s="61">
        <f>IF(H28=0,"",(E28-H28)/ABS(H28))</f>
        <v>0.54583996511887622</v>
      </c>
      <c r="K28" s="59">
        <f>+K26+K27</f>
        <v>0</v>
      </c>
      <c r="L28" s="61" t="str">
        <f>IF($K$20=0," ",K28/$K$20)</f>
        <v xml:space="preserve"> </v>
      </c>
      <c r="M28" s="59">
        <f>SUM(M26:M27)</f>
        <v>33626.57</v>
      </c>
      <c r="N28" s="61">
        <f>+M28/$M$20</f>
        <v>0.10082513537072654</v>
      </c>
      <c r="O28" s="61" t="str">
        <f>IF(K28=0,"",(M28-K28)/ABS(K28)+1)</f>
        <v/>
      </c>
      <c r="P28" s="59">
        <f>+P27+P26</f>
        <v>14307.952551799999</v>
      </c>
      <c r="Q28" s="61">
        <f>+P28/$P$20</f>
        <v>0.23093582150492226</v>
      </c>
      <c r="R28" s="61">
        <f>IF(P28=0,"",(M28-P28)/ABS(P28))</f>
        <v>1.3502013917267035</v>
      </c>
      <c r="T28" s="3" t="s">
        <v>34</v>
      </c>
      <c r="U28" s="59"/>
      <c r="V28" s="59"/>
      <c r="W28" s="59"/>
      <c r="X28" s="59"/>
      <c r="Y28" s="59">
        <f>+X28</f>
        <v>0</v>
      </c>
      <c r="Z28" s="55">
        <f>+Y28-X28</f>
        <v>0</v>
      </c>
      <c r="AA28" s="61" t="str">
        <f>IF(X28=0,"",(Y28-X28)/ABS(X28)+1)</f>
        <v/>
      </c>
      <c r="AB28" s="59">
        <v>0</v>
      </c>
      <c r="AC28" s="61" t="str">
        <f>IF(AB28=0,"",(Y28-AB28)/ABS(AB28))</f>
        <v/>
      </c>
      <c r="AD28" s="47"/>
      <c r="AF28" s="60">
        <v>0</v>
      </c>
    </row>
    <row r="29" spans="2:34" x14ac:dyDescent="0.2">
      <c r="AD29" s="47"/>
    </row>
    <row r="30" spans="2:34" x14ac:dyDescent="0.2">
      <c r="B30" s="3" t="s">
        <v>35</v>
      </c>
      <c r="C30" s="59"/>
      <c r="D30" s="61" t="str">
        <f>IF($C$20=0," ",C30/$C$20)</f>
        <v xml:space="preserve"> </v>
      </c>
      <c r="E30" s="59">
        <v>16001.475999999997</v>
      </c>
      <c r="F30" s="61">
        <f>+E30/$E$20</f>
        <v>0.34788237442604691</v>
      </c>
      <c r="G30" s="61" t="str">
        <f>IF(C30=0,"",(E30-C30)/ABS(C30)+1)</f>
        <v/>
      </c>
      <c r="H30" s="59">
        <v>4576</v>
      </c>
      <c r="I30" s="61">
        <f>+H30/$H$20</f>
        <v>0.39612256946428226</v>
      </c>
      <c r="J30" s="61">
        <f>IF(H30=0,"",(E30-H30)/ABS(H30))</f>
        <v>2.4968260489510481</v>
      </c>
      <c r="K30" s="59"/>
      <c r="L30" s="61" t="str">
        <f>IF($K$20=0," ",K30/$K$20)</f>
        <v xml:space="preserve"> </v>
      </c>
      <c r="M30" s="59">
        <v>122382.26599999999</v>
      </c>
      <c r="N30" s="61">
        <f>+M30/$M$20</f>
        <v>0.36694817629113713</v>
      </c>
      <c r="O30" s="61" t="str">
        <f>IF(K30=0,"",(M30-K30)/ABS(K30)+1)</f>
        <v/>
      </c>
      <c r="P30" s="59">
        <v>22379.444704720001</v>
      </c>
      <c r="Q30" s="61">
        <f>+P30/$P$20</f>
        <v>0.36121278911134724</v>
      </c>
      <c r="R30" s="61">
        <f>IF(P30=0,"",(M30-P30)/ABS(P30))</f>
        <v>4.4685121822610991</v>
      </c>
      <c r="T30" s="3" t="s">
        <v>36</v>
      </c>
      <c r="U30" s="59">
        <f>+U21-U25-U23+U27</f>
        <v>236652</v>
      </c>
      <c r="V30" s="59">
        <f>+V21-V25-V23+V27</f>
        <v>68844.070000000007</v>
      </c>
      <c r="W30" s="59">
        <f>+W21-W25-W23+W27</f>
        <v>4044</v>
      </c>
      <c r="X30" s="59">
        <f>+X21-X25-X23-X27</f>
        <v>236652</v>
      </c>
      <c r="Y30" s="59">
        <f>+Y21-Y25-Y23+Y27</f>
        <v>68843.889999999985</v>
      </c>
      <c r="Z30" s="55">
        <f>+Y30-X30</f>
        <v>-167808.11000000002</v>
      </c>
      <c r="AA30" s="61">
        <f>IF(U30=0,"",(V30-U30)/ABS(U30)+1)</f>
        <v>0.29090846474992815</v>
      </c>
      <c r="AB30" s="59">
        <f>+AB21-AB25-AB23+AB27</f>
        <v>4044</v>
      </c>
      <c r="AC30" s="61">
        <f>IF(AB30=0,"",(Y30-AB30)/ABS(AB30))</f>
        <v>16.023711671612261</v>
      </c>
      <c r="AD30" s="47"/>
      <c r="AF30" s="60">
        <v>58132.820000000014</v>
      </c>
    </row>
    <row r="31" spans="2:34" x14ac:dyDescent="0.2">
      <c r="B31" s="3" t="s">
        <v>37</v>
      </c>
      <c r="C31" s="59"/>
      <c r="D31" s="61" t="str">
        <f>IF($C$20=0," ",C31/$C$20)</f>
        <v xml:space="preserve"> </v>
      </c>
      <c r="E31" s="59">
        <v>5644.2</v>
      </c>
      <c r="F31" s="61">
        <f>+E31/$E$20</f>
        <v>0.12270853624599971</v>
      </c>
      <c r="G31" s="61" t="str">
        <f>IF(C31=0,"",(E31-C31)/ABS(C31)+1)</f>
        <v/>
      </c>
      <c r="H31" s="59">
        <v>1530</v>
      </c>
      <c r="I31" s="61">
        <f>+H31/$H$20</f>
        <v>0.13244482763993704</v>
      </c>
      <c r="J31" s="61">
        <f>IF(H31=0,"",(E31-H31)/ABS(H31))</f>
        <v>2.6890196078431372</v>
      </c>
      <c r="K31" s="59"/>
      <c r="L31" s="61" t="str">
        <f>IF($K$20=0," ",K31/$K$20)</f>
        <v xml:space="preserve"> </v>
      </c>
      <c r="M31" s="59">
        <v>27613.679999999997</v>
      </c>
      <c r="N31" s="61">
        <f>+M31/$M$20</f>
        <v>8.2796224059840898E-2</v>
      </c>
      <c r="O31" s="61" t="str">
        <f>IF(K31=0,"",(M31-K31)/ABS(K31)+1)</f>
        <v/>
      </c>
      <c r="P31" s="59">
        <v>10788.31654059</v>
      </c>
      <c r="Q31" s="61">
        <f>+P31/$P$20</f>
        <v>0.17412755136952585</v>
      </c>
      <c r="R31" s="61">
        <f>IF(P31=0,"",(M31-P31)/ABS(P31))</f>
        <v>1.5595911925745032</v>
      </c>
      <c r="T31" s="53"/>
      <c r="U31" s="53"/>
      <c r="V31" s="53" t="s">
        <v>47</v>
      </c>
      <c r="W31" s="53" t="s">
        <v>47</v>
      </c>
      <c r="X31" s="59"/>
      <c r="Y31" s="59" t="s">
        <v>47</v>
      </c>
      <c r="Z31" s="53"/>
      <c r="AA31" s="53"/>
      <c r="AB31" s="59" t="s">
        <v>47</v>
      </c>
      <c r="AC31" s="53"/>
      <c r="AD31" s="47"/>
    </row>
    <row r="32" spans="2:34" x14ac:dyDescent="0.2">
      <c r="B32" s="3" t="s">
        <v>38</v>
      </c>
      <c r="C32" s="59">
        <f>SUM(C30:C31)</f>
        <v>0</v>
      </c>
      <c r="D32" s="61" t="str">
        <f>IF($C$20=0," ",C32/$C$20)</f>
        <v xml:space="preserve"> </v>
      </c>
      <c r="E32" s="59">
        <f>SUM(E30:E31)</f>
        <v>21645.675999999996</v>
      </c>
      <c r="F32" s="61">
        <f>+E32/$E$20</f>
        <v>0.47059091067204661</v>
      </c>
      <c r="G32" s="61" t="str">
        <f>IF(C32=0,"",(E32-C32)/ABS(C32)+1)</f>
        <v/>
      </c>
      <c r="H32" s="59">
        <f>+H31+H30</f>
        <v>6106</v>
      </c>
      <c r="I32" s="61">
        <f>+H32/$H$20</f>
        <v>0.52856739710421929</v>
      </c>
      <c r="J32" s="61">
        <f>IF(H32=0,"",(E32-H32)/ABS(H32))</f>
        <v>2.5449846053062553</v>
      </c>
      <c r="K32" s="59">
        <f>+K30+K31</f>
        <v>0</v>
      </c>
      <c r="L32" s="61" t="str">
        <f>IF($K$20=0," ",K32/$K$20)</f>
        <v xml:space="preserve"> </v>
      </c>
      <c r="M32" s="59">
        <f>+M30+M31</f>
        <v>149995.946</v>
      </c>
      <c r="N32" s="61">
        <f>+M32/$M$20</f>
        <v>0.44974440035097807</v>
      </c>
      <c r="O32" s="61" t="str">
        <f>IF(K32=0,"",(M32-K32)/ABS(K32)+1)</f>
        <v/>
      </c>
      <c r="P32" s="59">
        <f>+P31+P30</f>
        <v>33167.761245310001</v>
      </c>
      <c r="Q32" s="61">
        <f>+P32/$P$20</f>
        <v>0.53534034048087309</v>
      </c>
      <c r="R32" s="61">
        <f>IF(P32=0,"",(M32-P32)/ABS(P32))</f>
        <v>3.522341586175334</v>
      </c>
      <c r="AD32" s="47"/>
    </row>
    <row r="33" spans="2:30" x14ac:dyDescent="0.2">
      <c r="Y33" s="47"/>
      <c r="AD33" s="47"/>
    </row>
    <row r="34" spans="2:30" x14ac:dyDescent="0.2">
      <c r="B34" s="3" t="s">
        <v>39</v>
      </c>
      <c r="C34" s="59">
        <f>C28+C32</f>
        <v>0</v>
      </c>
      <c r="D34" s="61" t="str">
        <f>IF($C$20=0," ",C34/$C$20)</f>
        <v xml:space="preserve"> </v>
      </c>
      <c r="E34" s="59">
        <f>E28+E32</f>
        <v>26006.505999999994</v>
      </c>
      <c r="F34" s="61">
        <f>+E34/$E$20</f>
        <v>0.56539815813273953</v>
      </c>
      <c r="G34" s="61" t="str">
        <f>IF(C34=0,"",(E34-C34)/ABS(C34)+1)</f>
        <v/>
      </c>
      <c r="H34" s="59">
        <f>H28+H32</f>
        <v>8927.0099999999984</v>
      </c>
      <c r="I34" s="61">
        <f>+H34/$H$20</f>
        <v>0.77276882404574776</v>
      </c>
      <c r="J34" s="61">
        <f>IF(H34=0,"",(E34-H34)/ABS(H34))</f>
        <v>1.9132381390857631</v>
      </c>
      <c r="K34" s="59">
        <f>K28+K32</f>
        <v>0</v>
      </c>
      <c r="L34" s="61" t="str">
        <f>IF($K$20=0," ",K34/$K$20)</f>
        <v xml:space="preserve"> </v>
      </c>
      <c r="M34" s="59">
        <f>M28+M32</f>
        <v>183622.516</v>
      </c>
      <c r="N34" s="61">
        <f>+M34/$M$20</f>
        <v>0.55056953572170464</v>
      </c>
      <c r="O34" s="61" t="str">
        <f>IF(K34=0,"",(M34-K34)/ABS(K34)+1)</f>
        <v/>
      </c>
      <c r="P34" s="59">
        <f>P28+P32</f>
        <v>47475.713797110002</v>
      </c>
      <c r="Q34" s="61">
        <f>+P34/$P$20</f>
        <v>0.7662761619857954</v>
      </c>
      <c r="R34" s="61">
        <f>IF(P34=0,"",(M34-P34)/ABS(P34))</f>
        <v>2.8677146969231599</v>
      </c>
      <c r="AD34" s="47"/>
    </row>
    <row r="35" spans="2:30" x14ac:dyDescent="0.2">
      <c r="T35" s="55"/>
      <c r="AD35" s="47"/>
    </row>
    <row r="36" spans="2:30" x14ac:dyDescent="0.2">
      <c r="B36" s="3" t="s">
        <v>40</v>
      </c>
      <c r="C36" s="59">
        <f>C24-C34</f>
        <v>0</v>
      </c>
      <c r="D36" s="61" t="str">
        <f>IF($C$20=0," ",C36/$C$20)</f>
        <v xml:space="preserve"> </v>
      </c>
      <c r="E36" s="59">
        <f>E24-E34</f>
        <v>19990.294000000009</v>
      </c>
      <c r="F36" s="61">
        <f>+E36/$E$20</f>
        <v>0.43460184186726047</v>
      </c>
      <c r="G36" s="61" t="str">
        <f>IF(C36=0,"",(E36-C36)/ABS(C36)+1)</f>
        <v/>
      </c>
      <c r="H36" s="59">
        <f>H24-H34</f>
        <v>2624.970000000003</v>
      </c>
      <c r="I36" s="61">
        <f>+H36/$H$20</f>
        <v>0.22723117595425224</v>
      </c>
      <c r="J36" s="61">
        <f>IF(H36=0,"",(E36-H36)/ABS(H36))</f>
        <v>6.6154371288052767</v>
      </c>
      <c r="K36" s="59">
        <f>K24-K34</f>
        <v>0</v>
      </c>
      <c r="L36" s="61" t="str">
        <f>IF($K$20=0," ",K36/$K$20)</f>
        <v xml:space="preserve"> </v>
      </c>
      <c r="M36" s="59">
        <f>M24-M34</f>
        <v>95274.18399999995</v>
      </c>
      <c r="N36" s="61">
        <f>+M36/$M$20</f>
        <v>0.28566792566519583</v>
      </c>
      <c r="O36" s="61" t="str">
        <f>IF(K36=0,"",(M36-K36)/ABS(K36)+1)</f>
        <v/>
      </c>
      <c r="P36" s="59">
        <f>P24-P34</f>
        <v>14480.68802293</v>
      </c>
      <c r="Q36" s="61">
        <f>+P36/$P$20</f>
        <v>0.2337238380142046</v>
      </c>
      <c r="R36" s="61">
        <f>IF(P36=0,"",(M36-P36)/ABS(P36))</f>
        <v>5.579396217164156</v>
      </c>
      <c r="AD36" s="47"/>
    </row>
    <row r="37" spans="2:30" x14ac:dyDescent="0.2">
      <c r="AD37" s="47"/>
    </row>
    <row r="38" spans="2:30" x14ac:dyDescent="0.2">
      <c r="B38" s="3" t="s">
        <v>41</v>
      </c>
      <c r="C38" s="59"/>
      <c r="D38" s="61" t="str">
        <f>IF($C$20=0," ",C38/$C$20)</f>
        <v xml:space="preserve"> </v>
      </c>
      <c r="E38" s="59">
        <v>15068.96</v>
      </c>
      <c r="F38" s="61">
        <f>+E38/$E$20</f>
        <v>0.32760887713927922</v>
      </c>
      <c r="G38" s="61" t="str">
        <f>IF(C38=0,"",(E38-C38)/ABS(C38)+1)</f>
        <v/>
      </c>
      <c r="H38" s="59"/>
      <c r="I38" s="61">
        <f>+H38/$H$20</f>
        <v>0</v>
      </c>
      <c r="J38" s="61" t="str">
        <f>IF(H38=0,"",(E38-H38)/ABS(H38))</f>
        <v/>
      </c>
      <c r="K38" s="59">
        <f>+S28+C38</f>
        <v>0</v>
      </c>
      <c r="L38" s="61" t="str">
        <f>IF($K$20=0," ",K38/$K$20)</f>
        <v xml:space="preserve"> </v>
      </c>
      <c r="M38" s="59">
        <v>15069</v>
      </c>
      <c r="N38" s="61">
        <f>+M38/$M$20</f>
        <v>4.5182543592804096E-2</v>
      </c>
      <c r="O38" s="61" t="str">
        <f>IF(K38=0,"",(M38-K38)/ABS(K38)+1)</f>
        <v/>
      </c>
      <c r="P38" s="59"/>
      <c r="Q38" s="61">
        <f>+P38/$P$20</f>
        <v>0</v>
      </c>
      <c r="R38" s="61" t="str">
        <f>IF(P38=0,"",(M38-P38)/ABS(P38))</f>
        <v/>
      </c>
      <c r="AD38" s="47"/>
    </row>
    <row r="39" spans="2:30" x14ac:dyDescent="0.2">
      <c r="B39" s="3" t="s">
        <v>42</v>
      </c>
      <c r="C39" s="59"/>
      <c r="D39" s="61" t="str">
        <f>IF($C$20=0," ",C39/$C$20)</f>
        <v xml:space="preserve"> </v>
      </c>
      <c r="E39" s="59">
        <v>1368.63</v>
      </c>
      <c r="F39" s="61">
        <f>+E39/$E$20</f>
        <v>2.9754895992764714E-2</v>
      </c>
      <c r="G39" s="61" t="str">
        <f>IF(C39=0,"",(E39-C39)/ABS(C39)+1)</f>
        <v/>
      </c>
      <c r="H39" s="59">
        <v>163</v>
      </c>
      <c r="I39" s="61">
        <f>+H39/$H$20</f>
        <v>1.4110135232228586E-2</v>
      </c>
      <c r="J39" s="61">
        <f>IF(H39=0,"",(E39-H39)/ABS(H39))</f>
        <v>7.3965030674846632</v>
      </c>
      <c r="K39" s="59"/>
      <c r="L39" s="61" t="str">
        <f>IF($K$20=0," ",K39/$K$20)</f>
        <v xml:space="preserve"> </v>
      </c>
      <c r="M39" s="59">
        <f>5102-667</f>
        <v>4435</v>
      </c>
      <c r="N39" s="61">
        <f>+M39/$M$20</f>
        <v>1.3297802165643783E-2</v>
      </c>
      <c r="O39" s="61" t="str">
        <f>IF(K39=0,"",(M39-K39)/ABS(K39)+1)</f>
        <v/>
      </c>
      <c r="P39" s="59">
        <v>845.88050255999997</v>
      </c>
      <c r="Q39" s="61">
        <f>+P39/$P$20</f>
        <v>1.3652834537050167E-2</v>
      </c>
      <c r="R39" s="61">
        <f>IF(P39=0,"",(M39-P39)/ABS(P39))</f>
        <v>4.2430573663511257</v>
      </c>
    </row>
    <row r="41" spans="2:30" x14ac:dyDescent="0.2">
      <c r="B41" s="3" t="s">
        <v>43</v>
      </c>
      <c r="C41" s="59">
        <f>C36+C38-C39</f>
        <v>0</v>
      </c>
      <c r="D41" s="61" t="str">
        <f>IF($C$20=0," ",C41/$C$20)</f>
        <v xml:space="preserve"> </v>
      </c>
      <c r="E41" s="59">
        <f>E36+E38-E39</f>
        <v>33690.624000000011</v>
      </c>
      <c r="F41" s="61">
        <f>+E41/$E$20</f>
        <v>0.7324558230137751</v>
      </c>
      <c r="G41" s="61" t="str">
        <f>IF(C41=0,"",(E41-C41)/ABS(C41)+1)</f>
        <v/>
      </c>
      <c r="H41" s="59">
        <f>H36+H38-H39</f>
        <v>2461.970000000003</v>
      </c>
      <c r="I41" s="61">
        <f>+H41/$H$20</f>
        <v>0.21312104072202365</v>
      </c>
      <c r="J41" s="61">
        <f>IF(H41=0,"",(E41-H41)/ABS(H41))</f>
        <v>12.684416950653327</v>
      </c>
      <c r="K41" s="59">
        <f>K36+K38-K39</f>
        <v>0</v>
      </c>
      <c r="L41" s="61" t="str">
        <f>IF($K$20=0," ",K41/$K$20)</f>
        <v xml:space="preserve"> </v>
      </c>
      <c r="M41" s="59">
        <f>M36+M38-M39</f>
        <v>105908.18399999995</v>
      </c>
      <c r="N41" s="61">
        <f>+M41/$M$20</f>
        <v>0.31755266709235613</v>
      </c>
      <c r="O41" s="61" t="str">
        <f>IF(K41=0,"",(M41-K41)/ABS(K41)+1)</f>
        <v/>
      </c>
      <c r="P41" s="59">
        <f>P36+P38-P39</f>
        <v>13634.807520370001</v>
      </c>
      <c r="Q41" s="61">
        <f>+P41/$P$20</f>
        <v>0.22007100347715444</v>
      </c>
      <c r="R41" s="61">
        <f>IF(P41=0,"",(M41-P41)/ABS(P41))</f>
        <v>6.7674865480701687</v>
      </c>
    </row>
    <row r="42" spans="2:30" x14ac:dyDescent="0.2">
      <c r="B42" s="3" t="s">
        <v>29</v>
      </c>
      <c r="C42" s="59"/>
      <c r="D42" s="61" t="str">
        <f>IF($C$20=0," ",C42/$C$20)</f>
        <v xml:space="preserve"> </v>
      </c>
      <c r="E42" s="59">
        <v>36009</v>
      </c>
      <c r="F42" s="61">
        <f>+E42/$E$20</f>
        <v>0.7828588075692221</v>
      </c>
      <c r="G42" s="61" t="str">
        <f>IF(C42=0,"",(E42-C42)/ABS(C42)+1)</f>
        <v/>
      </c>
      <c r="H42" s="59"/>
      <c r="I42" s="61">
        <f>+H42/$H$20</f>
        <v>0</v>
      </c>
      <c r="J42" s="61" t="str">
        <f>IF(H42=0,"",(E42-H42)/ABS(H42))</f>
        <v/>
      </c>
      <c r="K42" s="59">
        <f>+S31+C42</f>
        <v>0</v>
      </c>
      <c r="L42" s="61" t="str">
        <f>IF($K$20=0," ",K42/$K$20)</f>
        <v xml:space="preserve"> </v>
      </c>
      <c r="M42" s="59">
        <v>36009</v>
      </c>
      <c r="N42" s="61">
        <f>+M42/$M$20</f>
        <v>0.10796855877850439</v>
      </c>
      <c r="O42" s="61" t="str">
        <f>IF(K42=0,"",(M42-K42)/ABS(K42)+1)</f>
        <v/>
      </c>
      <c r="P42" s="59">
        <v>19.797676790000001</v>
      </c>
      <c r="Q42" s="61">
        <f>+P42/$P$20</f>
        <v>3.1954206842909938E-4</v>
      </c>
      <c r="R42" s="61">
        <f>IF(P42=0,"",(M42-P42)/ABS(P42))</f>
        <v>1817.8497762620559</v>
      </c>
    </row>
    <row r="43" spans="2:30" x14ac:dyDescent="0.2">
      <c r="B43" s="17" t="s">
        <v>44</v>
      </c>
      <c r="C43" s="63">
        <f>C41-C42</f>
        <v>0</v>
      </c>
      <c r="D43" s="66" t="str">
        <f>IF($C$20=0," ",C43/$C$20)</f>
        <v xml:space="preserve"> </v>
      </c>
      <c r="E43" s="63">
        <f>+E41-E42</f>
        <v>-2318.3759999999893</v>
      </c>
      <c r="F43" s="66">
        <f>+E43/$E$20</f>
        <v>-5.0402984555447103E-2</v>
      </c>
      <c r="G43" s="66" t="str">
        <f>IF(C43=0,"",(E43-C43)/ABS(C43)+1)</f>
        <v/>
      </c>
      <c r="H43" s="63">
        <f>+H41-H42</f>
        <v>2461.970000000003</v>
      </c>
      <c r="I43" s="66">
        <f>+H43/$H$20</f>
        <v>0.21312104072202365</v>
      </c>
      <c r="J43" s="66">
        <f>IF(H43=0,"",(E43-H43)/ABS(H43))</f>
        <v>-1.9416751625730559</v>
      </c>
      <c r="K43" s="63">
        <f>+K41-K42</f>
        <v>0</v>
      </c>
      <c r="L43" s="66" t="str">
        <f>IF($K$20=0," ",K43/$K$20)</f>
        <v xml:space="preserve"> </v>
      </c>
      <c r="M43" s="63">
        <f>+M41-M42</f>
        <v>69899.18399999995</v>
      </c>
      <c r="N43" s="66">
        <f>+M43/$M$20</f>
        <v>0.20958410831385177</v>
      </c>
      <c r="O43" s="66" t="str">
        <f>IF(K43=0,"",(M43-K43)/ABS(K43)+1)</f>
        <v/>
      </c>
      <c r="P43" s="63">
        <f>+P41-P42</f>
        <v>13615.009843580001</v>
      </c>
      <c r="Q43" s="66">
        <f>+P43/$P$20</f>
        <v>0.21975146140872534</v>
      </c>
      <c r="R43" s="66">
        <f>IF(P43=0,"",(M43-P43)/ABS(P43))</f>
        <v>4.1339796888182265</v>
      </c>
    </row>
    <row r="45" spans="2:30" x14ac:dyDescent="0.2">
      <c r="B45" s="3" t="s">
        <v>45</v>
      </c>
      <c r="C45" s="59">
        <f>+C43</f>
        <v>0</v>
      </c>
      <c r="D45" s="61" t="str">
        <f>IF($C$20=0," ",C45/$C$20)</f>
        <v xml:space="preserve"> </v>
      </c>
      <c r="E45" s="59">
        <f>+E43</f>
        <v>-2318.3759999999893</v>
      </c>
      <c r="F45" s="61">
        <f>+E45/$E$20</f>
        <v>-5.0402984555447103E-2</v>
      </c>
      <c r="G45" s="61" t="str">
        <f>IF(C45=0,"",(E45-C45)/ABS(C45)+1)</f>
        <v/>
      </c>
      <c r="H45" s="59">
        <v>2462</v>
      </c>
      <c r="I45" s="61">
        <f>+H45/$H$20</f>
        <v>0.2131236376794281</v>
      </c>
      <c r="J45" s="61">
        <f>IF(H45=0,"",(E45-H45)/ABS(H45))</f>
        <v>-1.9416636880584848</v>
      </c>
      <c r="K45" s="59">
        <f>+K43</f>
        <v>0</v>
      </c>
      <c r="L45" s="61" t="str">
        <f>IF($K$20=0," ",K45/$K$20)</f>
        <v xml:space="preserve"> </v>
      </c>
      <c r="M45" s="59">
        <f>+M43</f>
        <v>69899.18399999995</v>
      </c>
      <c r="N45" s="61">
        <f>+M45/$M$20</f>
        <v>0.20958410831385177</v>
      </c>
      <c r="O45" s="61" t="str">
        <f>IF(K45=0,"",(M45-K45)/ABS(K45)+1)</f>
        <v/>
      </c>
      <c r="P45" s="59">
        <v>13615</v>
      </c>
      <c r="Q45" s="61">
        <f>+P45/$P$20</f>
        <v>0.21975130252958272</v>
      </c>
      <c r="R45" s="61">
        <f>IF(P45=0,"",(M45-P45)/ABS(P45))</f>
        <v>4.1339834006610321</v>
      </c>
    </row>
    <row r="46" spans="2:30" x14ac:dyDescent="0.2">
      <c r="B46" s="3" t="s">
        <v>20</v>
      </c>
      <c r="C46" s="59"/>
      <c r="D46" s="61"/>
      <c r="E46" s="59">
        <v>8769.57</v>
      </c>
      <c r="F46" s="61">
        <f>+E46/$E$20</f>
        <v>0.19065608911924306</v>
      </c>
      <c r="G46" s="61"/>
      <c r="H46" s="59">
        <v>2718</v>
      </c>
      <c r="I46" s="61">
        <f>+H46/$H$20</f>
        <v>0.23528434086624109</v>
      </c>
      <c r="J46" s="61"/>
      <c r="K46" s="59"/>
      <c r="L46" s="61"/>
      <c r="M46" s="59">
        <v>77631.48</v>
      </c>
      <c r="N46" s="61">
        <f>+M46/$M$20</f>
        <v>0.23276844709495648</v>
      </c>
      <c r="O46" s="61" t="str">
        <f>IF(K46=0,"",(M46-K46)/ABS(K46)+1)</f>
        <v/>
      </c>
      <c r="P46" s="59">
        <v>14680</v>
      </c>
      <c r="Q46" s="61"/>
      <c r="R46" s="61">
        <f>IF(P46=0,"",(M46-P46)/ABS(P46))</f>
        <v>4.2882479564032696</v>
      </c>
    </row>
    <row r="47" spans="2:30" x14ac:dyDescent="0.2">
      <c r="B47" s="53"/>
      <c r="C47" s="59"/>
      <c r="D47" s="53"/>
      <c r="E47" s="53" t="s">
        <v>47</v>
      </c>
      <c r="F47" s="53"/>
      <c r="G47" s="53"/>
      <c r="H47" s="53" t="s">
        <v>47</v>
      </c>
      <c r="I47" s="53"/>
      <c r="J47" s="53"/>
      <c r="K47" s="53"/>
      <c r="L47" s="53"/>
      <c r="M47" s="59"/>
      <c r="N47" s="53"/>
      <c r="O47" s="53"/>
      <c r="P47" s="59" t="s">
        <v>47</v>
      </c>
      <c r="Q47" s="53"/>
      <c r="R47" s="53"/>
    </row>
    <row r="48" spans="2:30" x14ac:dyDescent="0.2">
      <c r="H48" s="6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E842-A578-4E00-B887-75D7425D3719}">
  <sheetPr>
    <tabColor theme="2" tint="-0.249977111117893"/>
  </sheetPr>
  <dimension ref="A1:AY47"/>
  <sheetViews>
    <sheetView showGridLines="0" zoomScaleNormal="100" workbookViewId="0">
      <selection activeCell="D4" sqref="D4:D5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3" width="11.42578125" style="2"/>
    <col min="34" max="34" width="12.85546875" style="2" bestFit="1" customWidth="1"/>
    <col min="35" max="35" width="18.85546875" style="2" customWidth="1"/>
    <col min="36" max="16384" width="11.42578125" style="2"/>
  </cols>
  <sheetData>
    <row r="1" spans="1:35" s="42" customFormat="1" ht="18.75" customHeight="1" x14ac:dyDescent="0.2">
      <c r="B1" s="41"/>
    </row>
    <row r="2" spans="1:35" ht="18.75" customHeight="1" x14ac:dyDescent="0.2">
      <c r="A2" s="42"/>
      <c r="Y2" s="46"/>
      <c r="Z2" s="46"/>
      <c r="AA2" s="46"/>
      <c r="AB2" s="46"/>
    </row>
    <row r="3" spans="1:35" ht="18" x14ac:dyDescent="0.25">
      <c r="B3" s="13" t="s">
        <v>117</v>
      </c>
      <c r="S3" s="46"/>
      <c r="T3" s="15" t="s">
        <v>117</v>
      </c>
      <c r="AF3" s="2" t="str">
        <f>+B6</f>
        <v>OCTUBRE de 2022</v>
      </c>
      <c r="AG3" s="2" t="s">
        <v>121</v>
      </c>
      <c r="AH3" s="90">
        <f>+AU44</f>
        <v>9.0500000000000007</v>
      </c>
      <c r="AI3" s="2" t="s">
        <v>122</v>
      </c>
    </row>
    <row r="4" spans="1:35" x14ac:dyDescent="0.2">
      <c r="B4" s="2" t="s">
        <v>76</v>
      </c>
      <c r="S4" s="46"/>
      <c r="T4" s="3" t="s">
        <v>6</v>
      </c>
      <c r="AG4" s="2" t="s">
        <v>123</v>
      </c>
      <c r="AH4" s="90">
        <f>+AM44</f>
        <v>4.5599999999999996</v>
      </c>
    </row>
    <row r="5" spans="1:35" ht="13.5" thickBot="1" x14ac:dyDescent="0.25">
      <c r="B5" s="3" t="s">
        <v>124</v>
      </c>
      <c r="S5" s="46"/>
      <c r="T5" s="3" t="s">
        <v>125</v>
      </c>
      <c r="X5" s="18" t="s">
        <v>8</v>
      </c>
      <c r="Y5" s="18"/>
      <c r="Z5" s="18"/>
      <c r="AA5" s="18"/>
      <c r="AB5" s="18"/>
      <c r="AC5" s="18"/>
    </row>
    <row r="6" spans="1:35" ht="13.5" thickBot="1" x14ac:dyDescent="0.25">
      <c r="B6" s="17" t="str">
        <f>+'VZLA BFS'!B6</f>
        <v>OCTUBRE de 2022</v>
      </c>
      <c r="C6" s="84"/>
      <c r="K6" s="89" t="s">
        <v>8</v>
      </c>
      <c r="L6" s="89"/>
      <c r="M6" s="89"/>
      <c r="N6" s="89"/>
      <c r="O6" s="89"/>
      <c r="P6" s="89"/>
      <c r="Q6" s="89"/>
      <c r="R6" s="89"/>
      <c r="T6" s="17" t="str">
        <f>+B6</f>
        <v>OCTUBRE de 2022</v>
      </c>
      <c r="Z6" s="2" t="s">
        <v>11</v>
      </c>
      <c r="AA6" s="2" t="s">
        <v>9</v>
      </c>
      <c r="AC6" s="2" t="s">
        <v>10</v>
      </c>
    </row>
    <row r="7" spans="1:35" ht="15.75" customHeight="1" x14ac:dyDescent="0.2">
      <c r="C7" s="2" t="str">
        <f>+'VZLA BFS'!C7</f>
        <v>Ppto 2022</v>
      </c>
      <c r="E7" s="2" t="str">
        <f>+'VZLA BFS'!E7</f>
        <v>Real 2022</v>
      </c>
      <c r="G7" s="2" t="str">
        <f>+'VZLA BFS'!G7</f>
        <v>Cump</v>
      </c>
      <c r="H7" s="2" t="str">
        <f>+'VZLA BFS'!H7</f>
        <v>Real 2021</v>
      </c>
      <c r="J7" s="42" t="s">
        <v>10</v>
      </c>
      <c r="K7" s="2" t="str">
        <f>+C7</f>
        <v>Ppto 2022</v>
      </c>
      <c r="M7" s="2" t="str">
        <f>+E7</f>
        <v>Real 2022</v>
      </c>
      <c r="O7" s="2" t="str">
        <f>+G7</f>
        <v>Cump</v>
      </c>
      <c r="P7" s="2" t="str">
        <f>+H7</f>
        <v>Real 2021</v>
      </c>
      <c r="Q7" s="42"/>
      <c r="R7" s="42" t="s">
        <v>10</v>
      </c>
      <c r="S7" s="42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46" t="str">
        <f>+U7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  <c r="AD7" s="46"/>
      <c r="AE7" s="46"/>
      <c r="AH7" s="2">
        <v>2819322440</v>
      </c>
      <c r="AI7" s="91">
        <f>1/AH4</f>
        <v>0.2192982456140351</v>
      </c>
    </row>
    <row r="8" spans="1:35" ht="13.5" thickBot="1" x14ac:dyDescent="0.25">
      <c r="B8" s="24"/>
      <c r="C8" s="25" t="s">
        <v>13</v>
      </c>
      <c r="D8" s="25" t="s">
        <v>14</v>
      </c>
      <c r="E8" s="25" t="s">
        <v>13</v>
      </c>
      <c r="F8" s="25" t="s">
        <v>14</v>
      </c>
      <c r="G8" s="25" t="s">
        <v>15</v>
      </c>
      <c r="H8" s="25" t="s">
        <v>13</v>
      </c>
      <c r="I8" s="25" t="s">
        <v>14</v>
      </c>
      <c r="J8" s="25" t="s">
        <v>15</v>
      </c>
      <c r="K8" s="25" t="s">
        <v>13</v>
      </c>
      <c r="L8" s="25" t="s">
        <v>14</v>
      </c>
      <c r="M8" s="25" t="s">
        <v>13</v>
      </c>
      <c r="N8" s="25" t="s">
        <v>14</v>
      </c>
      <c r="O8" s="25" t="s">
        <v>15</v>
      </c>
      <c r="P8" s="25" t="s">
        <v>13</v>
      </c>
      <c r="Q8" s="25" t="s">
        <v>14</v>
      </c>
      <c r="R8" s="25" t="s">
        <v>15</v>
      </c>
      <c r="S8" s="46"/>
      <c r="T8" s="24"/>
      <c r="U8" s="25"/>
      <c r="V8" s="25"/>
      <c r="W8" s="25"/>
      <c r="X8" s="24"/>
      <c r="Y8" s="24"/>
      <c r="Z8" s="25"/>
      <c r="AA8" s="25" t="s">
        <v>15</v>
      </c>
      <c r="AB8" s="24"/>
      <c r="AC8" s="25" t="s">
        <v>15</v>
      </c>
      <c r="AD8" s="46"/>
      <c r="AE8" s="46"/>
      <c r="AI8" s="92">
        <f>+AI7*AH7</f>
        <v>618272464.9122808</v>
      </c>
    </row>
    <row r="9" spans="1:35" x14ac:dyDescent="0.2">
      <c r="S9" s="61"/>
      <c r="AD9" s="61"/>
      <c r="AE9" s="61"/>
      <c r="AH9" s="2">
        <f>+AH7/AH4</f>
        <v>618272464.9122808</v>
      </c>
    </row>
    <row r="10" spans="1:35" x14ac:dyDescent="0.2">
      <c r="B10" s="3" t="s">
        <v>55</v>
      </c>
      <c r="C10" s="59">
        <f>'VZLA BFS'!C10/'VENEZUELA USD'!$AH$3</f>
        <v>0</v>
      </c>
      <c r="D10" s="28" t="str">
        <f t="shared" ref="D10:D20" si="0">IF(DD19&lt;=0," ",C10/$C$20)</f>
        <v xml:space="preserve"> </v>
      </c>
      <c r="E10" s="59">
        <f>'VZLA BFS'!E10/'VENEZUELA USD'!$AH$3</f>
        <v>2942.3204419889498</v>
      </c>
      <c r="F10" s="28">
        <f t="shared" ref="F10:F20" si="1">+E10/$E$20</f>
        <v>0.57890983720606648</v>
      </c>
      <c r="G10" s="28" t="str">
        <f>IF(C10=0,"",(E10-C10)/ABS(C10)+1)</f>
        <v/>
      </c>
      <c r="H10" s="55">
        <f>+'VZLA BFS'!H10/'VENEZUELA USD'!$AH$4</f>
        <v>1456.5789473684213</v>
      </c>
      <c r="I10" s="28">
        <f t="shared" ref="I10:I20" si="2">IF($H$20&lt;=0," ",H10/$H$20)</f>
        <v>0.57496636940160906</v>
      </c>
      <c r="J10" s="28">
        <f>IF(E10=0,"",(E10-H10)/ABS(H10))</f>
        <v>1.0200212609860899</v>
      </c>
      <c r="K10" s="59">
        <f>'VZLA BFS'!K10/'VENEZUELA USD'!$AH$3</f>
        <v>0</v>
      </c>
      <c r="L10" s="28" t="str">
        <f t="shared" ref="L10:L22" si="3">IF($K$20&lt;=0," ",K10/$K$20)</f>
        <v xml:space="preserve"> </v>
      </c>
      <c r="M10" s="59">
        <f>'VZLA BFS'!M10/'VENEZUELA USD'!$AH$3</f>
        <v>16326.629834254143</v>
      </c>
      <c r="N10" s="28">
        <f t="shared" ref="N10:N15" si="4">+M10/$M$20</f>
        <v>0.44302819769715057</v>
      </c>
      <c r="O10" s="28" t="str">
        <f>IF(K10=0,"",(M10-K10)/ABS(K10)+1)</f>
        <v/>
      </c>
      <c r="P10" s="55">
        <f>+'VZLA BFS'!P10/'VENEZUELA USD'!$AH$4</f>
        <v>7257.6754385964914</v>
      </c>
      <c r="Q10" s="28">
        <f t="shared" ref="Q10:Q22" si="5">IF($P$20&lt;=0," ",P10/$P$20)</f>
        <v>0.53416594617822544</v>
      </c>
      <c r="R10" s="28">
        <f>IF(M10=0,"",(M10-P10)/ABS(P10))</f>
        <v>1.2495673680072186</v>
      </c>
      <c r="S10" s="61"/>
      <c r="T10" s="3" t="s">
        <v>16</v>
      </c>
      <c r="U10" s="59">
        <f>+'VZLA BFS'!U10/'VENEZUELA USD'!$AH$3</f>
        <v>26149.392265193368</v>
      </c>
      <c r="V10" s="59">
        <f>+'VZLA BFS'!V10/'VENEZUELA USD'!$AH$3</f>
        <v>6423.5359116022091</v>
      </c>
      <c r="W10" s="59">
        <f>+'VZLA BFS'!W10/'VENEZUELA USD'!$AH$3</f>
        <v>188.9502762430939</v>
      </c>
      <c r="X10" s="59">
        <f>+'VZLA BFS'!X10/'VENEZUELA USD'!$AH$3</f>
        <v>26149.392265193368</v>
      </c>
      <c r="Y10" s="59">
        <f>+'VZLA BFS'!Y10/'VENEZUELA USD'!$AH$3</f>
        <v>1631.7127071823204</v>
      </c>
      <c r="Z10" s="55">
        <f>+Y10-X10</f>
        <v>-24517.679558011048</v>
      </c>
      <c r="AA10" s="61">
        <f>IF(X10=0,"",(Y10-X10)/ABS(X10)+1)</f>
        <v>6.2399641667934325E-2</v>
      </c>
      <c r="AB10" s="59">
        <f>+'VZLA BFS'!AB10/'VENEZUELA USD'!$AH$3</f>
        <v>50.718232044198892</v>
      </c>
      <c r="AC10" s="61">
        <f>IF(W10=0,"",(Y10-AB10)/ABS(AB10))</f>
        <v>31.17211328976035</v>
      </c>
      <c r="AD10" s="61"/>
      <c r="AE10" s="61"/>
    </row>
    <row r="11" spans="1:35" x14ac:dyDescent="0.2">
      <c r="B11" s="3" t="s">
        <v>57</v>
      </c>
      <c r="C11" s="59">
        <f>'VZLA BFS'!C11/'VENEZUELA USD'!$AH$3</f>
        <v>0</v>
      </c>
      <c r="D11" s="28" t="str">
        <f t="shared" si="0"/>
        <v xml:space="preserve"> </v>
      </c>
      <c r="E11" s="59">
        <f>'VZLA BFS'!E11/'VENEZUELA USD'!$AH$3</f>
        <v>535.69060773480658</v>
      </c>
      <c r="F11" s="28">
        <f t="shared" si="1"/>
        <v>0.10539863642688187</v>
      </c>
      <c r="G11" s="28" t="str">
        <f t="shared" ref="G11:G22" si="6">IF(C11=0,"",(E11-C11)/ABS(C11)+1)</f>
        <v/>
      </c>
      <c r="H11" s="55">
        <f>+'VZLA BFS'!H11/'VENEZUELA USD'!$AH$4</f>
        <v>268.38815789473682</v>
      </c>
      <c r="I11" s="28">
        <f t="shared" si="2"/>
        <v>0.10594287732492608</v>
      </c>
      <c r="J11" s="28">
        <f t="shared" ref="J11:J20" si="7">IF(E11=0,"",(E11-H11)/ABS(H11))</f>
        <v>0.99595470954015453</v>
      </c>
      <c r="K11" s="59">
        <f>'VZLA BFS'!K11/'VENEZUELA USD'!$AH$3</f>
        <v>0</v>
      </c>
      <c r="L11" s="28" t="str">
        <f t="shared" si="3"/>
        <v xml:space="preserve"> </v>
      </c>
      <c r="M11" s="59">
        <f>'VZLA BFS'!M11/'VENEZUELA USD'!$AH$3</f>
        <v>3586.7182320441989</v>
      </c>
      <c r="N11" s="28">
        <f t="shared" si="4"/>
        <v>9.7326718993543199E-2</v>
      </c>
      <c r="O11" s="28" t="str">
        <f t="shared" ref="O11:O22" si="8">IF(K11=0,"",(M11-K11)/ABS(K11)+1)</f>
        <v/>
      </c>
      <c r="P11" s="55">
        <f>+'VZLA BFS'!P11/'VENEZUELA USD'!$AH$4</f>
        <v>2195.2700820394739</v>
      </c>
      <c r="Q11" s="28">
        <f t="shared" si="5"/>
        <v>0.16157219076692883</v>
      </c>
      <c r="R11" s="28">
        <f t="shared" ref="R11:R22" si="9">IF(M11=0,"",(M11-P11)/ABS(P11))</f>
        <v>0.6338391623831664</v>
      </c>
      <c r="S11" s="61"/>
      <c r="T11" s="3" t="s">
        <v>17</v>
      </c>
      <c r="U11" s="59">
        <f>+'VZLA BFS'!U11/'VENEZUELA USD'!$AH$3</f>
        <v>0</v>
      </c>
      <c r="V11" s="59">
        <f>+'VZLA BFS'!V11/'VENEZUELA USD'!$AH$3</f>
        <v>3918.0707182320439</v>
      </c>
      <c r="W11" s="59">
        <f>+'VZLA BFS'!W11/'VENEZUELA USD'!$AH$3</f>
        <v>1330.3867403314916</v>
      </c>
      <c r="X11" s="59">
        <f>+'VZLA BFS'!X11/'VENEZUELA USD'!$AH$3</f>
        <v>0</v>
      </c>
      <c r="Y11" s="59">
        <f>+'VZLA BFS'!Y11/'VENEZUELA USD'!$AH$3</f>
        <v>35337.333701657459</v>
      </c>
      <c r="Z11" s="55">
        <f>+Y11-X11</f>
        <v>35337.333701657459</v>
      </c>
      <c r="AA11" s="61" t="str">
        <f>IF(X11=0,"",(Y11-X11)/ABS(X11)+1)</f>
        <v/>
      </c>
      <c r="AB11" s="59">
        <f>+'VZLA BFS'!AB11/'VENEZUELA USD'!$AH$3</f>
        <v>5892.044198895027</v>
      </c>
      <c r="AC11" s="61">
        <f>IF(AB11=0,"",(Y11-AB11)/ABS(AB11))</f>
        <v>4.9974658215029173</v>
      </c>
      <c r="AD11" s="61"/>
      <c r="AE11" s="61"/>
    </row>
    <row r="12" spans="1:35" x14ac:dyDescent="0.2">
      <c r="B12" s="3" t="s">
        <v>59</v>
      </c>
      <c r="C12" s="59">
        <f>'VZLA BFS'!C12/'VENEZUELA USD'!$AH$3</f>
        <v>0</v>
      </c>
      <c r="D12" s="28" t="str">
        <f t="shared" si="0"/>
        <v xml:space="preserve"> </v>
      </c>
      <c r="E12" s="59">
        <f>'VZLA BFS'!E12/'VENEZUELA USD'!$AH$3</f>
        <v>827.13812154696132</v>
      </c>
      <c r="F12" s="28">
        <f t="shared" si="1"/>
        <v>0.16274175594823989</v>
      </c>
      <c r="G12" s="28" t="str">
        <f t="shared" si="6"/>
        <v/>
      </c>
      <c r="H12" s="55">
        <f>+'VZLA BFS'!H12/'VENEZUELA USD'!$AH$4</f>
        <v>363</v>
      </c>
      <c r="I12" s="28">
        <f t="shared" si="2"/>
        <v>0.14328972176198362</v>
      </c>
      <c r="J12" s="28">
        <f t="shared" si="7"/>
        <v>1.278617414729921</v>
      </c>
      <c r="K12" s="59">
        <f>'VZLA BFS'!K12/'VENEZUELA USD'!$AH$3</f>
        <v>0</v>
      </c>
      <c r="L12" s="28" t="str">
        <f t="shared" si="3"/>
        <v xml:space="preserve"> </v>
      </c>
      <c r="M12" s="59">
        <f>'VZLA BFS'!M12/'VENEZUELA USD'!$AH$3</f>
        <v>5004.3812154696125</v>
      </c>
      <c r="N12" s="28">
        <f t="shared" si="4"/>
        <v>0.13579544664064236</v>
      </c>
      <c r="O12" s="28" t="str">
        <f t="shared" si="8"/>
        <v/>
      </c>
      <c r="P12" s="55">
        <f>+'VZLA BFS'!P12/'VENEZUELA USD'!$AH$4</f>
        <v>1777.1774234517543</v>
      </c>
      <c r="Q12" s="28">
        <f t="shared" si="5"/>
        <v>0.13080051153517369</v>
      </c>
      <c r="R12" s="28">
        <f t="shared" si="9"/>
        <v>1.8159153663733609</v>
      </c>
      <c r="S12" s="61"/>
      <c r="U12" s="59">
        <f>+'VZLA BFS'!U12/'VENEZUELA USD'!$AH$3</f>
        <v>0</v>
      </c>
      <c r="AD12" s="61"/>
      <c r="AE12" s="61"/>
    </row>
    <row r="13" spans="1:35" x14ac:dyDescent="0.2">
      <c r="B13" s="3" t="s">
        <v>61</v>
      </c>
      <c r="C13" s="59">
        <f>'VZLA BFS'!C13/'VENEZUELA USD'!$AH$3</f>
        <v>0</v>
      </c>
      <c r="D13" s="28" t="str">
        <f t="shared" si="0"/>
        <v xml:space="preserve"> </v>
      </c>
      <c r="E13" s="59">
        <f>'VZLA BFS'!E13/'VENEZUELA USD'!$AH$3</f>
        <v>10.872928176795581</v>
      </c>
      <c r="F13" s="28">
        <f t="shared" si="1"/>
        <v>2.1392792542089885E-3</v>
      </c>
      <c r="G13" s="28" t="str">
        <f t="shared" si="6"/>
        <v/>
      </c>
      <c r="H13" s="55">
        <f>+'VZLA BFS'!H13/'VENEZUELA USD'!$AH$4</f>
        <v>0</v>
      </c>
      <c r="I13" s="28">
        <f t="shared" si="2"/>
        <v>0</v>
      </c>
      <c r="J13" s="28" t="e">
        <f t="shared" si="7"/>
        <v>#DIV/0!</v>
      </c>
      <c r="K13" s="59">
        <f>'VZLA BFS'!K13/'VENEZUELA USD'!$AH$3</f>
        <v>0</v>
      </c>
      <c r="L13" s="28" t="str">
        <f t="shared" si="3"/>
        <v xml:space="preserve"> </v>
      </c>
      <c r="M13" s="59">
        <f>'VZLA BFS'!M13/'VENEZUELA USD'!$AH$3</f>
        <v>7184.2066298342534</v>
      </c>
      <c r="N13" s="28">
        <f t="shared" si="4"/>
        <v>0.19494568979702667</v>
      </c>
      <c r="O13" s="28" t="str">
        <f t="shared" si="8"/>
        <v/>
      </c>
      <c r="P13" s="55">
        <f>+'VZLA BFS'!P13/'VENEZUELA USD'!$AH$4</f>
        <v>203.63204254385968</v>
      </c>
      <c r="Q13" s="28">
        <f t="shared" si="5"/>
        <v>1.4987347339781337E-2</v>
      </c>
      <c r="R13" s="28">
        <f t="shared" si="9"/>
        <v>34.280334765030254</v>
      </c>
      <c r="S13" s="61"/>
      <c r="T13" s="3" t="s">
        <v>18</v>
      </c>
      <c r="U13" s="59">
        <f>+'VZLA BFS'!U13/'VENEZUELA USD'!$AH$3</f>
        <v>0</v>
      </c>
      <c r="V13" s="59">
        <f>+'VZLA BFS'!V13/'VENEZUELA USD'!$AH$3</f>
        <v>0</v>
      </c>
      <c r="W13" s="59">
        <f>+'VZLA BFS'!W13/'VENEZUELA USD'!$AH$3</f>
        <v>0</v>
      </c>
      <c r="X13" s="59">
        <f>+'VZLA BFS'!X13/'VENEZUELA USD'!$AH$3</f>
        <v>0</v>
      </c>
      <c r="Y13" s="59">
        <f>+'VZLA BFS'!Y13/'VENEZUELA USD'!$AH$3</f>
        <v>0</v>
      </c>
      <c r="Z13" s="55">
        <f>+X13-Y13</f>
        <v>0</v>
      </c>
      <c r="AA13" s="61" t="str">
        <f>IF(X13=0,"",(Y13-X13)/ABS(X13)+1)</f>
        <v/>
      </c>
      <c r="AB13" s="59">
        <f>+'VZLA BFS'!AB13/'VENEZUELA USD'!$AH$3</f>
        <v>0</v>
      </c>
      <c r="AC13" s="61" t="str">
        <f>IF(AB13=0,"",(Y13-AB13)/ABS(AB13))</f>
        <v/>
      </c>
      <c r="AD13" s="61"/>
      <c r="AE13" s="61"/>
    </row>
    <row r="14" spans="1:35" x14ac:dyDescent="0.2">
      <c r="B14" s="3" t="s">
        <v>62</v>
      </c>
      <c r="C14" s="59">
        <f>'VZLA BFS'!C14/'VENEZUELA USD'!$AH$3</f>
        <v>0</v>
      </c>
      <c r="D14" s="28" t="str">
        <f t="shared" si="0"/>
        <v xml:space="preserve"> </v>
      </c>
      <c r="E14" s="59">
        <f>'VZLA BFS'!E14/'VENEZUELA USD'!$AH$3</f>
        <v>0</v>
      </c>
      <c r="F14" s="28">
        <f t="shared" si="1"/>
        <v>0</v>
      </c>
      <c r="G14" s="28" t="str">
        <f t="shared" si="6"/>
        <v/>
      </c>
      <c r="H14" s="55">
        <f>+'VZLA BFS'!H14/'VENEZUELA USD'!$AH$4</f>
        <v>0</v>
      </c>
      <c r="I14" s="28">
        <f t="shared" si="2"/>
        <v>0</v>
      </c>
      <c r="J14" s="28" t="str">
        <f t="shared" si="7"/>
        <v/>
      </c>
      <c r="K14" s="59">
        <f>'VZLA BFS'!K14/'VENEZUELA USD'!$AH$3</f>
        <v>0</v>
      </c>
      <c r="L14" s="28" t="str">
        <f t="shared" si="3"/>
        <v xml:space="preserve"> </v>
      </c>
      <c r="M14" s="59">
        <f>'VZLA BFS'!M14/'VENEZUELA USD'!$AH$3</f>
        <v>0</v>
      </c>
      <c r="N14" s="28">
        <f t="shared" si="4"/>
        <v>0</v>
      </c>
      <c r="O14" s="28" t="str">
        <f t="shared" si="8"/>
        <v/>
      </c>
      <c r="P14" s="55">
        <f>+'VZLA BFS'!P14/'VENEZUELA USD'!$AH$4</f>
        <v>0</v>
      </c>
      <c r="Q14" s="28">
        <f t="shared" si="5"/>
        <v>0</v>
      </c>
      <c r="R14" s="28" t="str">
        <f t="shared" si="9"/>
        <v/>
      </c>
      <c r="S14" s="61"/>
      <c r="T14" s="3" t="s">
        <v>19</v>
      </c>
      <c r="U14" s="59">
        <f>+'VZLA BFS'!U14/'VENEZUELA USD'!$AH$3</f>
        <v>0</v>
      </c>
      <c r="V14" s="59">
        <f>+'VZLA BFS'!V14/'VENEZUELA USD'!$AH$3</f>
        <v>0</v>
      </c>
      <c r="W14" s="59">
        <f>+'VZLA BFS'!W14/'VENEZUELA USD'!$AH$3</f>
        <v>0</v>
      </c>
      <c r="X14" s="59">
        <f>+'VZLA BFS'!X14/'VENEZUELA USD'!$AH$3</f>
        <v>0</v>
      </c>
      <c r="Y14" s="59">
        <f>+'VZLA BFS'!Y14/'VENEZUELA USD'!$AH$3</f>
        <v>0</v>
      </c>
      <c r="Z14" s="55">
        <f>+X14-Y14</f>
        <v>0</v>
      </c>
      <c r="AA14" s="61" t="str">
        <f>IF(X14=0,"",(Y14-X14)/ABS(X14)+1)</f>
        <v/>
      </c>
      <c r="AB14" s="59">
        <f>+'VZLA BFS'!AB14/'VENEZUELA USD'!$AH$3</f>
        <v>0</v>
      </c>
      <c r="AC14" s="61" t="str">
        <f>IF(AB14=0,"",(Y14-AB14)/ABS(AB14))</f>
        <v/>
      </c>
      <c r="AD14" s="61"/>
      <c r="AE14" s="61"/>
    </row>
    <row r="15" spans="1:35" x14ac:dyDescent="0.2">
      <c r="B15" s="3" t="s">
        <v>64</v>
      </c>
      <c r="C15" s="59">
        <f>'VZLA BFS'!C15/'VENEZUELA USD'!$AH$3</f>
        <v>0</v>
      </c>
      <c r="D15" s="28" t="str">
        <f t="shared" si="0"/>
        <v xml:space="preserve"> </v>
      </c>
      <c r="E15" s="59">
        <f>'VZLA BFS'!E15/'VENEZUELA USD'!$AH$3</f>
        <v>766.49723756906076</v>
      </c>
      <c r="F15" s="28">
        <f t="shared" si="1"/>
        <v>0.15081049116460277</v>
      </c>
      <c r="G15" s="28" t="str">
        <f t="shared" si="6"/>
        <v/>
      </c>
      <c r="H15" s="55">
        <f>+'VZLA BFS'!H15/'VENEZUELA USD'!$AH$4</f>
        <v>445.36184210526318</v>
      </c>
      <c r="I15" s="28">
        <f t="shared" si="2"/>
        <v>0.1758010315114811</v>
      </c>
      <c r="J15" s="28">
        <f t="shared" si="7"/>
        <v>0.72106625467903429</v>
      </c>
      <c r="K15" s="59">
        <f>'VZLA BFS'!K15/'VENEZUELA USD'!$AH$3</f>
        <v>0</v>
      </c>
      <c r="L15" s="28" t="str">
        <f t="shared" si="3"/>
        <v xml:space="preserve"> </v>
      </c>
      <c r="M15" s="59">
        <f>'VZLA BFS'!M15/'VENEZUELA USD'!$AH$3</f>
        <v>4750.4132596685076</v>
      </c>
      <c r="N15" s="28">
        <f t="shared" si="4"/>
        <v>0.12890394687163734</v>
      </c>
      <c r="O15" s="28" t="str">
        <f t="shared" si="8"/>
        <v/>
      </c>
      <c r="P15" s="55">
        <f>+'VZLA BFS'!P15/'VENEZUELA USD'!$AH$4</f>
        <v>2153.1752370614035</v>
      </c>
      <c r="Q15" s="28">
        <f t="shared" si="5"/>
        <v>0.15847400417989058</v>
      </c>
      <c r="R15" s="28">
        <f t="shared" si="9"/>
        <v>1.2062362495640371</v>
      </c>
      <c r="S15" s="61"/>
      <c r="T15" s="3" t="s">
        <v>20</v>
      </c>
      <c r="U15" s="59">
        <f>+'VZLA BFS'!U15/'VENEZUELA USD'!$AH$3</f>
        <v>0</v>
      </c>
      <c r="V15" s="59">
        <f>+'VZLA BFS'!V15/'VENEZUELA USD'!$AH$3</f>
        <v>1034.3303867403315</v>
      </c>
      <c r="W15" s="59">
        <f>+'VZLA BFS'!W15/'VENEZUELA USD'!$AH$3</f>
        <v>268.39779005524861</v>
      </c>
      <c r="X15" s="59">
        <f>+'VZLA BFS'!X15/'VENEZUELA USD'!$AH$3</f>
        <v>0</v>
      </c>
      <c r="Y15" s="59">
        <f>+'VZLA BFS'!Y15/'VENEZUELA USD'!$AH$3</f>
        <v>7636.1226519337015</v>
      </c>
      <c r="Z15" s="55">
        <f>+X15-Y15</f>
        <v>-7636.1226519337015</v>
      </c>
      <c r="AA15" s="61" t="str">
        <f>IF(X15=0,"",(Y15-X15)/ABS(X15)+1)</f>
        <v/>
      </c>
      <c r="AB15" s="59">
        <f>+'VZLA BFS'!AB15/'VENEZUELA USD'!$AH$3</f>
        <v>1130.1657458563534</v>
      </c>
      <c r="AC15" s="61">
        <f>IF(AB15=0,"",(Y15-AB15)/ABS(AB15))</f>
        <v>5.7566396167383669</v>
      </c>
      <c r="AD15" s="61"/>
      <c r="AE15" s="61"/>
      <c r="AG15" s="47"/>
    </row>
    <row r="16" spans="1:35" x14ac:dyDescent="0.2">
      <c r="B16" s="3" t="s">
        <v>65</v>
      </c>
      <c r="C16" s="59">
        <f>'VZLA BFS'!C16/'VENEZUELA USD'!$AH$3</f>
        <v>0</v>
      </c>
      <c r="D16" s="28" t="str">
        <f t="shared" si="0"/>
        <v xml:space="preserve"> </v>
      </c>
      <c r="E16" s="59">
        <f>'VZLA BFS'!E16/'VENEZUELA USD'!$AH$3</f>
        <v>0</v>
      </c>
      <c r="F16" s="28">
        <f t="shared" si="1"/>
        <v>0</v>
      </c>
      <c r="G16" s="28" t="str">
        <f t="shared" si="6"/>
        <v/>
      </c>
      <c r="H16" s="55">
        <f>+'VZLA BFS'!H16/'VENEZUELA USD'!$AH$4</f>
        <v>0</v>
      </c>
      <c r="I16" s="28">
        <f t="shared" si="2"/>
        <v>0</v>
      </c>
      <c r="J16" s="28" t="str">
        <f t="shared" si="7"/>
        <v/>
      </c>
      <c r="K16" s="59">
        <f>'VZLA BFS'!K16/'VENEZUELA USD'!$AH$3</f>
        <v>0</v>
      </c>
      <c r="L16" s="28" t="str">
        <f t="shared" si="3"/>
        <v xml:space="preserve"> </v>
      </c>
      <c r="M16" s="59">
        <f>'VZLA BFS'!M16/'VENEZUELA USD'!$AH$3</f>
        <v>0</v>
      </c>
      <c r="N16" s="28"/>
      <c r="O16" s="28" t="str">
        <f t="shared" si="8"/>
        <v/>
      </c>
      <c r="P16" s="55">
        <f>+'VZLA BFS'!P16/'VENEZUELA USD'!$AH$4</f>
        <v>0</v>
      </c>
      <c r="Q16" s="28">
        <f t="shared" si="5"/>
        <v>0</v>
      </c>
      <c r="R16" s="28" t="str">
        <f t="shared" si="9"/>
        <v/>
      </c>
      <c r="S16" s="61"/>
      <c r="T16" s="3" t="s">
        <v>21</v>
      </c>
      <c r="U16" s="59">
        <f>+'VZLA BFS'!U16/'VENEZUELA USD'!$AH$3</f>
        <v>0</v>
      </c>
      <c r="V16" s="59">
        <f>+'VZLA BFS'!V16/'VENEZUELA USD'!$AH$3</f>
        <v>1304.6994475138122</v>
      </c>
      <c r="W16" s="59">
        <f>+'VZLA BFS'!W16/'VENEZUELA USD'!$AH$3</f>
        <v>734.69613259668506</v>
      </c>
      <c r="X16" s="59">
        <f>+'VZLA BFS'!X16/'VENEZUELA USD'!$AH$3</f>
        <v>0</v>
      </c>
      <c r="Y16" s="59">
        <f>+'VZLA BFS'!Y16/'VENEZUELA USD'!$AH$3</f>
        <v>17654.917127071822</v>
      </c>
      <c r="Z16" s="55">
        <f>+X16-Y16</f>
        <v>-17654.917127071822</v>
      </c>
      <c r="AA16" s="61" t="str">
        <f>IF(X16=0,"",(Y16-X16)/ABS(X16)+1)</f>
        <v/>
      </c>
      <c r="AB16" s="59">
        <f>+'VZLA BFS'!AB16/'VENEZUELA USD'!$AH$3</f>
        <v>3754.4751381215465</v>
      </c>
      <c r="AC16" s="61">
        <f>IF(AB16=0,"",(Y16-AB16)/ABS(AB16))</f>
        <v>3.7023662369768675</v>
      </c>
      <c r="AD16" s="61"/>
      <c r="AE16" s="61"/>
    </row>
    <row r="17" spans="2:33" x14ac:dyDescent="0.2">
      <c r="B17" s="3" t="s">
        <v>66</v>
      </c>
      <c r="C17" s="59">
        <f>'VZLA BFS'!C17/'VENEZUELA USD'!$AH$3</f>
        <v>0</v>
      </c>
      <c r="D17" s="28" t="str">
        <f t="shared" si="0"/>
        <v xml:space="preserve"> </v>
      </c>
      <c r="E17" s="59">
        <f>'VZLA BFS'!E17/'VENEZUELA USD'!$AH$3</f>
        <v>0</v>
      </c>
      <c r="F17" s="28">
        <f t="shared" si="1"/>
        <v>0</v>
      </c>
      <c r="G17" s="28" t="str">
        <f t="shared" si="6"/>
        <v/>
      </c>
      <c r="H17" s="55">
        <f>+'VZLA BFS'!H17/'VENEZUELA USD'!$AH$4</f>
        <v>0</v>
      </c>
      <c r="I17" s="28">
        <f t="shared" si="2"/>
        <v>0</v>
      </c>
      <c r="J17" s="28" t="str">
        <f t="shared" si="7"/>
        <v/>
      </c>
      <c r="K17" s="59">
        <f>'VZLA BFS'!K17/'VENEZUELA USD'!$AH$3</f>
        <v>0</v>
      </c>
      <c r="L17" s="28" t="str">
        <f t="shared" si="3"/>
        <v xml:space="preserve"> </v>
      </c>
      <c r="M17" s="59">
        <f>'VZLA BFS'!M17/'VENEZUELA USD'!$AH$3</f>
        <v>0</v>
      </c>
      <c r="N17" s="28"/>
      <c r="O17" s="28" t="str">
        <f t="shared" si="8"/>
        <v/>
      </c>
      <c r="P17" s="55">
        <f>+'VZLA BFS'!P17/'VENEZUELA USD'!$AH$4</f>
        <v>0</v>
      </c>
      <c r="Q17" s="28">
        <f t="shared" si="5"/>
        <v>0</v>
      </c>
      <c r="R17" s="28" t="str">
        <f t="shared" si="9"/>
        <v/>
      </c>
      <c r="S17" s="61"/>
      <c r="T17" s="3" t="s">
        <v>22</v>
      </c>
      <c r="U17" s="59">
        <f>+'VZLA BFS'!U17/'VENEZUELA USD'!$AH$3</f>
        <v>0</v>
      </c>
      <c r="V17" s="59">
        <f>+'VZLA BFS'!V17/'VENEZUELA USD'!$AH$3</f>
        <v>2339.0298342541437</v>
      </c>
      <c r="W17" s="59">
        <f>+'VZLA BFS'!W17/'VENEZUELA USD'!$AH$3</f>
        <v>1003.0939226519337</v>
      </c>
      <c r="X17" s="59">
        <f>+'VZLA BFS'!X17/'VENEZUELA USD'!$AH$3</f>
        <v>0</v>
      </c>
      <c r="Y17" s="59">
        <f>+'VZLA BFS'!Y17/'VENEZUELA USD'!$AH$3</f>
        <v>25291.039779005525</v>
      </c>
      <c r="Z17" s="55">
        <f>+Y17-X17</f>
        <v>25291.039779005525</v>
      </c>
      <c r="AA17" s="61" t="str">
        <f>IF(X17=0,"",(Y17-X17)/ABS(X17)+1)</f>
        <v/>
      </c>
      <c r="AB17" s="59">
        <f>+'VZLA BFS'!AB17/'VENEZUELA USD'!$AH$3</f>
        <v>4884.6408839779006</v>
      </c>
      <c r="AC17" s="61">
        <f>IF(AB17=0,"",(Y17-AB17)/ABS(AB17))</f>
        <v>4.1776661539157578</v>
      </c>
      <c r="AD17" s="61"/>
      <c r="AE17" s="61"/>
    </row>
    <row r="18" spans="2:33" x14ac:dyDescent="0.2">
      <c r="B18" s="3" t="s">
        <v>120</v>
      </c>
      <c r="C18" s="59">
        <f>'VZLA BFS'!C18/'VENEZUELA USD'!$AH$3</f>
        <v>0</v>
      </c>
      <c r="D18" s="28" t="str">
        <f t="shared" si="0"/>
        <v xml:space="preserve"> </v>
      </c>
      <c r="E18" s="59">
        <f>'VZLA BFS'!E18/'VENEZUELA USD'!$AH$3</f>
        <v>0</v>
      </c>
      <c r="F18" s="28">
        <f t="shared" si="1"/>
        <v>0</v>
      </c>
      <c r="G18" s="28" t="str">
        <f t="shared" si="6"/>
        <v/>
      </c>
      <c r="H18" s="55">
        <f>+'VZLA BFS'!H18/'VENEZUELA USD'!$AH$4</f>
        <v>0</v>
      </c>
      <c r="I18" s="28">
        <f t="shared" si="2"/>
        <v>0</v>
      </c>
      <c r="J18" s="28" t="str">
        <f t="shared" si="7"/>
        <v/>
      </c>
      <c r="K18" s="59">
        <f>'VZLA BFS'!K18/'VENEZUELA USD'!$AH$3</f>
        <v>0</v>
      </c>
      <c r="L18" s="28" t="str">
        <f t="shared" si="3"/>
        <v xml:space="preserve"> </v>
      </c>
      <c r="M18" s="59">
        <f>'VZLA BFS'!M18/'VENEZUELA USD'!$AH$3</f>
        <v>0</v>
      </c>
      <c r="N18" s="28"/>
      <c r="O18" s="28" t="str">
        <f t="shared" si="8"/>
        <v/>
      </c>
      <c r="P18" s="55">
        <f>+'VZLA BFS'!P18/'VENEZUELA USD'!$AH$4</f>
        <v>0</v>
      </c>
      <c r="Q18" s="28">
        <f t="shared" si="5"/>
        <v>0</v>
      </c>
      <c r="R18" s="28" t="str">
        <f t="shared" si="9"/>
        <v/>
      </c>
      <c r="S18" s="61"/>
      <c r="U18" s="59">
        <f>+'VZLA BFS'!U18/'VENEZUELA USD'!$AH$3</f>
        <v>0</v>
      </c>
      <c r="AD18" s="61"/>
      <c r="AE18" s="61"/>
    </row>
    <row r="19" spans="2:33" x14ac:dyDescent="0.2">
      <c r="B19" s="3" t="s">
        <v>70</v>
      </c>
      <c r="C19" s="59">
        <f>'VZLA BFS'!C19/'VENEZUELA USD'!$AH$3</f>
        <v>0</v>
      </c>
      <c r="D19" s="28" t="str">
        <f t="shared" si="0"/>
        <v xml:space="preserve"> </v>
      </c>
      <c r="E19" s="59">
        <f>'VZLA BFS'!E19/'VENEZUELA USD'!$AH$3</f>
        <v>0</v>
      </c>
      <c r="F19" s="28">
        <f t="shared" si="1"/>
        <v>0</v>
      </c>
      <c r="G19" s="28" t="str">
        <f t="shared" si="6"/>
        <v/>
      </c>
      <c r="H19" s="55">
        <f>+'VZLA BFS'!H19/'VENEZUELA USD'!$AH$4</f>
        <v>0</v>
      </c>
      <c r="I19" s="28">
        <f t="shared" si="2"/>
        <v>0</v>
      </c>
      <c r="J19" s="28" t="str">
        <f t="shared" si="7"/>
        <v/>
      </c>
      <c r="K19" s="59">
        <f>'VZLA BFS'!K19/'VENEZUELA USD'!$AH$3</f>
        <v>0</v>
      </c>
      <c r="L19" s="28" t="str">
        <f t="shared" si="3"/>
        <v xml:space="preserve"> </v>
      </c>
      <c r="M19" s="59">
        <f>'VZLA BFS'!M19/'VENEZUELA USD'!$AH$3</f>
        <v>0</v>
      </c>
      <c r="N19" s="28"/>
      <c r="O19" s="28" t="str">
        <f t="shared" si="8"/>
        <v/>
      </c>
      <c r="P19" s="55">
        <f>+'VZLA BFS'!P19/'VENEZUELA USD'!$AH$4</f>
        <v>0</v>
      </c>
      <c r="Q19" s="28">
        <f t="shared" si="5"/>
        <v>0</v>
      </c>
      <c r="R19" s="28" t="str">
        <f t="shared" si="9"/>
        <v/>
      </c>
      <c r="S19" s="61"/>
      <c r="T19" s="3" t="s">
        <v>23</v>
      </c>
      <c r="U19" s="59">
        <f>+'VZLA BFS'!U19/'VENEZUELA USD'!$AH$3</f>
        <v>0</v>
      </c>
      <c r="V19" s="59">
        <f>+V11-V17</f>
        <v>1579.0408839779002</v>
      </c>
      <c r="W19" s="59">
        <f>+'VZLA BFS'!W19/'VENEZUELA USD'!$AH$3</f>
        <v>327.29281767955797</v>
      </c>
      <c r="X19" s="59">
        <f>+'VZLA BFS'!X19/'VENEZUELA USD'!$AH$3</f>
        <v>0</v>
      </c>
      <c r="Y19" s="59">
        <f>Y11-Y17</f>
        <v>10046.293922651934</v>
      </c>
      <c r="Z19" s="55">
        <f>+Y19-X19</f>
        <v>10046.293922651934</v>
      </c>
      <c r="AA19" s="61" t="str">
        <f>IF(X19=0,"",(Y19-X19)/ABS(X19)+1)</f>
        <v/>
      </c>
      <c r="AB19" s="59">
        <f>+'VZLA BFS'!AB19/'VENEZUELA USD'!$AH$3</f>
        <v>1007.403314917127</v>
      </c>
      <c r="AC19" s="61">
        <f>IF(AB19=0,"",(Y19-AB19)/ABS(AB19))</f>
        <v>8.9724646265218837</v>
      </c>
      <c r="AD19" s="61"/>
      <c r="AE19" s="61"/>
      <c r="AG19" s="47"/>
    </row>
    <row r="20" spans="2:33" x14ac:dyDescent="0.2">
      <c r="B20" s="3" t="s">
        <v>24</v>
      </c>
      <c r="C20" s="59">
        <f>'VZLA BFS'!C20/'VENEZUELA USD'!$AH$3</f>
        <v>0</v>
      </c>
      <c r="D20" s="28" t="str">
        <f t="shared" si="0"/>
        <v xml:space="preserve"> </v>
      </c>
      <c r="E20" s="59">
        <f>'VZLA BFS'!E20/'VENEZUELA USD'!$AH$3</f>
        <v>5082.5193370165744</v>
      </c>
      <c r="F20" s="28">
        <f t="shared" si="1"/>
        <v>1</v>
      </c>
      <c r="G20" s="28" t="str">
        <f t="shared" si="6"/>
        <v/>
      </c>
      <c r="H20" s="55">
        <f>+'VZLA BFS'!H20/'VENEZUELA USD'!$AH$4</f>
        <v>2533.3289473684217</v>
      </c>
      <c r="I20" s="28">
        <f t="shared" si="2"/>
        <v>1</v>
      </c>
      <c r="J20" s="28">
        <f t="shared" si="7"/>
        <v>1.0062611064766016</v>
      </c>
      <c r="K20" s="59">
        <f>'VZLA BFS'!K20/'VENEZUELA USD'!$AH$3</f>
        <v>0</v>
      </c>
      <c r="L20" s="28" t="str">
        <f t="shared" si="3"/>
        <v xml:space="preserve"> </v>
      </c>
      <c r="M20" s="59">
        <f>'VZLA BFS'!M20/'VENEZUELA USD'!$AH$3</f>
        <v>36852.349171270711</v>
      </c>
      <c r="N20" s="28">
        <f>+M20/$M$20</f>
        <v>1</v>
      </c>
      <c r="O20" s="28" t="str">
        <f t="shared" si="8"/>
        <v/>
      </c>
      <c r="P20" s="55">
        <f>+'VZLA BFS'!P20/'VENEZUELA USD'!$AH$4</f>
        <v>13586.930223692983</v>
      </c>
      <c r="Q20" s="28">
        <f t="shared" si="5"/>
        <v>1</v>
      </c>
      <c r="R20" s="28">
        <f t="shared" si="9"/>
        <v>1.7123381488341882</v>
      </c>
      <c r="S20" s="61"/>
      <c r="T20" s="3"/>
      <c r="U20" s="59">
        <f>+'VZLA BFS'!U20/'VENEZUELA USD'!$AH$3</f>
        <v>0</v>
      </c>
      <c r="V20" s="59"/>
      <c r="W20" s="59"/>
      <c r="X20" s="59"/>
      <c r="Y20" s="59"/>
      <c r="Z20" s="55"/>
      <c r="AA20" s="61"/>
      <c r="AB20" s="59"/>
      <c r="AC20" s="61" t="str">
        <f>IF(AB20=0,"",(Y20-AB20)/ABS(AB20))</f>
        <v/>
      </c>
      <c r="AD20" s="61"/>
      <c r="AE20" s="61"/>
    </row>
    <row r="21" spans="2:33" x14ac:dyDescent="0.2">
      <c r="E21" s="59">
        <f>'VZLA BFS'!E21/'VENEZUELA USD'!$AH$3</f>
        <v>0</v>
      </c>
      <c r="G21" s="28" t="str">
        <f t="shared" si="6"/>
        <v/>
      </c>
      <c r="H21" s="55">
        <f>+'VZLA BFS'!H21/'VENEZUELA USD'!$AH$4</f>
        <v>0</v>
      </c>
      <c r="L21" s="28" t="str">
        <f t="shared" si="3"/>
        <v xml:space="preserve"> </v>
      </c>
      <c r="M21" s="59">
        <f>'VZLA BFS'!M21/'VENEZUELA USD'!$AH$3</f>
        <v>0</v>
      </c>
      <c r="O21" s="28" t="str">
        <f t="shared" si="8"/>
        <v/>
      </c>
      <c r="P21" s="55">
        <f>+'VZLA BFS'!P21/'VENEZUELA USD'!$AH$4</f>
        <v>0</v>
      </c>
      <c r="Q21" s="28">
        <f t="shared" si="5"/>
        <v>0</v>
      </c>
      <c r="R21" s="28" t="str">
        <f t="shared" si="9"/>
        <v/>
      </c>
      <c r="S21" s="61"/>
      <c r="T21" s="3" t="s">
        <v>25</v>
      </c>
      <c r="U21" s="59">
        <f>+'VZLA BFS'!U21/'VENEZUELA USD'!$AH$3</f>
        <v>26149.392265193368</v>
      </c>
      <c r="V21" s="59">
        <f>+V10+V19</f>
        <v>8002.5767955801093</v>
      </c>
      <c r="W21" s="59">
        <f>+'VZLA BFS'!W21/'VENEZUELA USD'!$AH$3</f>
        <v>516.24309392265184</v>
      </c>
      <c r="X21" s="59">
        <f>+'VZLA BFS'!X21/'VENEZUELA USD'!$AH$3</f>
        <v>26149.392265193368</v>
      </c>
      <c r="Y21" s="59">
        <f>+Y10+Y19</f>
        <v>11678.006629834254</v>
      </c>
      <c r="Z21" s="55">
        <f>+Y21-X21</f>
        <v>-14471.385635359115</v>
      </c>
      <c r="AA21" s="61">
        <f>IF(X21=0,"",(Y21-X21)/ABS(X21)+1)</f>
        <v>0.44658807024660685</v>
      </c>
      <c r="AB21" s="59">
        <f>+'VZLA BFS'!AB21/'VENEZUELA USD'!$AH$3</f>
        <v>1058.121546961326</v>
      </c>
      <c r="AC21" s="61">
        <f>IF(AB21=0,"",(Y21-AB21)/ABS(AB21))</f>
        <v>10.0365455304929</v>
      </c>
      <c r="AD21" s="61"/>
      <c r="AE21" s="61"/>
      <c r="AG21" s="47"/>
    </row>
    <row r="22" spans="2:33" x14ac:dyDescent="0.2">
      <c r="B22" s="3" t="s">
        <v>26</v>
      </c>
      <c r="C22" s="59">
        <f>'VZLA BFS'!C21/'VENEZUELA USD'!$AH$3</f>
        <v>0</v>
      </c>
      <c r="D22" s="28" t="str">
        <f>IF(DD30&lt;=0," ",C22/$C$20)</f>
        <v xml:space="preserve"> </v>
      </c>
      <c r="E22" s="59">
        <f>'VZLA BFS'!E22/'VENEZUELA USD'!$AH$3</f>
        <v>0</v>
      </c>
      <c r="F22" s="28">
        <f>+E22/$E$20</f>
        <v>0</v>
      </c>
      <c r="G22" s="28" t="str">
        <f t="shared" si="6"/>
        <v/>
      </c>
      <c r="H22" s="55">
        <f>+'VZLA BFS'!H22/'VENEZUELA USD'!$AH$4</f>
        <v>0</v>
      </c>
      <c r="I22" s="28">
        <f>IF($H$20&lt;=0," ",H22/$H$20)</f>
        <v>0</v>
      </c>
      <c r="J22" s="28" t="str">
        <f>IF(E22=0,"",(E22-H22)/ABS(H22))</f>
        <v/>
      </c>
      <c r="K22" s="59">
        <f>'VZLA BFS'!K21/'VENEZUELA USD'!$AH$3</f>
        <v>0</v>
      </c>
      <c r="L22" s="28" t="str">
        <f t="shared" si="3"/>
        <v xml:space="preserve"> </v>
      </c>
      <c r="M22" s="59">
        <f>'VZLA BFS'!M22/'VENEZUELA USD'!$AH$3</f>
        <v>6035.0342541436457</v>
      </c>
      <c r="N22" s="28">
        <f>+M22/$M$20</f>
        <v>0.16376253861309953</v>
      </c>
      <c r="O22" s="28" t="str">
        <f t="shared" si="8"/>
        <v/>
      </c>
      <c r="P22" s="55">
        <f>+'VZLA BFS'!P22/'VENEZUELA USD'!$AH$4</f>
        <v>0</v>
      </c>
      <c r="Q22" s="28">
        <f t="shared" si="5"/>
        <v>0</v>
      </c>
      <c r="R22" s="28" t="e">
        <f t="shared" si="9"/>
        <v>#DIV/0!</v>
      </c>
      <c r="S22" s="61"/>
      <c r="U22" s="59">
        <f>+'VZLA BFS'!U22/'VENEZUELA USD'!$AH$3</f>
        <v>0</v>
      </c>
      <c r="AD22" s="61"/>
      <c r="AE22" s="61"/>
    </row>
    <row r="23" spans="2:33" x14ac:dyDescent="0.2">
      <c r="E23" s="59">
        <f>'VZLA BFS'!E23/'VENEZUELA USD'!$AH$3</f>
        <v>0</v>
      </c>
      <c r="H23" s="55">
        <f>+'VZLA BFS'!H23/'VENEZUELA USD'!$AH$4</f>
        <v>0</v>
      </c>
      <c r="M23" s="59">
        <f>'VZLA BFS'!M23/'VENEZUELA USD'!$AH$3</f>
        <v>0</v>
      </c>
      <c r="P23" s="55">
        <f>+'VZLA BFS'!P23/'VENEZUELA USD'!$AH$4</f>
        <v>0</v>
      </c>
      <c r="S23" s="61"/>
      <c r="T23" s="3" t="s">
        <v>27</v>
      </c>
      <c r="U23" s="59">
        <f>+'VZLA BFS'!U23/'VENEZUELA USD'!$AH$3</f>
        <v>0</v>
      </c>
      <c r="V23" s="59"/>
      <c r="W23" s="59"/>
      <c r="X23" s="59"/>
      <c r="Y23" s="59"/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1"/>
      <c r="AE23" s="61"/>
    </row>
    <row r="24" spans="2:33" x14ac:dyDescent="0.2">
      <c r="B24" s="3" t="s">
        <v>28</v>
      </c>
      <c r="C24" s="59">
        <f>'VZLA BFS'!C22/'VENEZUELA USD'!$AH$3</f>
        <v>0</v>
      </c>
      <c r="D24" s="28" t="str">
        <f>IF(DD31&lt;=0," ",C24/$C$20)</f>
        <v xml:space="preserve"> </v>
      </c>
      <c r="E24" s="59">
        <f>'VZLA BFS'!E24/'VENEZUELA USD'!$AH$3</f>
        <v>5082.5193370165744</v>
      </c>
      <c r="F24" s="28">
        <f>+E24/$E$20</f>
        <v>1</v>
      </c>
      <c r="G24" s="28" t="str">
        <f>IF(C24=0,"",(E24-C24)/ABS(C24)+1)</f>
        <v/>
      </c>
      <c r="H24" s="55">
        <f>+'VZLA BFS'!H24/'VENEZUELA USD'!$AH$4</f>
        <v>2533.3289473684217</v>
      </c>
      <c r="I24" s="28">
        <f>IF($H$20&lt;=0," ",H24/$H$20)</f>
        <v>1</v>
      </c>
      <c r="J24" s="28">
        <f>IF(E24=0,"",(E24-H24)/ABS(H24))</f>
        <v>1.0062611064766016</v>
      </c>
      <c r="K24" s="59">
        <f>'VZLA BFS'!K22/'VENEZUELA USD'!$AH$3</f>
        <v>0</v>
      </c>
      <c r="L24" s="28" t="str">
        <f>IF($K$20&lt;=0," ",K24/$K$20)</f>
        <v xml:space="preserve"> </v>
      </c>
      <c r="M24" s="59">
        <f>'VZLA BFS'!M24/'VENEZUELA USD'!$AH$3</f>
        <v>30817.314917127063</v>
      </c>
      <c r="N24" s="28">
        <f>+M24/$M$20</f>
        <v>0.83623746138690047</v>
      </c>
      <c r="O24" s="28" t="str">
        <f>IF(K24=0,"",(M24-K24)/ABS(K24)+1)</f>
        <v/>
      </c>
      <c r="P24" s="55">
        <f>+'VZLA BFS'!P24/'VENEZUELA USD'!$AH$4</f>
        <v>13586.930223692983</v>
      </c>
      <c r="Q24" s="28">
        <f>IF($P$20&lt;=0," ",P24/$P$20)</f>
        <v>1</v>
      </c>
      <c r="R24" s="28">
        <f>IF(M24=0,"",(M24-P24)/ABS(P24))</f>
        <v>1.2681587680039466</v>
      </c>
      <c r="S24" s="61"/>
      <c r="U24" s="59">
        <f>+'VZLA BFS'!U24/'VENEZUELA USD'!$AH$3</f>
        <v>0</v>
      </c>
      <c r="AD24" s="61"/>
      <c r="AE24" s="61"/>
    </row>
    <row r="25" spans="2:33" x14ac:dyDescent="0.2">
      <c r="E25" s="59">
        <f>'VZLA BFS'!E25/'VENEZUELA USD'!$AH$3</f>
        <v>0</v>
      </c>
      <c r="H25" s="55">
        <f>+'VZLA BFS'!H25/'VENEZUELA USD'!$AH$4</f>
        <v>0</v>
      </c>
      <c r="M25" s="59">
        <f>'VZLA BFS'!M25/'VENEZUELA USD'!$AH$3</f>
        <v>0</v>
      </c>
      <c r="P25" s="55">
        <f>+'VZLA BFS'!P25/'VENEZUELA USD'!$AH$4</f>
        <v>0</v>
      </c>
      <c r="S25" s="61"/>
      <c r="T25" s="3" t="s">
        <v>29</v>
      </c>
      <c r="U25" s="59">
        <f>+'VZLA BFS'!U25/'VENEZUELA USD'!$AH$3</f>
        <v>0</v>
      </c>
      <c r="V25" s="59">
        <v>1736.09</v>
      </c>
      <c r="W25" s="59">
        <f>+'VZLA BFS'!W25/'VENEZUELA USD'!$AH$3</f>
        <v>69.392265193370164</v>
      </c>
      <c r="X25" s="59">
        <f>+'VZLA BFS'!X25/'VENEZUELA USD'!$AH$3</f>
        <v>0</v>
      </c>
      <c r="Y25" s="59">
        <f>+'VZLA BFS'!Y25/'VENEZUELA USD'!$AH$3</f>
        <v>4070.9469613259666</v>
      </c>
      <c r="Z25" s="55">
        <f>+Y25-X25</f>
        <v>4070.9469613259666</v>
      </c>
      <c r="AA25" s="61" t="str">
        <f>IF(X25=0,"",(Y25-X25)/ABS(X25)+1)</f>
        <v/>
      </c>
      <c r="AB25" s="59">
        <f>+'VZLA BFS'!AB25/'VENEZUELA USD'!$AH$3</f>
        <v>611.27071823204415</v>
      </c>
      <c r="AC25" s="61">
        <f>IF(AB25=0,"",(Y25-AB25)/ABS(AB25))</f>
        <v>5.6598101952277657</v>
      </c>
    </row>
    <row r="26" spans="2:33" x14ac:dyDescent="0.2">
      <c r="B26" s="3" t="s">
        <v>30</v>
      </c>
      <c r="C26" s="59">
        <f>'VZLA BFS'!C23/'VENEZUELA USD'!$AH$3</f>
        <v>0</v>
      </c>
      <c r="D26" s="28" t="str">
        <f>IF(DD32&lt;=0," ",C26/$C$20)</f>
        <v xml:space="preserve"> </v>
      </c>
      <c r="E26" s="59">
        <f>'VZLA BFS'!E26/'VENEZUELA USD'!$AH$3</f>
        <v>105.95138121546961</v>
      </c>
      <c r="F26" s="28">
        <f>+E26/$E$20</f>
        <v>2.084623278141088E-2</v>
      </c>
      <c r="G26" s="28" t="str">
        <f>IF(C26=0,"",(E26-C26)/ABS(C26)+1)</f>
        <v/>
      </c>
      <c r="H26" s="55">
        <f>+'VZLA BFS'!H26/'VENEZUELA USD'!$AH$4</f>
        <v>41.71491228070176</v>
      </c>
      <c r="I26" s="28">
        <f>IF($H$20&lt;=0," ",H26/$H$20)</f>
        <v>1.6466441250763936E-2</v>
      </c>
      <c r="J26" s="28">
        <f>IF(E26=0,"",(E26-H26)/ABS(H26))</f>
        <v>1.5398922213360393</v>
      </c>
      <c r="K26" s="59">
        <f>'VZLA BFS'!K23/'VENEZUELA USD'!$AH$3</f>
        <v>0</v>
      </c>
      <c r="L26" s="28" t="str">
        <f>IF($K$20&lt;=0," ",K26/$K$20)</f>
        <v xml:space="preserve"> </v>
      </c>
      <c r="M26" s="59">
        <f>'VZLA BFS'!M26/'VENEZUELA USD'!$AH$3</f>
        <v>647.50828729281761</v>
      </c>
      <c r="N26" s="28">
        <f>+M26/$M$20</f>
        <v>1.7570339526621032E-2</v>
      </c>
      <c r="O26" s="28" t="str">
        <f>IF(K26=0,"",(M26-K26)/ABS(K26)+1)</f>
        <v/>
      </c>
      <c r="P26" s="55">
        <f>+'VZLA BFS'!P26/'VENEZUELA USD'!$AH$4</f>
        <v>200.24270382456146</v>
      </c>
      <c r="Q26" s="28">
        <f>IF($P$20&lt;=0," ",P26/$P$20)</f>
        <v>1.4737891527210233E-2</v>
      </c>
      <c r="R26" s="28">
        <f>IF(M26=0,"",(M26-P26)/ABS(P26))</f>
        <v>2.2336173799376917</v>
      </c>
      <c r="S26" s="61"/>
      <c r="U26" s="59">
        <f>+'VZLA BFS'!U26/'VENEZUELA USD'!$AH$3</f>
        <v>0</v>
      </c>
    </row>
    <row r="27" spans="2:33" x14ac:dyDescent="0.2">
      <c r="B27" s="3" t="s">
        <v>31</v>
      </c>
      <c r="C27" s="59">
        <f>'VZLA BFS'!C24/'VENEZUELA USD'!$AH$3</f>
        <v>0</v>
      </c>
      <c r="D27" s="28" t="str">
        <f>IF(DD33&lt;=0," ",C27/$C$20)</f>
        <v xml:space="preserve"> </v>
      </c>
      <c r="E27" s="59">
        <f>'VZLA BFS'!E27/'VENEZUELA USD'!$AH$3</f>
        <v>375.90828729281765</v>
      </c>
      <c r="F27" s="28">
        <f>+E27/$E$20</f>
        <v>7.3961014679282039E-2</v>
      </c>
      <c r="G27" s="28" t="str">
        <f>IF(C27=0,"",(E27-C27)/ABS(C27)+1)</f>
        <v/>
      </c>
      <c r="H27" s="55">
        <f>+'VZLA BFS'!H27/'VENEZUELA USD'!$AH$4</f>
        <v>576.92763157894728</v>
      </c>
      <c r="I27" s="28">
        <f>IF($H$20&lt;=0," ",H27/$H$20)</f>
        <v>0.22773498569076461</v>
      </c>
      <c r="J27" s="28">
        <f>IF(E27=0,"",(E27-H27)/ABS(H27))</f>
        <v>-0.34843077932664762</v>
      </c>
      <c r="K27" s="59">
        <f>'VZLA BFS'!K24/'VENEZUELA USD'!$AH$3</f>
        <v>0</v>
      </c>
      <c r="L27" s="28" t="str">
        <f>IF($K$20&lt;=0," ",K27/$K$20)</f>
        <v xml:space="preserve"> </v>
      </c>
      <c r="M27" s="59">
        <f>'VZLA BFS'!M27/'VENEZUELA USD'!$AH$3</f>
        <v>3068.1348066298337</v>
      </c>
      <c r="N27" s="28">
        <f>+M27/$M$20</f>
        <v>8.32547958441055E-2</v>
      </c>
      <c r="O27" s="28" t="str">
        <f>IF(K27=0,"",(M27-K27)/ABS(K27)+1)</f>
        <v/>
      </c>
      <c r="P27" s="55">
        <f>+'VZLA BFS'!P27/'VENEZUELA USD'!$AH$4</f>
        <v>2937.4661891140349</v>
      </c>
      <c r="Q27" s="28">
        <f>IF($P$20&lt;=0," ",P27/$P$20)</f>
        <v>0.21619792997771203</v>
      </c>
      <c r="R27" s="28">
        <f>IF(M27=0,"",(M27-P27)/ABS(P27))</f>
        <v>4.4483445630810678E-2</v>
      </c>
      <c r="S27" s="61"/>
      <c r="T27" s="3" t="s">
        <v>32</v>
      </c>
      <c r="U27" s="59">
        <f>+'VZLA BFS'!U27/'VENEZUELA USD'!$AH$3</f>
        <v>0</v>
      </c>
      <c r="V27" s="59"/>
      <c r="W27" s="59"/>
      <c r="X27" s="59">
        <f>+'VZLA BFS'!X27/'VENEZUELA USD'!$AH$3</f>
        <v>0</v>
      </c>
      <c r="Y27" s="59">
        <f>+'VZLA BFS'!Y27/'VENEZUELA USD'!$AH$3</f>
        <v>0</v>
      </c>
      <c r="Z27" s="55">
        <f>+Y27-X27</f>
        <v>0</v>
      </c>
      <c r="AA27" s="61" t="str">
        <f>IF(X27=0,"",(Y27-X27)/ABS(X27)+1)</f>
        <v/>
      </c>
      <c r="AB27" s="59">
        <f>+'VZLA BFS'!AB27/'VENEZUELA USD'!$AH$3</f>
        <v>0</v>
      </c>
      <c r="AC27" s="61" t="str">
        <f>IF(AB27=0,"",(Y27-AB27)/ABS(AB27))</f>
        <v/>
      </c>
    </row>
    <row r="28" spans="2:33" x14ac:dyDescent="0.2">
      <c r="B28" s="3" t="s">
        <v>33</v>
      </c>
      <c r="C28" s="59">
        <f>'VZLA BFS'!C25/'VENEZUELA USD'!$AH$3</f>
        <v>0</v>
      </c>
      <c r="D28" s="28" t="str">
        <f>IF(DD34&lt;=0," ",C28/$C$20)</f>
        <v xml:space="preserve"> </v>
      </c>
      <c r="E28" s="59">
        <f>'VZLA BFS'!E28/'VENEZUELA USD'!$AH$3</f>
        <v>481.85966850828726</v>
      </c>
      <c r="F28" s="28">
        <f>+E28/$E$20</f>
        <v>9.4807247460692912E-2</v>
      </c>
      <c r="G28" s="28" t="str">
        <f>IF(C28=0,"",(E28-C28)/ABS(C28)+1)</f>
        <v/>
      </c>
      <c r="H28" s="55">
        <f>+'VZLA BFS'!H28/'VENEZUELA USD'!$AH$4</f>
        <v>618.64254385964898</v>
      </c>
      <c r="I28" s="28">
        <f>IF($H$20&lt;=0," ",H28/$H$20)</f>
        <v>0.24420142694152852</v>
      </c>
      <c r="J28" s="28">
        <f>IF(E28=0,"",(E28-H28)/ABS(H28))</f>
        <v>-0.22110163083512982</v>
      </c>
      <c r="K28" s="59">
        <f>'VZLA BFS'!K25/'VENEZUELA USD'!$AH$3</f>
        <v>0</v>
      </c>
      <c r="L28" s="28" t="str">
        <f>IF($K$20&lt;=0," ",K28/$K$20)</f>
        <v xml:space="preserve"> </v>
      </c>
      <c r="M28" s="59">
        <f>'VZLA BFS'!M28/'VENEZUELA USD'!$AH$3</f>
        <v>3715.6430939226516</v>
      </c>
      <c r="N28" s="28">
        <f>+M28/$M$20</f>
        <v>0.10082513537072654</v>
      </c>
      <c r="O28" s="28" t="str">
        <f>IF(K28=0,"",(M28-K28)/ABS(K28)+1)</f>
        <v/>
      </c>
      <c r="P28" s="55">
        <f>+'VZLA BFS'!P28/'VENEZUELA USD'!$AH$4</f>
        <v>3137.7088929385964</v>
      </c>
      <c r="Q28" s="28">
        <f>IF($P$20&lt;=0," ",P28/$P$20)</f>
        <v>0.23093582150492226</v>
      </c>
      <c r="R28" s="28">
        <f>IF(M28=0,"",(M28-P28)/ABS(P28))</f>
        <v>0.18418987251643842</v>
      </c>
      <c r="S28" s="61"/>
      <c r="T28" s="3" t="s">
        <v>34</v>
      </c>
      <c r="U28" s="59">
        <f>+'VZLA BFS'!U28/'VENEZUELA USD'!$AH$3</f>
        <v>0</v>
      </c>
      <c r="V28" s="59"/>
      <c r="W28" s="59"/>
      <c r="X28" s="59"/>
      <c r="Y28" s="59">
        <f>+'VZLA BFS'!Y28/'VENEZUELA USD'!$AH$3</f>
        <v>0</v>
      </c>
      <c r="Z28" s="55">
        <f>+Y28-X28</f>
        <v>0</v>
      </c>
      <c r="AA28" s="61" t="str">
        <f>IF(X28=0,"",(Y28-X28)/ABS(X28)+1)</f>
        <v/>
      </c>
      <c r="AB28" s="59">
        <f>+'VZLA BFS'!AB28/'VENEZUELA USD'!$AH$3</f>
        <v>0</v>
      </c>
      <c r="AC28" s="61" t="str">
        <f>IF(AB28=0,"",(Y28-AB28)/ABS(AB28))</f>
        <v/>
      </c>
    </row>
    <row r="29" spans="2:33" x14ac:dyDescent="0.2">
      <c r="E29" s="59">
        <f>'VZLA BFS'!E29/'VENEZUELA USD'!$AH$3</f>
        <v>0</v>
      </c>
      <c r="H29" s="55">
        <f>+'VZLA BFS'!H29/'VENEZUELA USD'!$AH$4</f>
        <v>0</v>
      </c>
      <c r="M29" s="59">
        <f>'VZLA BFS'!M29/'VENEZUELA USD'!$AH$3</f>
        <v>0</v>
      </c>
      <c r="P29" s="55">
        <f>+'VZLA BFS'!P29/'VENEZUELA USD'!$AH$4</f>
        <v>0</v>
      </c>
      <c r="S29" s="61"/>
      <c r="U29" s="59">
        <f>+'VZLA BFS'!U29/'VENEZUELA USD'!$AH$3</f>
        <v>0</v>
      </c>
    </row>
    <row r="30" spans="2:33" x14ac:dyDescent="0.2">
      <c r="B30" s="3" t="s">
        <v>35</v>
      </c>
      <c r="C30" s="59">
        <f>'VZLA BFS'!C26/'VENEZUELA USD'!$AH$3</f>
        <v>0</v>
      </c>
      <c r="D30" s="28" t="str">
        <f>IF(DD35&lt;=0," ",C30/$C$20)</f>
        <v xml:space="preserve"> </v>
      </c>
      <c r="E30" s="59">
        <f>'VZLA BFS'!E30/'VENEZUELA USD'!$AH$3</f>
        <v>1768.1188950276239</v>
      </c>
      <c r="F30" s="28">
        <f>+E30/$E$20</f>
        <v>0.34788237442604697</v>
      </c>
      <c r="G30" s="28" t="str">
        <f>IF(C30=0,"",(E30-C30)/ABS(C30)+1)</f>
        <v/>
      </c>
      <c r="H30" s="55">
        <f>+'VZLA BFS'!H30/'VENEZUELA USD'!$AH$4</f>
        <v>1003.5087719298247</v>
      </c>
      <c r="I30" s="28">
        <f>IF($H$20&lt;=0," ",H30/$H$20)</f>
        <v>0.39612256946428226</v>
      </c>
      <c r="J30" s="28">
        <f>IF(E30=0,"",(E30-H30)/ABS(H30))</f>
        <v>0.76193666112892577</v>
      </c>
      <c r="K30" s="59">
        <f>'VZLA BFS'!K26/'VENEZUELA USD'!$AH$3</f>
        <v>0</v>
      </c>
      <c r="L30" s="28" t="str">
        <f>IF($K$20&lt;=0," ",K30/$K$20)</f>
        <v xml:space="preserve"> </v>
      </c>
      <c r="M30" s="59">
        <f>'VZLA BFS'!M30/'VENEZUELA USD'!$AH$3</f>
        <v>13522.902320441986</v>
      </c>
      <c r="N30" s="28">
        <f>+M30/$M$20</f>
        <v>0.36694817629113713</v>
      </c>
      <c r="O30" s="28" t="str">
        <f>IF(K30=0,"",(M30-K30)/ABS(K30)+1)</f>
        <v/>
      </c>
      <c r="P30" s="55">
        <f>+'VZLA BFS'!P30/'VENEZUELA USD'!$AH$4</f>
        <v>4907.7729615614044</v>
      </c>
      <c r="Q30" s="28">
        <f>IF($P$20&lt;=0," ",P30/$P$20)</f>
        <v>0.3612127891113473</v>
      </c>
      <c r="R30" s="28">
        <f>IF(M30=0,"",(M30-P30)/ABS(P30))</f>
        <v>1.7554050332718907</v>
      </c>
      <c r="S30" s="61"/>
      <c r="T30" s="3" t="s">
        <v>36</v>
      </c>
      <c r="U30" s="59">
        <f>+'VZLA BFS'!U30/'VENEZUELA USD'!$AH$3</f>
        <v>26149.392265193368</v>
      </c>
      <c r="V30" s="59">
        <f>+V21-V25-V23+V27</f>
        <v>6266.4867955801092</v>
      </c>
      <c r="W30" s="59">
        <f>+W21-W25-W23+W27</f>
        <v>446.85082872928166</v>
      </c>
      <c r="X30" s="59">
        <f>+X21-X25-X23-X27</f>
        <v>26149.392265193368</v>
      </c>
      <c r="Y30" s="59">
        <f>+Y21-Y25-Y23+Y27</f>
        <v>7607.0596685082874</v>
      </c>
      <c r="Z30" s="55">
        <f>+Y30-X30</f>
        <v>-18542.332596685083</v>
      </c>
      <c r="AA30" s="61">
        <f>IF(U30=0,"",(V30-U30)/ABS(U30)+1)</f>
        <v>0.23964177568750733</v>
      </c>
      <c r="AB30" s="59">
        <f>+AB21-AB25-AB23-AB27</f>
        <v>446.85082872928183</v>
      </c>
      <c r="AC30" s="61">
        <f>IF(AB30=0,"",(Y30-AB30)/ABS(AB30))</f>
        <v>16.023711671612265</v>
      </c>
    </row>
    <row r="31" spans="2:33" x14ac:dyDescent="0.2">
      <c r="B31" s="3" t="s">
        <v>37</v>
      </c>
      <c r="C31" s="59">
        <f>'VZLA BFS'!C27/'VENEZUELA USD'!$AH$3</f>
        <v>0</v>
      </c>
      <c r="D31" s="28" t="str">
        <f>IF(DD36&lt;=0," ",C31/$C$20)</f>
        <v xml:space="preserve"> </v>
      </c>
      <c r="E31" s="59">
        <f>'VZLA BFS'!E31/'VENEZUELA USD'!$AH$3</f>
        <v>623.66850828729275</v>
      </c>
      <c r="F31" s="28">
        <f>+E31/$E$20</f>
        <v>0.12270853624599971</v>
      </c>
      <c r="G31" s="28" t="str">
        <f>IF(C31=0,"",(E31-C31)/ABS(C31)+1)</f>
        <v/>
      </c>
      <c r="H31" s="55">
        <f>+'VZLA BFS'!H31/'VENEZUELA USD'!$AH$4</f>
        <v>335.5263157894737</v>
      </c>
      <c r="I31" s="28">
        <f>IF($H$20&lt;=0," ",H31/$H$20)</f>
        <v>0.13244482763993701</v>
      </c>
      <c r="J31" s="28">
        <f>IF(E31=0,"",(E31-H31)/ABS(H31))</f>
        <v>0.8587767305817352</v>
      </c>
      <c r="K31" s="59">
        <f>'VZLA BFS'!K27/'VENEZUELA USD'!$AH$3</f>
        <v>0</v>
      </c>
      <c r="L31" s="28" t="str">
        <f>IF($K$20&lt;=0," ",K31/$K$20)</f>
        <v xml:space="preserve"> </v>
      </c>
      <c r="M31" s="59">
        <f>'VZLA BFS'!M31/'VENEZUELA USD'!$AH$3</f>
        <v>3051.2353591160213</v>
      </c>
      <c r="N31" s="28">
        <f>+M31/$M$20</f>
        <v>8.2796224059840884E-2</v>
      </c>
      <c r="O31" s="28" t="str">
        <f>IF(K31=0,"",(M31-K31)/ABS(K31)+1)</f>
        <v/>
      </c>
      <c r="P31" s="55">
        <f>+'VZLA BFS'!P31/'VENEZUELA USD'!$AH$4</f>
        <v>2365.8588904802632</v>
      </c>
      <c r="Q31" s="28">
        <f>IF($P$20&lt;=0," ",P31/$P$20)</f>
        <v>0.17412755136952585</v>
      </c>
      <c r="R31" s="28">
        <f>IF(M31=0,"",(M31-P31)/ABS(P31))</f>
        <v>0.28969456775024671</v>
      </c>
      <c r="S31" s="61"/>
      <c r="T31" s="61"/>
      <c r="U31" s="50"/>
    </row>
    <row r="32" spans="2:33" x14ac:dyDescent="0.2">
      <c r="B32" s="3" t="s">
        <v>38</v>
      </c>
      <c r="C32" s="59">
        <f>'VZLA BFS'!C28/'VENEZUELA USD'!$AH$3</f>
        <v>0</v>
      </c>
      <c r="D32" s="28" t="str">
        <f>IF(DD37&lt;=0," ",C32/$C$20)</f>
        <v xml:space="preserve"> </v>
      </c>
      <c r="E32" s="59">
        <f>'VZLA BFS'!E32/'VENEZUELA USD'!$AH$3</f>
        <v>2391.7874033149164</v>
      </c>
      <c r="F32" s="28">
        <f>+E32/$E$20</f>
        <v>0.47059091067204661</v>
      </c>
      <c r="G32" s="28" t="str">
        <f>IF(C32=0,"",(E32-C32)/ABS(C32)+1)</f>
        <v/>
      </c>
      <c r="H32" s="55">
        <f>+'VZLA BFS'!H32/'VENEZUELA USD'!$AH$4</f>
        <v>1339.0350877192984</v>
      </c>
      <c r="I32" s="28">
        <f>IF($H$20&lt;=0," ",H32/$H$20)</f>
        <v>0.52856739710421929</v>
      </c>
      <c r="J32" s="28">
        <f>IF(E32=0,"",(E32-H32)/ABS(H32))</f>
        <v>0.7862021878670189</v>
      </c>
      <c r="K32" s="59">
        <f>'VZLA BFS'!K28/'VENEZUELA USD'!$AH$3</f>
        <v>0</v>
      </c>
      <c r="L32" s="28" t="str">
        <f>IF($K$20&lt;=0," ",K32/$K$20)</f>
        <v xml:space="preserve"> </v>
      </c>
      <c r="M32" s="59">
        <f>'VZLA BFS'!M32/'VENEZUELA USD'!$AH$3</f>
        <v>16574.137679558011</v>
      </c>
      <c r="N32" s="28">
        <f>+M32/$M$20</f>
        <v>0.44974440035097812</v>
      </c>
      <c r="O32" s="28" t="str">
        <f>IF(K32=0,"",(M32-K32)/ABS(K32)+1)</f>
        <v/>
      </c>
      <c r="P32" s="55">
        <f>+'VZLA BFS'!P32/'VENEZUELA USD'!$AH$4</f>
        <v>7273.6318520416671</v>
      </c>
      <c r="Q32" s="28">
        <f>IF($P$20&lt;=0," ",P32/$P$20)</f>
        <v>0.53534034048087309</v>
      </c>
      <c r="R32" s="28">
        <f>IF(M32=0,"",(M32-P32)/ABS(P32))</f>
        <v>1.2786605119292289</v>
      </c>
      <c r="S32" s="61"/>
    </row>
    <row r="33" spans="2:51" x14ac:dyDescent="0.2">
      <c r="E33" s="59">
        <f>'VZLA BFS'!E33/'VENEZUELA USD'!$AH$3</f>
        <v>0</v>
      </c>
      <c r="H33" s="55">
        <f>+'VZLA BFS'!H33/'VENEZUELA USD'!$AH$4</f>
        <v>0</v>
      </c>
      <c r="M33" s="59">
        <f>'VZLA BFS'!M33/'VENEZUELA USD'!$AH$3</f>
        <v>0</v>
      </c>
      <c r="P33" s="55">
        <f>+'VZLA BFS'!P33/'VENEZUELA USD'!$AH$4</f>
        <v>0</v>
      </c>
      <c r="S33" s="61"/>
    </row>
    <row r="34" spans="2:51" x14ac:dyDescent="0.2">
      <c r="B34" s="3" t="s">
        <v>39</v>
      </c>
      <c r="C34" s="59">
        <f>'VZLA BFS'!C29/'VENEZUELA USD'!$AH$3</f>
        <v>0</v>
      </c>
      <c r="D34" s="28" t="str">
        <f>IF(DD38&lt;=0," ",C34/$C$20)</f>
        <v xml:space="preserve"> </v>
      </c>
      <c r="E34" s="59">
        <f>'VZLA BFS'!E34/'VENEZUELA USD'!$AH$3</f>
        <v>2873.6470718232035</v>
      </c>
      <c r="F34" s="28">
        <f>+E34/$E$20</f>
        <v>0.56539815813273953</v>
      </c>
      <c r="G34" s="28" t="str">
        <f>IF(C34=0,"",(E34-C34)/ABS(C34)+1)</f>
        <v/>
      </c>
      <c r="H34" s="55">
        <f>+'VZLA BFS'!H34/'VENEZUELA USD'!$AH$4</f>
        <v>1957.6776315789473</v>
      </c>
      <c r="I34" s="28">
        <f>IF($H$20&lt;=0," ",H34/$H$20)</f>
        <v>0.77276882404574776</v>
      </c>
      <c r="J34" s="28">
        <f>IF(E34=0,"",(E34-H34)/ABS(H34))</f>
        <v>0.46788573637912456</v>
      </c>
      <c r="K34" s="59">
        <f>'VZLA BFS'!K29/'VENEZUELA USD'!$AH$3</f>
        <v>0</v>
      </c>
      <c r="L34" s="28" t="str">
        <f>IF($K$20&lt;=0," ",K34/$K$20)</f>
        <v xml:space="preserve"> </v>
      </c>
      <c r="M34" s="59">
        <f>'VZLA BFS'!M34/'VENEZUELA USD'!$AH$3</f>
        <v>20289.780773480663</v>
      </c>
      <c r="N34" s="28">
        <f>+M34/$M$20</f>
        <v>0.55056953572170464</v>
      </c>
      <c r="O34" s="28" t="str">
        <f>IF(K34=0,"",(M34-K34)/ABS(K34)+1)</f>
        <v/>
      </c>
      <c r="P34" s="55">
        <f>+'VZLA BFS'!P34/'VENEZUELA USD'!$AH$4</f>
        <v>10411.340744980265</v>
      </c>
      <c r="Q34" s="28">
        <f>IF($P$20&lt;=0," ",P34/$P$20)</f>
        <v>0.76627616198579551</v>
      </c>
      <c r="R34" s="28">
        <f>IF(M34=0,"",(M34-P34)/ABS(P34))</f>
        <v>0.94881536110161402</v>
      </c>
      <c r="S34" s="61"/>
      <c r="AL34" s="2" t="s">
        <v>126</v>
      </c>
      <c r="AT34" s="2" t="s">
        <v>127</v>
      </c>
    </row>
    <row r="35" spans="2:51" ht="15" x14ac:dyDescent="0.25">
      <c r="E35" s="59">
        <f>'VZLA BFS'!E35/'VENEZUELA USD'!$AH$3</f>
        <v>0</v>
      </c>
      <c r="H35" s="55">
        <f>+'VZLA BFS'!H35/'VENEZUELA USD'!$AH$4</f>
        <v>0</v>
      </c>
      <c r="M35" s="59">
        <f>'VZLA BFS'!M35/'VENEZUELA USD'!$AH$3</f>
        <v>0</v>
      </c>
      <c r="P35" s="55">
        <f>+'VZLA BFS'!P35/'VENEZUELA USD'!$AH$4</f>
        <v>0</v>
      </c>
      <c r="S35" s="61"/>
      <c r="AL35" s="93" t="s">
        <v>128</v>
      </c>
      <c r="AM35" s="94">
        <v>1788641</v>
      </c>
      <c r="AN35" s="95"/>
      <c r="AO35" s="95"/>
      <c r="AP35" s="95"/>
      <c r="AQ35" s="95"/>
      <c r="AT35" s="93" t="s">
        <v>128</v>
      </c>
      <c r="AU35" s="94">
        <v>4.71</v>
      </c>
      <c r="AV35" s="95"/>
      <c r="AW35" s="95"/>
      <c r="AX35" s="95"/>
      <c r="AY35" s="95"/>
    </row>
    <row r="36" spans="2:51" ht="15" x14ac:dyDescent="0.25">
      <c r="B36" s="3" t="s">
        <v>40</v>
      </c>
      <c r="C36" s="59">
        <f>'VZLA BFS'!C30/'VENEZUELA USD'!$AH$3</f>
        <v>0</v>
      </c>
      <c r="D36" s="28" t="str">
        <f>IF(DD39&lt;=0," ",C36/$C$20)</f>
        <v xml:space="preserve"> </v>
      </c>
      <c r="E36" s="59">
        <f>'VZLA BFS'!E36/'VENEZUELA USD'!$AH$3</f>
        <v>2208.8722651933708</v>
      </c>
      <c r="F36" s="28">
        <f>+E36/$E$20</f>
        <v>0.43460184186726047</v>
      </c>
      <c r="G36" s="28" t="str">
        <f>IF(C36=0,"",(E36-C36)/ABS(C36)+1)</f>
        <v/>
      </c>
      <c r="H36" s="55">
        <f>+'VZLA BFS'!H36/'VENEZUELA USD'!$AH$4</f>
        <v>575.65131578947444</v>
      </c>
      <c r="I36" s="28">
        <f>IF($H$20&lt;=0," ",H36/$H$20)</f>
        <v>0.22723117595425224</v>
      </c>
      <c r="J36" s="28">
        <f>IF(E36=0,"",(E36-H36)/ABS(H36))</f>
        <v>2.8371705311991215</v>
      </c>
      <c r="K36" s="59">
        <f>'VZLA BFS'!K30/'VENEZUELA USD'!$AH$3</f>
        <v>0</v>
      </c>
      <c r="L36" s="28" t="str">
        <f>IF($K$20&lt;=0," ",K36/$K$20)</f>
        <v xml:space="preserve"> </v>
      </c>
      <c r="M36" s="59">
        <f>'VZLA BFS'!M36/'VENEZUELA USD'!$AH$3</f>
        <v>10527.534143646402</v>
      </c>
      <c r="N36" s="28">
        <f>+M36/$M$20</f>
        <v>0.28566792566519583</v>
      </c>
      <c r="O36" s="28" t="str">
        <f>IF(K36=0,"",(M36-K36)/ABS(K36)+1)</f>
        <v/>
      </c>
      <c r="P36" s="55">
        <f>+'VZLA BFS'!P36/'VENEZUELA USD'!$AH$4</f>
        <v>3175.5894787127195</v>
      </c>
      <c r="Q36" s="28">
        <f>IF($P$20&lt;=0," ",P36/$P$20)</f>
        <v>0.2337238380142046</v>
      </c>
      <c r="R36" s="28">
        <f>IF(M36=0,"",(M36-P36)/ABS(P36))</f>
        <v>2.3151432873224915</v>
      </c>
      <c r="AL36" s="93" t="s">
        <v>129</v>
      </c>
      <c r="AM36" s="94">
        <v>1899023</v>
      </c>
      <c r="AN36" s="95"/>
      <c r="AO36" s="95"/>
      <c r="AP36" s="95"/>
      <c r="AQ36" s="95"/>
      <c r="AT36" s="93" t="s">
        <v>129</v>
      </c>
      <c r="AU36" s="94">
        <v>4.6100000000000003</v>
      </c>
      <c r="AV36" s="95"/>
      <c r="AW36" s="95"/>
      <c r="AX36" s="95"/>
      <c r="AY36" s="95"/>
    </row>
    <row r="37" spans="2:51" ht="13.5" customHeight="1" x14ac:dyDescent="0.25">
      <c r="E37" s="59">
        <f>'VZLA BFS'!E37/'VENEZUELA USD'!$AH$3</f>
        <v>0</v>
      </c>
      <c r="H37" s="55">
        <f>+'VZLA BFS'!H37/'VENEZUELA USD'!$AH$4</f>
        <v>0</v>
      </c>
      <c r="M37" s="59">
        <f>'VZLA BFS'!M37/'VENEZUELA USD'!$AH$3</f>
        <v>0</v>
      </c>
      <c r="P37" s="55">
        <f>+'VZLA BFS'!P37/'VENEZUELA USD'!$AH$4</f>
        <v>0</v>
      </c>
      <c r="AL37" s="93" t="s">
        <v>130</v>
      </c>
      <c r="AM37" s="94">
        <v>2115582</v>
      </c>
      <c r="AN37" s="95"/>
      <c r="AO37" s="95"/>
      <c r="AP37" s="95"/>
      <c r="AQ37" s="95"/>
      <c r="AT37" s="93" t="s">
        <v>130</v>
      </c>
      <c r="AU37" s="94">
        <v>4.4800000000000004</v>
      </c>
      <c r="AV37" s="95"/>
      <c r="AW37" s="95"/>
      <c r="AX37" s="95"/>
      <c r="AY37" s="95"/>
    </row>
    <row r="38" spans="2:51" ht="15" x14ac:dyDescent="0.25">
      <c r="B38" s="3" t="s">
        <v>41</v>
      </c>
      <c r="C38" s="59">
        <f>'VZLA BFS'!C31/'VENEZUELA USD'!$AH$3</f>
        <v>0</v>
      </c>
      <c r="D38" s="28" t="str">
        <f>IF(DD40&lt;=0," ",C38/$C$20)</f>
        <v xml:space="preserve"> </v>
      </c>
      <c r="E38" s="59">
        <f>'VZLA BFS'!E38/'VENEZUELA USD'!$AH$3</f>
        <v>1665.0784530386738</v>
      </c>
      <c r="F38" s="28">
        <f>+E38/$E$20</f>
        <v>0.32760887713927922</v>
      </c>
      <c r="G38" s="28" t="str">
        <f>IF(C38=0,"",(E38-C38)/ABS(C38)+1)</f>
        <v/>
      </c>
      <c r="H38" s="55">
        <f>+'VZLA BFS'!H38/'VENEZUELA USD'!$AH$4</f>
        <v>0</v>
      </c>
      <c r="I38" s="28">
        <f>IF($H$20&lt;=0," ",H38/$H$20)</f>
        <v>0</v>
      </c>
      <c r="J38" s="28" t="e">
        <f>IF(E38=0,"",(E38-H38)/ABS(H38))</f>
        <v>#DIV/0!</v>
      </c>
      <c r="K38" s="59">
        <f>'VZLA BFS'!K31/'VENEZUELA USD'!$AH$3</f>
        <v>0</v>
      </c>
      <c r="L38" s="28" t="str">
        <f>IF($K$20&lt;=0," ",K38/$K$20)</f>
        <v xml:space="preserve"> </v>
      </c>
      <c r="M38" s="59">
        <f>'VZLA BFS'!M38/'VENEZUELA USD'!$AH$3</f>
        <v>1665.0828729281766</v>
      </c>
      <c r="N38" s="28">
        <f>+M38/$M$20</f>
        <v>4.5182543592804089E-2</v>
      </c>
      <c r="O38" s="28" t="str">
        <f>IF(K38=0,"",(M38-K38)/ABS(K38)+1)</f>
        <v/>
      </c>
      <c r="P38" s="55">
        <f>+'VZLA BFS'!P38/'VENEZUELA USD'!$AH$4</f>
        <v>0</v>
      </c>
      <c r="Q38" s="28">
        <f>IF($P$20&lt;=0," ",P38/$P$20)</f>
        <v>0</v>
      </c>
      <c r="R38" s="28" t="e">
        <f>IF(M38=0,"",(M38-P38)/ABS(P38))</f>
        <v>#DIV/0!</v>
      </c>
      <c r="AL38" s="93" t="s">
        <v>131</v>
      </c>
      <c r="AM38" s="94">
        <v>2900823</v>
      </c>
      <c r="AN38" s="95"/>
      <c r="AO38" s="95"/>
      <c r="AP38" s="95"/>
      <c r="AQ38" s="95"/>
      <c r="AT38" s="93" t="s">
        <v>131</v>
      </c>
      <c r="AU38" s="94">
        <v>4.57</v>
      </c>
      <c r="AV38" s="95"/>
      <c r="AW38" s="95"/>
      <c r="AX38" s="95"/>
      <c r="AY38" s="95"/>
    </row>
    <row r="39" spans="2:51" ht="15" x14ac:dyDescent="0.25">
      <c r="B39" s="3" t="s">
        <v>42</v>
      </c>
      <c r="C39" s="59">
        <f>'VZLA BFS'!C32/'VENEZUELA USD'!$AH$3</f>
        <v>0</v>
      </c>
      <c r="D39" s="28" t="str">
        <f>IF(DD41&lt;=0," ",C39/$C$20)</f>
        <v xml:space="preserve"> </v>
      </c>
      <c r="E39" s="59">
        <f>'VZLA BFS'!E39/'VENEZUELA USD'!$AH$3</f>
        <v>151.22983425414364</v>
      </c>
      <c r="F39" s="28">
        <f>+E39/$E$20</f>
        <v>2.9754895992764714E-2</v>
      </c>
      <c r="G39" s="28" t="str">
        <f>IF(C39=0,"",(E39-C39)/ABS(C39)+1)</f>
        <v/>
      </c>
      <c r="H39" s="55">
        <f>+'VZLA BFS'!H39/'VENEZUELA USD'!$AH$4</f>
        <v>35.745614035087719</v>
      </c>
      <c r="I39" s="28">
        <f>IF($H$20&lt;=0," ",H39/$H$20)</f>
        <v>1.4110135232228585E-2</v>
      </c>
      <c r="J39" s="28">
        <f>IF(E39=0,"",(E39-H39)/ABS(H39))</f>
        <v>3.2307241975392329</v>
      </c>
      <c r="K39" s="59">
        <f>'VZLA BFS'!K32/'VENEZUELA USD'!$AH$3</f>
        <v>0</v>
      </c>
      <c r="L39" s="28" t="str">
        <f>IF($K$20&lt;=0," ",K39/$K$20)</f>
        <v xml:space="preserve"> </v>
      </c>
      <c r="M39" s="59">
        <f>'VZLA BFS'!M39/'VENEZUELA USD'!$AH$3</f>
        <v>490.0552486187845</v>
      </c>
      <c r="N39" s="28">
        <f>+M39/$M$20</f>
        <v>1.3297802165643783E-2</v>
      </c>
      <c r="O39" s="28" t="str">
        <f>IF(K39=0,"",(M39-K39)/ABS(K39)+1)</f>
        <v/>
      </c>
      <c r="P39" s="55">
        <f>+'VZLA BFS'!P39/'VENEZUELA USD'!$AH$4</f>
        <v>185.50011021052632</v>
      </c>
      <c r="Q39" s="28">
        <f>IF($P$20&lt;=0," ",P39/$P$20)</f>
        <v>1.3652834537050167E-2</v>
      </c>
      <c r="R39" s="28">
        <f>IF(M39=0,"",(M39-P39)/ABS(P39))</f>
        <v>1.6418057006144895</v>
      </c>
      <c r="AL39" s="93" t="s">
        <v>132</v>
      </c>
      <c r="AM39" s="94">
        <v>3143738</v>
      </c>
      <c r="AN39" s="95"/>
      <c r="AO39" s="95"/>
      <c r="AP39" s="95"/>
      <c r="AQ39" s="95"/>
      <c r="AT39" s="93" t="s">
        <v>132</v>
      </c>
      <c r="AU39" s="94">
        <v>5.14</v>
      </c>
      <c r="AV39" s="95"/>
      <c r="AW39" s="95"/>
      <c r="AX39" s="95"/>
      <c r="AY39" s="95"/>
    </row>
    <row r="40" spans="2:51" ht="15" x14ac:dyDescent="0.25">
      <c r="E40" s="59">
        <f>'VZLA BFS'!E40/'VENEZUELA USD'!$AH$3</f>
        <v>0</v>
      </c>
      <c r="H40" s="55">
        <f>+'VZLA BFS'!H40/'VENEZUELA USD'!$AH$4</f>
        <v>0</v>
      </c>
      <c r="M40" s="59">
        <f>'VZLA BFS'!M40/'VENEZUELA USD'!$AH$3</f>
        <v>0</v>
      </c>
      <c r="P40" s="55">
        <f>+'VZLA BFS'!P40/'VENEZUELA USD'!$AH$4</f>
        <v>0</v>
      </c>
      <c r="AL40" s="93" t="s">
        <v>133</v>
      </c>
      <c r="AM40" s="94">
        <v>3267940</v>
      </c>
      <c r="AN40" s="95"/>
      <c r="AO40" s="95"/>
      <c r="AP40" s="95"/>
      <c r="AQ40" s="95"/>
      <c r="AT40" s="93" t="s">
        <v>133</v>
      </c>
      <c r="AU40" s="94">
        <v>5.78</v>
      </c>
      <c r="AV40" s="95"/>
      <c r="AW40" s="95"/>
      <c r="AX40" s="95"/>
      <c r="AY40" s="95"/>
    </row>
    <row r="41" spans="2:51" ht="15" x14ac:dyDescent="0.25">
      <c r="B41" s="3" t="s">
        <v>43</v>
      </c>
      <c r="C41" s="59">
        <f>'VZLA BFS'!C33/'VENEZUELA USD'!$AH$3</f>
        <v>0</v>
      </c>
      <c r="D41" s="28" t="str">
        <f>IF(DD42&lt;=0," ",C41/$C$20)</f>
        <v xml:space="preserve"> </v>
      </c>
      <c r="E41" s="59">
        <f>'VZLA BFS'!E41/'VENEZUELA USD'!$AH$3</f>
        <v>3722.7208839779014</v>
      </c>
      <c r="F41" s="28">
        <f>+E41/$E$20</f>
        <v>0.7324558230137751</v>
      </c>
      <c r="G41" s="28" t="str">
        <f>IF(C41=0,"",(E41-C41)/ABS(C41)+1)</f>
        <v/>
      </c>
      <c r="H41" s="55">
        <f>+'VZLA BFS'!H41/'VENEZUELA USD'!$AH$4</f>
        <v>539.90570175438666</v>
      </c>
      <c r="I41" s="28">
        <f>IF($H$20&lt;=0," ",H41/$H$20)</f>
        <v>0.21312104072202362</v>
      </c>
      <c r="J41" s="28">
        <f>IF(E41=0,"",(E41-H41)/ABS(H41))</f>
        <v>5.8951316348043274</v>
      </c>
      <c r="K41" s="59">
        <f>'VZLA BFS'!K33/'VENEZUELA USD'!$AH$3</f>
        <v>0</v>
      </c>
      <c r="L41" s="28" t="str">
        <f>IF($K$20&lt;=0," ",K41/$K$20)</f>
        <v xml:space="preserve"> </v>
      </c>
      <c r="M41" s="59">
        <f>'VZLA BFS'!M41/'VENEZUELA USD'!$AH$3</f>
        <v>11702.561767955794</v>
      </c>
      <c r="N41" s="28">
        <f>+M41/$M$20</f>
        <v>0.31755266709235613</v>
      </c>
      <c r="O41" s="28" t="str">
        <f>IF(K41=0,"",(M41-K41)/ABS(K41)+1)</f>
        <v/>
      </c>
      <c r="P41" s="55">
        <f>+'VZLA BFS'!P41/'VENEZUELA USD'!$AH$4</f>
        <v>2990.0893685021933</v>
      </c>
      <c r="Q41" s="28">
        <f>IF($P$20&lt;=0," ",P41/$P$20)</f>
        <v>0.22007100347715444</v>
      </c>
      <c r="R41" s="28">
        <f>IF(M41=0,"",(M41-P41)/ABS(P41))</f>
        <v>2.9137832772596646</v>
      </c>
      <c r="AL41" s="93" t="s">
        <v>134</v>
      </c>
      <c r="AM41" s="94">
        <v>4139112</v>
      </c>
      <c r="AN41" s="95"/>
      <c r="AO41" s="95"/>
      <c r="AP41" s="95"/>
      <c r="AQ41" s="95"/>
      <c r="AT41" s="93" t="s">
        <v>134</v>
      </c>
      <c r="AU41" s="94">
        <v>5.91</v>
      </c>
      <c r="AV41" s="95"/>
      <c r="AW41" s="95"/>
      <c r="AX41" s="95"/>
      <c r="AY41" s="95"/>
    </row>
    <row r="42" spans="2:51" ht="15" x14ac:dyDescent="0.25">
      <c r="B42" s="3" t="s">
        <v>29</v>
      </c>
      <c r="C42" s="59">
        <f>'VZLA BFS'!C34/'VENEZUELA USD'!$AH$3</f>
        <v>0</v>
      </c>
      <c r="D42" s="28" t="str">
        <f>IF(DD43&lt;=0," ",C42/$C$20)</f>
        <v xml:space="preserve"> </v>
      </c>
      <c r="E42" s="59">
        <f>'VZLA BFS'!E42/'VENEZUELA USD'!$AH$3</f>
        <v>3978.895027624309</v>
      </c>
      <c r="F42" s="28">
        <f>+E42/$E$20</f>
        <v>0.78285880756922221</v>
      </c>
      <c r="G42" s="28" t="str">
        <f>IF(C42=0,"",(E42-C42)/ABS(C42)+1)</f>
        <v/>
      </c>
      <c r="H42" s="55">
        <f>+'VZLA BFS'!H42/'VENEZUELA USD'!$AH$4</f>
        <v>0</v>
      </c>
      <c r="I42" s="28">
        <f>IF($H$20&lt;=0," ",H42/$H$20)</f>
        <v>0</v>
      </c>
      <c r="J42" s="28" t="e">
        <f>IF(E42=0,"",(E42-H42)/ABS(H42))</f>
        <v>#DIV/0!</v>
      </c>
      <c r="K42" s="59">
        <f>'VZLA BFS'!K34/'VENEZUELA USD'!$AH$3</f>
        <v>0</v>
      </c>
      <c r="L42" s="28" t="str">
        <f>IF($K$20&lt;=0," ",K42/$K$20)</f>
        <v xml:space="preserve"> </v>
      </c>
      <c r="M42" s="59">
        <f>'VZLA BFS'!M42/'VENEZUELA USD'!$AH$3</f>
        <v>3978.895027624309</v>
      </c>
      <c r="N42" s="28">
        <f>+M42/$M$20</f>
        <v>0.10796855877850438</v>
      </c>
      <c r="O42" s="28" t="str">
        <f>IF(K42=0,"",(M42-K42)/ABS(K42)+1)</f>
        <v/>
      </c>
      <c r="P42" s="55">
        <f>+'VZLA BFS'!P42/'VENEZUELA USD'!$AH$4</f>
        <v>4.3415957872807018</v>
      </c>
      <c r="Q42" s="28">
        <f>IF($P$20&lt;=0," ",P42/$P$20)</f>
        <v>3.1954206842909938E-4</v>
      </c>
      <c r="R42" s="28">
        <f>IF(M42=0,"",(M42-P42)/ABS(P42))</f>
        <v>915.45911378508004</v>
      </c>
      <c r="AL42" s="93" t="s">
        <v>135</v>
      </c>
      <c r="AM42" s="94">
        <v>4148043</v>
      </c>
      <c r="AN42" s="95"/>
      <c r="AO42" s="95"/>
      <c r="AP42" s="95"/>
      <c r="AQ42" s="95"/>
      <c r="AT42" s="93" t="s">
        <v>135</v>
      </c>
      <c r="AU42" s="94">
        <v>8.39</v>
      </c>
      <c r="AV42" s="95"/>
      <c r="AW42" s="95"/>
      <c r="AX42" s="95"/>
      <c r="AY42" s="95"/>
    </row>
    <row r="43" spans="2:51" ht="15" x14ac:dyDescent="0.25">
      <c r="B43" s="3" t="s">
        <v>44</v>
      </c>
      <c r="C43" s="59">
        <f>'VZLA BFS'!C35/'VENEZUELA USD'!$AH$3</f>
        <v>0</v>
      </c>
      <c r="D43" s="28" t="str">
        <f>IF(DD44&lt;=0," ",C43/$C$20)</f>
        <v xml:space="preserve"> </v>
      </c>
      <c r="E43" s="59">
        <f>'VZLA BFS'!E43/'VENEZUELA USD'!$AH$3</f>
        <v>-256.17414364640763</v>
      </c>
      <c r="F43" s="28">
        <f>+E43/$E$20</f>
        <v>-5.0402984555447103E-2</v>
      </c>
      <c r="G43" s="28" t="str">
        <f>IF(C43=0,"",(E43-C43)/ABS(C43)+1)</f>
        <v/>
      </c>
      <c r="H43" s="55">
        <f>+'VZLA BFS'!H43/'VENEZUELA USD'!$AH$4</f>
        <v>539.90570175438666</v>
      </c>
      <c r="I43" s="28">
        <f>IF($H$20&lt;=0," ",H43/$H$20)</f>
        <v>0.21312104072202362</v>
      </c>
      <c r="J43" s="28">
        <f>IF(E43=0,"",(E43-H43)/ABS(H43))</f>
        <v>-1.474479418931838</v>
      </c>
      <c r="K43" s="59">
        <f>'VZLA BFS'!K35/'VENEZUELA USD'!$AH$3</f>
        <v>0</v>
      </c>
      <c r="L43" s="28" t="str">
        <f>IF($K$20&lt;=0," ",K43/$K$20)</f>
        <v xml:space="preserve"> </v>
      </c>
      <c r="M43" s="59">
        <f>'VZLA BFS'!M43/'VENEZUELA USD'!$AH$3</f>
        <v>7723.6667403314859</v>
      </c>
      <c r="N43" s="28">
        <f>+M43/$M$20</f>
        <v>0.20958410831385177</v>
      </c>
      <c r="O43" s="28" t="str">
        <f>IF(K43=0,"",(M43-K43)/ABS(K43)+1)</f>
        <v/>
      </c>
      <c r="P43" s="55">
        <f>+'VZLA BFS'!P43/'VENEZUELA USD'!$AH$4</f>
        <v>2985.7477727149126</v>
      </c>
      <c r="Q43" s="28">
        <f>IF($P$20&lt;=0," ",P43/$P$20)</f>
        <v>0.21975146140872534</v>
      </c>
      <c r="R43" s="28">
        <f>IF(M43=0,"",(M43-P43)/ABS(P43))</f>
        <v>1.5868450144763662</v>
      </c>
      <c r="AL43" s="93" t="s">
        <v>136</v>
      </c>
      <c r="AM43" s="94">
        <v>4549688</v>
      </c>
      <c r="AN43" s="95"/>
      <c r="AO43" s="95"/>
      <c r="AP43" s="95"/>
      <c r="AQ43" s="95"/>
      <c r="AT43" s="93" t="s">
        <v>136</v>
      </c>
      <c r="AU43" s="94">
        <v>8.3699999999999992</v>
      </c>
      <c r="AV43" s="95"/>
      <c r="AW43" s="95"/>
      <c r="AX43" s="95"/>
      <c r="AY43" s="95"/>
    </row>
    <row r="44" spans="2:51" ht="15" x14ac:dyDescent="0.25">
      <c r="E44" s="59">
        <f>'VZLA BFS'!E44/'VENEZUELA USD'!$AH$3</f>
        <v>0</v>
      </c>
      <c r="H44" s="55">
        <f>+'VZLA BFS'!H44/'VENEZUELA USD'!$AH$4</f>
        <v>0</v>
      </c>
      <c r="M44" s="59">
        <f>'VZLA BFS'!M44/'VENEZUELA USD'!$AH$3</f>
        <v>0</v>
      </c>
      <c r="P44" s="55">
        <f>+'VZLA BFS'!P44/'VENEZUELA USD'!$AH$4</f>
        <v>0</v>
      </c>
      <c r="AL44" s="93" t="s">
        <v>137</v>
      </c>
      <c r="AM44" s="94">
        <v>4.5599999999999996</v>
      </c>
      <c r="AN44" s="95"/>
      <c r="AO44" s="95"/>
      <c r="AP44" s="95"/>
      <c r="AQ44" s="95"/>
      <c r="AT44" s="93" t="s">
        <v>137</v>
      </c>
      <c r="AU44" s="94">
        <v>9.0500000000000007</v>
      </c>
      <c r="AV44" s="95"/>
      <c r="AW44" s="95"/>
      <c r="AX44" s="95"/>
      <c r="AY44" s="95"/>
    </row>
    <row r="45" spans="2:51" ht="23.25" x14ac:dyDescent="0.25">
      <c r="B45" s="3" t="s">
        <v>45</v>
      </c>
      <c r="C45" s="59">
        <f>'VZLA BFS'!C36/'VENEZUELA USD'!$AH$3</f>
        <v>0</v>
      </c>
      <c r="D45" s="28" t="str">
        <f>IF(DD45&lt;=0," ",C45/$C$20)</f>
        <v xml:space="preserve"> </v>
      </c>
      <c r="E45" s="59">
        <f>'VZLA BFS'!E45/'VENEZUELA USD'!$AH$3</f>
        <v>-256.17414364640763</v>
      </c>
      <c r="F45" s="28">
        <f>+E45/$E$20</f>
        <v>-5.0402984555447103E-2</v>
      </c>
      <c r="G45" s="28" t="str">
        <f>IF(C45=0,"",(E45-C45)/ABS(C45)+1)</f>
        <v/>
      </c>
      <c r="H45" s="55">
        <f>+'VZLA BFS'!H45/'VENEZUELA USD'!$AH$4</f>
        <v>539.91228070175441</v>
      </c>
      <c r="I45" s="28">
        <f>IF($H$20&lt;=0," ",H45/$H$20)</f>
        <v>0.21312363767942807</v>
      </c>
      <c r="J45" s="28">
        <f>IF(E45=0,"",(E45-H45)/ABS(H45))</f>
        <v>-1.4744736372979768</v>
      </c>
      <c r="K45" s="59">
        <f>'VZLA BFS'!K36/'VENEZUELA USD'!$AH$3</f>
        <v>0</v>
      </c>
      <c r="L45" s="28" t="str">
        <f>IF($K$20&lt;=0," ",K45/$K$20)</f>
        <v xml:space="preserve"> </v>
      </c>
      <c r="M45" s="59">
        <f>'VZLA BFS'!M45/'VENEZUELA USD'!$AH$3</f>
        <v>7723.6667403314859</v>
      </c>
      <c r="N45" s="28">
        <f>+M45/$M$20</f>
        <v>0.20958410831385177</v>
      </c>
      <c r="O45" s="28" t="str">
        <f>IF(K45=0,"",(M45-K45)/ABS(K45)+1)</f>
        <v/>
      </c>
      <c r="P45" s="55">
        <f>+'VZLA BFS'!P45/'VENEZUELA USD'!$AH$4</f>
        <v>2985.7456140350878</v>
      </c>
      <c r="Q45" s="28">
        <f>IF($P$20&lt;=0," ",P45/$P$20)</f>
        <v>0.21975130252958272</v>
      </c>
      <c r="R45" s="28">
        <f>IF(M45=0,"",(M45-P45)/ABS(P45))</f>
        <v>1.5868468847529618</v>
      </c>
      <c r="AL45" s="93" t="s">
        <v>138</v>
      </c>
      <c r="AM45" s="94">
        <v>4.99</v>
      </c>
      <c r="AN45" s="95"/>
      <c r="AO45" s="95"/>
      <c r="AP45" s="96" t="s">
        <v>139</v>
      </c>
      <c r="AQ45" s="95" t="s">
        <v>140</v>
      </c>
      <c r="AT45" s="93" t="s">
        <v>138</v>
      </c>
      <c r="AU45" s="94"/>
      <c r="AV45" s="95"/>
      <c r="AW45" s="95"/>
      <c r="AX45" s="96" t="s">
        <v>139</v>
      </c>
      <c r="AY45" s="95" t="s">
        <v>140</v>
      </c>
    </row>
    <row r="46" spans="2:51" ht="15" x14ac:dyDescent="0.25">
      <c r="B46" s="3" t="s">
        <v>20</v>
      </c>
      <c r="C46" s="59">
        <f>'VZLA BFS'!C37/'VENEZUELA USD'!$AH$3</f>
        <v>0</v>
      </c>
      <c r="D46" s="28" t="str">
        <f>IF(DD46&lt;=0," ",C46/$C$20)</f>
        <v xml:space="preserve"> </v>
      </c>
      <c r="E46" s="59">
        <f>'VZLA BFS'!E46/'VENEZUELA USD'!$AH$3</f>
        <v>969.01325966850823</v>
      </c>
      <c r="F46" s="28">
        <f>+E46/$E$20</f>
        <v>0.19065608911924306</v>
      </c>
      <c r="G46" s="28" t="str">
        <f>IF(C46=0,"",(E46-C46)/ABS(C46)+1)</f>
        <v/>
      </c>
      <c r="H46" s="55">
        <f>+'VZLA BFS'!H46/'VENEZUELA USD'!$AH$4</f>
        <v>596.0526315789474</v>
      </c>
      <c r="I46" s="28">
        <f>IF($H$20&lt;=0," ",H46/$H$20)</f>
        <v>0.23528434086624106</v>
      </c>
      <c r="J46" s="28">
        <f>IF(E46=0,"",(E46-H46)/ABS(H46))</f>
        <v>0.62571761003988124</v>
      </c>
      <c r="K46" s="59">
        <f>'VZLA BFS'!K37/'VENEZUELA USD'!$AH$3</f>
        <v>0</v>
      </c>
      <c r="L46" s="28" t="str">
        <f>IF($K$20&lt;=0," ",K46/$K$20)</f>
        <v xml:space="preserve"> </v>
      </c>
      <c r="M46" s="59">
        <f>'VZLA BFS'!M46/'VENEZUELA USD'!$AH$3</f>
        <v>8578.0640883977885</v>
      </c>
      <c r="N46" s="28">
        <f>+M46/$M$20</f>
        <v>0.23276844709495645</v>
      </c>
      <c r="O46" s="28" t="str">
        <f>IF(K46=0,"",(M46-K46)/ABS(K46)+1)</f>
        <v/>
      </c>
      <c r="P46" s="55">
        <f>+'VZLA BFS'!P46/'VENEZUELA USD'!$AH$4</f>
        <v>3219.2982456140353</v>
      </c>
      <c r="Q46" s="28">
        <f>IF($P$20&lt;=0," ",P46/$P$20)</f>
        <v>0.23694080948470617</v>
      </c>
      <c r="R46" s="28">
        <f>IF(M46=0,"",(M46-P46)/ABS(P46))</f>
        <v>1.664575765878332</v>
      </c>
      <c r="AL46" s="93" t="s">
        <v>141</v>
      </c>
      <c r="AM46" s="94">
        <v>4.6900000000000004</v>
      </c>
      <c r="AN46" s="97">
        <f>1/AM46</f>
        <v>0.21321961620469082</v>
      </c>
      <c r="AO46" s="95" t="s">
        <v>142</v>
      </c>
      <c r="AP46" s="95">
        <v>11272</v>
      </c>
      <c r="AQ46" s="98">
        <f>+AP46*AN46</f>
        <v>2403.4115138592751</v>
      </c>
      <c r="AT46" s="93" t="s">
        <v>141</v>
      </c>
      <c r="AU46" s="94"/>
      <c r="AV46" s="97" t="e">
        <f>1/AU46</f>
        <v>#DIV/0!</v>
      </c>
      <c r="AW46" s="95" t="s">
        <v>142</v>
      </c>
      <c r="AX46" s="95">
        <v>11272</v>
      </c>
      <c r="AY46" s="98" t="e">
        <f>+AX46*AV46</f>
        <v>#DIV/0!</v>
      </c>
    </row>
    <row r="47" spans="2:51" ht="15" x14ac:dyDescent="0.25">
      <c r="E47" s="45"/>
      <c r="M47" s="45"/>
      <c r="P47" s="55" t="e">
        <f>+'VZLA BFS'!P47/'VENEZUELA USD'!$AH$4</f>
        <v>#VALUE!</v>
      </c>
      <c r="AL47" s="95" t="s">
        <v>143</v>
      </c>
      <c r="AM47" s="99">
        <f>AVERAGE(AM35:AM46)</f>
        <v>2329383.6866666665</v>
      </c>
      <c r="AN47" s="97">
        <f>1/AM47</f>
        <v>4.2929810392507461E-7</v>
      </c>
      <c r="AO47" s="95" t="s">
        <v>144</v>
      </c>
      <c r="AP47" s="100">
        <v>11272</v>
      </c>
      <c r="AQ47" s="101">
        <f>+AP47*AN47</f>
        <v>4.8390482274434411E-3</v>
      </c>
      <c r="AT47" s="95" t="s">
        <v>143</v>
      </c>
      <c r="AU47" s="99">
        <f>AVERAGE(AU35:AU46)</f>
        <v>6.1010000000000009</v>
      </c>
      <c r="AV47" s="97">
        <f>1/AU47</f>
        <v>0.16390755613833796</v>
      </c>
      <c r="AW47" s="95" t="s">
        <v>144</v>
      </c>
      <c r="AX47" s="100">
        <v>11272</v>
      </c>
      <c r="AY47" s="101">
        <f>+AX47*AV47</f>
        <v>1847.5659727913455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F43E9-AFFB-4DB5-AF6A-823E4F30268E}">
  <sheetPr>
    <tabColor theme="2" tint="-0.249977111117893"/>
  </sheetPr>
  <dimension ref="A1:AH48"/>
  <sheetViews>
    <sheetView showGridLines="0" topLeftCell="A7" zoomScale="93" zoomScaleNormal="93" workbookViewId="0">
      <selection activeCell="A28" sqref="A28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46" customFormat="1" ht="14.25" customHeight="1" x14ac:dyDescent="0.2"/>
    <row r="3" spans="1:34" ht="14.25" customHeight="1" x14ac:dyDescent="0.25">
      <c r="B3" s="13" t="s">
        <v>145</v>
      </c>
      <c r="T3" s="15" t="s">
        <v>145</v>
      </c>
    </row>
    <row r="4" spans="1:34" ht="14.25" customHeight="1" x14ac:dyDescent="0.2">
      <c r="A4" s="71">
        <f>+Paramet!A3</f>
        <v>202101</v>
      </c>
      <c r="B4" s="2" t="s">
        <v>5</v>
      </c>
      <c r="K4" s="102"/>
      <c r="L4" s="102"/>
      <c r="M4" s="102"/>
      <c r="N4" s="102"/>
      <c r="O4" s="102"/>
      <c r="P4" s="102"/>
      <c r="Q4" s="102"/>
      <c r="R4" s="102"/>
      <c r="S4" s="102"/>
      <c r="T4" s="3" t="s">
        <v>6</v>
      </c>
    </row>
    <row r="5" spans="1:34" ht="14.25" customHeight="1" x14ac:dyDescent="0.2">
      <c r="A5" s="71">
        <f>+Paramet!A4</f>
        <v>202110</v>
      </c>
      <c r="B5" s="3" t="s">
        <v>146</v>
      </c>
      <c r="K5" s="10"/>
      <c r="L5" s="10"/>
      <c r="M5" s="20"/>
      <c r="N5" s="20"/>
      <c r="O5" s="7"/>
      <c r="P5" s="10"/>
      <c r="Q5" s="10"/>
      <c r="R5" s="7"/>
      <c r="S5" s="7"/>
      <c r="T5" s="3" t="s">
        <v>146</v>
      </c>
    </row>
    <row r="6" spans="1:34" ht="14.25" customHeight="1" thickBot="1" x14ac:dyDescent="0.25">
      <c r="A6" s="71">
        <f>+Paramet!B3</f>
        <v>202201</v>
      </c>
      <c r="B6" s="17" t="str">
        <f>+'COLOMB$ '!B6</f>
        <v>OCTUBRE de 2022</v>
      </c>
      <c r="K6" s="18" t="s">
        <v>8</v>
      </c>
      <c r="L6" s="18"/>
      <c r="M6" s="18"/>
      <c r="N6" s="18"/>
      <c r="O6" s="18"/>
      <c r="P6" s="18"/>
      <c r="Q6" s="18"/>
      <c r="R6" s="18"/>
      <c r="S6" s="12"/>
      <c r="T6" s="17" t="str">
        <f>+B6</f>
        <v>OCTUBRE de 2022</v>
      </c>
      <c r="X6" s="18" t="s">
        <v>8</v>
      </c>
      <c r="Y6" s="18"/>
      <c r="Z6" s="18"/>
      <c r="AA6" s="18"/>
      <c r="AB6" s="18"/>
      <c r="AC6" s="18"/>
    </row>
    <row r="7" spans="1:34" ht="14.25" customHeight="1" x14ac:dyDescent="0.2">
      <c r="A7" s="71">
        <f>+Paramet!B4</f>
        <v>202210</v>
      </c>
      <c r="B7" s="53"/>
      <c r="C7" s="53" t="str">
        <f>+'COLOMB$ '!D7:D7</f>
        <v>Ppto 2022</v>
      </c>
      <c r="D7" s="53"/>
      <c r="E7" s="53" t="str">
        <f>+'COLOMB$ '!F7:F7</f>
        <v>Real 2022</v>
      </c>
      <c r="F7" s="53"/>
      <c r="G7" s="53" t="s">
        <v>9</v>
      </c>
      <c r="H7" s="53" t="str">
        <f>+'COLOMB$ '!I7:I7</f>
        <v>Real 2021</v>
      </c>
      <c r="I7" s="53"/>
      <c r="J7" s="53" t="s">
        <v>10</v>
      </c>
      <c r="K7" s="53" t="str">
        <f>+C7</f>
        <v>Ppto 2022</v>
      </c>
      <c r="L7" s="53"/>
      <c r="M7" s="53" t="str">
        <f>+E7</f>
        <v>Real 2022</v>
      </c>
      <c r="N7" s="53"/>
      <c r="O7" s="53" t="s">
        <v>9</v>
      </c>
      <c r="P7" s="53" t="str">
        <f>+H7</f>
        <v>Real 2021</v>
      </c>
      <c r="Q7" s="53"/>
      <c r="R7" s="53" t="s">
        <v>10</v>
      </c>
      <c r="T7" s="46"/>
      <c r="U7" s="46" t="str">
        <f>+C7</f>
        <v>Ppto 2022</v>
      </c>
      <c r="V7" s="46" t="str">
        <f>+M7</f>
        <v>Real 2022</v>
      </c>
      <c r="W7" s="46" t="str">
        <f>+H7</f>
        <v>Real 2021</v>
      </c>
      <c r="X7" s="103" t="str">
        <f>+K7</f>
        <v>Ppto 2022</v>
      </c>
      <c r="Y7" s="46" t="str">
        <f>+V7</f>
        <v>Real 2022</v>
      </c>
      <c r="Z7" s="46" t="s">
        <v>11</v>
      </c>
      <c r="AA7" s="46" t="s">
        <v>9</v>
      </c>
      <c r="AB7" s="46" t="str">
        <f>+W7</f>
        <v>Real 2021</v>
      </c>
      <c r="AC7" s="46" t="s">
        <v>10</v>
      </c>
    </row>
    <row r="8" spans="1:34" ht="14.25" customHeight="1" thickBot="1" x14ac:dyDescent="0.25">
      <c r="B8" s="22" t="s">
        <v>12</v>
      </c>
      <c r="C8" s="104" t="s">
        <v>13</v>
      </c>
      <c r="D8" s="104" t="s">
        <v>14</v>
      </c>
      <c r="E8" s="104" t="s">
        <v>13</v>
      </c>
      <c r="F8" s="104" t="s">
        <v>14</v>
      </c>
      <c r="G8" s="104" t="s">
        <v>15</v>
      </c>
      <c r="H8" s="104" t="s">
        <v>13</v>
      </c>
      <c r="I8" s="104" t="s">
        <v>14</v>
      </c>
      <c r="J8" s="104" t="s">
        <v>15</v>
      </c>
      <c r="K8" s="104" t="s">
        <v>13</v>
      </c>
      <c r="L8" s="104" t="s">
        <v>14</v>
      </c>
      <c r="M8" s="104" t="s">
        <v>13</v>
      </c>
      <c r="N8" s="104" t="s">
        <v>14</v>
      </c>
      <c r="O8" s="104" t="s">
        <v>15</v>
      </c>
      <c r="P8" s="104" t="s">
        <v>13</v>
      </c>
      <c r="Q8" s="104" t="s">
        <v>14</v>
      </c>
      <c r="R8" s="104" t="s">
        <v>15</v>
      </c>
      <c r="T8" s="24"/>
      <c r="U8" s="25"/>
      <c r="V8" s="25"/>
      <c r="W8" s="25"/>
      <c r="X8" s="25"/>
      <c r="Y8" s="25"/>
      <c r="Z8" s="25"/>
      <c r="AA8" s="25" t="s">
        <v>15</v>
      </c>
      <c r="AB8" s="25"/>
      <c r="AC8" s="25" t="s">
        <v>15</v>
      </c>
    </row>
    <row r="9" spans="1:34" ht="14.25" customHeight="1" x14ac:dyDescent="0.2">
      <c r="T9" s="3"/>
    </row>
    <row r="10" spans="1:34" ht="14.25" customHeight="1" x14ac:dyDescent="0.2">
      <c r="B10" s="3" t="s">
        <v>55</v>
      </c>
      <c r="C10" s="59">
        <f>+E10</f>
        <v>0</v>
      </c>
      <c r="D10" s="28" t="str">
        <f>IF($C$20&lt;=0," ",C10/$C$20)</f>
        <v xml:space="preserve"> </v>
      </c>
      <c r="E10" s="59">
        <v>0</v>
      </c>
      <c r="F10" s="28" t="str">
        <f>IF($E$20&lt;=0," ",E10/$E$20)</f>
        <v xml:space="preserve"> </v>
      </c>
      <c r="G10" s="28" t="str">
        <f>IF(C10=0,"",(E10-C10)/ABS(C10)+1)</f>
        <v/>
      </c>
      <c r="H10" s="59">
        <v>2100</v>
      </c>
      <c r="I10" s="28" t="str">
        <f>IF(E10=0,"",(G10-E10)/ABS(E10)+1)</f>
        <v/>
      </c>
      <c r="J10" s="28" t="str">
        <f>IF($H$20&lt;=0," ",I10/$H$20)</f>
        <v xml:space="preserve"> </v>
      </c>
      <c r="K10" s="59">
        <f t="shared" ref="K10:K15" si="0">+M10</f>
        <v>0</v>
      </c>
      <c r="L10" s="28" t="str">
        <f>IF($K$20&lt;=0," ",K10/$K$20)</f>
        <v xml:space="preserve"> </v>
      </c>
      <c r="M10" s="59">
        <v>0</v>
      </c>
      <c r="N10" s="28" t="str">
        <f>IF($M$20&lt;=0," ",M10/$M$20)</f>
        <v xml:space="preserve"> </v>
      </c>
      <c r="O10" s="28" t="str">
        <f t="shared" ref="O10:O15" si="1">IF(K10=0,"",(M10-K10)/ABS(K10)+1)</f>
        <v/>
      </c>
      <c r="P10" s="59">
        <v>21000</v>
      </c>
      <c r="Q10" s="28">
        <f t="shared" ref="Q10:Q15" si="2">+P10/$P$20</f>
        <v>1</v>
      </c>
      <c r="R10" s="28">
        <f>IF(P10=0,"",(M10-P10)/ABS(P10))</f>
        <v>-1</v>
      </c>
      <c r="T10" s="3" t="s">
        <v>16</v>
      </c>
      <c r="U10" s="59">
        <f>+V10</f>
        <v>3084</v>
      </c>
      <c r="V10" s="59">
        <v>3084</v>
      </c>
      <c r="W10" s="59">
        <v>8811.7900000000009</v>
      </c>
      <c r="X10" s="59">
        <f>+Y10</f>
        <v>6929</v>
      </c>
      <c r="Y10" s="59">
        <v>6929</v>
      </c>
      <c r="Z10" s="55">
        <f>+Y10-X10</f>
        <v>0</v>
      </c>
      <c r="AA10" s="61">
        <f>IF(X10=0,"",(Y10-X10)/ABS(X10)+1)</f>
        <v>1</v>
      </c>
      <c r="AB10" s="59">
        <v>9874.7900000000009</v>
      </c>
      <c r="AC10" s="61">
        <f>IF(W10=0,"",(Y10-AB10)/ABS(AB10))</f>
        <v>-0.29831419199800713</v>
      </c>
      <c r="AE10" s="59"/>
      <c r="AF10" s="59"/>
    </row>
    <row r="11" spans="1:34" ht="14.25" customHeight="1" x14ac:dyDescent="0.2">
      <c r="B11" s="3" t="s">
        <v>57</v>
      </c>
      <c r="C11" s="59">
        <v>0</v>
      </c>
      <c r="D11" s="28" t="str">
        <f t="shared" ref="D11:D20" si="3">IF($C$20&lt;=0," ",C11/$C$20)</f>
        <v xml:space="preserve"> </v>
      </c>
      <c r="E11" s="59">
        <v>0</v>
      </c>
      <c r="F11" s="28" t="str">
        <f t="shared" ref="F11:F20" si="4">IF($E$20&lt;=0," ",E11/$E$20)</f>
        <v xml:space="preserve"> </v>
      </c>
      <c r="G11" s="28" t="str">
        <f t="shared" ref="G11:G46" si="5">IF(C11=0,"",(E11-C11)/ABS(C11)+1)</f>
        <v/>
      </c>
      <c r="H11" s="59">
        <v>0</v>
      </c>
      <c r="I11" s="28" t="str">
        <f t="shared" ref="I11:I46" si="6">IF(E11=0,"",(G11-E11)/ABS(E11)+1)</f>
        <v/>
      </c>
      <c r="J11" s="28" t="str">
        <f>IF(H11=0,"",(E11-H11)/ABS(H11))</f>
        <v/>
      </c>
      <c r="K11" s="59">
        <f t="shared" si="0"/>
        <v>0</v>
      </c>
      <c r="L11" s="28" t="str">
        <f t="shared" ref="L11:L20" si="7">IF($K$20&lt;=0," ",K11/$K$20)</f>
        <v xml:space="preserve"> </v>
      </c>
      <c r="M11" s="59">
        <v>0</v>
      </c>
      <c r="N11" s="28" t="str">
        <f t="shared" ref="N11:N24" si="8">IF($M$20&lt;=0," ",M11/$M$20)</f>
        <v xml:space="preserve"> </v>
      </c>
      <c r="O11" s="28" t="str">
        <f t="shared" si="1"/>
        <v/>
      </c>
      <c r="P11" s="59">
        <v>0</v>
      </c>
      <c r="Q11" s="28">
        <f t="shared" si="2"/>
        <v>0</v>
      </c>
      <c r="R11" s="28" t="str">
        <f t="shared" ref="R11:R46" si="9">IF(P11=0,"",(M11-P11)/ABS(P11))</f>
        <v/>
      </c>
      <c r="T11" s="3" t="s">
        <v>17</v>
      </c>
      <c r="U11" s="59">
        <f>+V11</f>
        <v>0</v>
      </c>
      <c r="V11" s="59">
        <v>0</v>
      </c>
      <c r="W11" s="59">
        <v>0</v>
      </c>
      <c r="X11" s="59">
        <f>+Y11</f>
        <v>0</v>
      </c>
      <c r="Y11" s="59">
        <v>0</v>
      </c>
      <c r="Z11" s="55">
        <f>+Y11-X11</f>
        <v>0</v>
      </c>
      <c r="AA11" s="61" t="str">
        <f>IF(X11=0,"",(Y11-X11)/ABS(X11)+1)</f>
        <v/>
      </c>
      <c r="AB11" s="59">
        <v>47375</v>
      </c>
      <c r="AC11" s="61">
        <f>IF(AB11=0,"",(Y11-AB11)/ABS(AB11))</f>
        <v>-1</v>
      </c>
      <c r="AD11" s="60"/>
      <c r="AE11" s="60"/>
      <c r="AF11" s="60"/>
      <c r="AH11" s="47"/>
    </row>
    <row r="12" spans="1:34" ht="14.25" customHeight="1" x14ac:dyDescent="0.2">
      <c r="B12" s="3" t="s">
        <v>59</v>
      </c>
      <c r="C12" s="59">
        <v>0</v>
      </c>
      <c r="D12" s="28" t="str">
        <f t="shared" si="3"/>
        <v xml:space="preserve"> </v>
      </c>
      <c r="E12" s="59">
        <v>0</v>
      </c>
      <c r="F12" s="28" t="str">
        <f t="shared" si="4"/>
        <v xml:space="preserve"> </v>
      </c>
      <c r="G12" s="28" t="str">
        <f t="shared" si="5"/>
        <v/>
      </c>
      <c r="H12" s="59">
        <v>0</v>
      </c>
      <c r="I12" s="28" t="str">
        <f t="shared" si="6"/>
        <v/>
      </c>
      <c r="J12" s="28" t="str">
        <f>IF(H12=0,"",(E12-H12)/ABS(H12))</f>
        <v/>
      </c>
      <c r="K12" s="59">
        <f t="shared" si="0"/>
        <v>0</v>
      </c>
      <c r="L12" s="28" t="str">
        <f t="shared" si="7"/>
        <v xml:space="preserve"> </v>
      </c>
      <c r="M12" s="59">
        <v>0</v>
      </c>
      <c r="N12" s="28" t="str">
        <f t="shared" si="8"/>
        <v xml:space="preserve"> </v>
      </c>
      <c r="O12" s="28" t="str">
        <f t="shared" si="1"/>
        <v/>
      </c>
      <c r="P12" s="59">
        <v>0</v>
      </c>
      <c r="Q12" s="28">
        <f t="shared" si="2"/>
        <v>0</v>
      </c>
      <c r="R12" s="28" t="str">
        <f t="shared" si="9"/>
        <v/>
      </c>
      <c r="AE12" s="60"/>
      <c r="AF12" s="60"/>
    </row>
    <row r="13" spans="1:34" ht="14.25" customHeight="1" x14ac:dyDescent="0.2">
      <c r="B13" s="3" t="s">
        <v>61</v>
      </c>
      <c r="C13" s="59">
        <v>0</v>
      </c>
      <c r="D13" s="28" t="str">
        <f t="shared" si="3"/>
        <v xml:space="preserve"> </v>
      </c>
      <c r="E13" s="59">
        <v>0</v>
      </c>
      <c r="F13" s="28" t="str">
        <f t="shared" si="4"/>
        <v xml:space="preserve"> </v>
      </c>
      <c r="G13" s="28" t="str">
        <f t="shared" si="5"/>
        <v/>
      </c>
      <c r="H13" s="59">
        <v>0</v>
      </c>
      <c r="I13" s="28" t="str">
        <f t="shared" si="6"/>
        <v/>
      </c>
      <c r="J13" s="28" t="str">
        <f>IF(H13=0,"",(E13-H13)/ABS(H13))</f>
        <v/>
      </c>
      <c r="K13" s="59">
        <f t="shared" si="0"/>
        <v>0</v>
      </c>
      <c r="L13" s="28" t="str">
        <f t="shared" si="7"/>
        <v xml:space="preserve"> </v>
      </c>
      <c r="M13" s="59">
        <v>0</v>
      </c>
      <c r="N13" s="28" t="str">
        <f t="shared" si="8"/>
        <v xml:space="preserve"> </v>
      </c>
      <c r="O13" s="28" t="str">
        <f t="shared" si="1"/>
        <v/>
      </c>
      <c r="P13" s="59"/>
      <c r="Q13" s="28">
        <f t="shared" si="2"/>
        <v>0</v>
      </c>
      <c r="R13" s="28" t="str">
        <f t="shared" si="9"/>
        <v/>
      </c>
      <c r="T13" s="3" t="s">
        <v>18</v>
      </c>
      <c r="U13" s="59">
        <v>0</v>
      </c>
      <c r="V13" s="59">
        <v>0</v>
      </c>
      <c r="W13" s="59">
        <v>0</v>
      </c>
      <c r="X13" s="59"/>
      <c r="Y13" s="59"/>
      <c r="Z13" s="55">
        <f>+X13-Y13</f>
        <v>0</v>
      </c>
      <c r="AA13" s="61" t="str">
        <f>IF(X13=0,"",(Y13-X13)/ABS(X13)+1)</f>
        <v/>
      </c>
      <c r="AB13" s="59"/>
      <c r="AC13" s="61" t="str">
        <f>IF(AB13=0,"",(Y13-AB13)/ABS(AB13))</f>
        <v/>
      </c>
      <c r="AE13" s="60"/>
      <c r="AF13" s="60"/>
    </row>
    <row r="14" spans="1:34" ht="14.25" customHeight="1" x14ac:dyDescent="0.2">
      <c r="B14" s="3" t="s">
        <v>62</v>
      </c>
      <c r="C14" s="59">
        <v>0</v>
      </c>
      <c r="D14" s="28" t="str">
        <f t="shared" si="3"/>
        <v xml:space="preserve"> </v>
      </c>
      <c r="E14" s="59">
        <v>0</v>
      </c>
      <c r="F14" s="28" t="str">
        <f t="shared" si="4"/>
        <v xml:space="preserve"> </v>
      </c>
      <c r="G14" s="28" t="str">
        <f t="shared" si="5"/>
        <v/>
      </c>
      <c r="H14" s="59">
        <v>0</v>
      </c>
      <c r="I14" s="28" t="str">
        <f t="shared" si="6"/>
        <v/>
      </c>
      <c r="J14" s="28" t="str">
        <f>IF(H14=0,"",(E14-H14)/ABS(H14))</f>
        <v/>
      </c>
      <c r="K14" s="59">
        <f t="shared" si="0"/>
        <v>0</v>
      </c>
      <c r="L14" s="28" t="str">
        <f t="shared" si="7"/>
        <v xml:space="preserve"> </v>
      </c>
      <c r="M14" s="59">
        <v>0</v>
      </c>
      <c r="N14" s="28" t="str">
        <f t="shared" si="8"/>
        <v xml:space="preserve"> </v>
      </c>
      <c r="O14" s="28" t="str">
        <f t="shared" si="1"/>
        <v/>
      </c>
      <c r="P14" s="59">
        <v>0</v>
      </c>
      <c r="Q14" s="28">
        <f t="shared" si="2"/>
        <v>0</v>
      </c>
      <c r="R14" s="28" t="str">
        <f t="shared" si="9"/>
        <v/>
      </c>
      <c r="T14" s="3" t="s">
        <v>19</v>
      </c>
      <c r="U14" s="59">
        <v>0</v>
      </c>
      <c r="V14" s="59">
        <v>0</v>
      </c>
      <c r="W14" s="59">
        <v>0</v>
      </c>
      <c r="X14" s="59"/>
      <c r="Y14" s="59"/>
      <c r="Z14" s="55">
        <f>+X14-Y14</f>
        <v>0</v>
      </c>
      <c r="AA14" s="61" t="str">
        <f>IF(X14=0,"",(Y14-X14)/ABS(X14)+1)</f>
        <v/>
      </c>
      <c r="AB14" s="59"/>
      <c r="AC14" s="61" t="str">
        <f>IF(AB14=0,"",(Y14-AB14)/ABS(AB14))</f>
        <v/>
      </c>
      <c r="AE14" s="60"/>
      <c r="AF14" s="60"/>
    </row>
    <row r="15" spans="1:34" ht="14.25" customHeight="1" x14ac:dyDescent="0.2">
      <c r="B15" s="3" t="s">
        <v>64</v>
      </c>
      <c r="C15" s="59">
        <v>0</v>
      </c>
      <c r="D15" s="28" t="str">
        <f t="shared" si="3"/>
        <v xml:space="preserve"> </v>
      </c>
      <c r="E15" s="59">
        <v>0</v>
      </c>
      <c r="F15" s="28" t="str">
        <f t="shared" si="4"/>
        <v xml:space="preserve"> </v>
      </c>
      <c r="G15" s="28" t="str">
        <f t="shared" si="5"/>
        <v/>
      </c>
      <c r="H15" s="59">
        <v>0</v>
      </c>
      <c r="I15" s="28" t="str">
        <f t="shared" si="6"/>
        <v/>
      </c>
      <c r="J15" s="28" t="str">
        <f>IF(H15=0,"",(E15-H15)/ABS(H15))</f>
        <v/>
      </c>
      <c r="K15" s="59">
        <f t="shared" si="0"/>
        <v>0</v>
      </c>
      <c r="L15" s="28" t="str">
        <f t="shared" si="7"/>
        <v xml:space="preserve"> </v>
      </c>
      <c r="M15" s="59">
        <v>0</v>
      </c>
      <c r="N15" s="28" t="str">
        <f t="shared" si="8"/>
        <v xml:space="preserve"> </v>
      </c>
      <c r="O15" s="28" t="str">
        <f t="shared" si="1"/>
        <v/>
      </c>
      <c r="P15" s="59">
        <v>0</v>
      </c>
      <c r="Q15" s="28">
        <f t="shared" si="2"/>
        <v>0</v>
      </c>
      <c r="R15" s="28" t="str">
        <f t="shared" si="9"/>
        <v/>
      </c>
      <c r="T15" s="3" t="s">
        <v>20</v>
      </c>
      <c r="U15" s="59"/>
      <c r="V15" s="59">
        <v>0</v>
      </c>
      <c r="W15" s="59">
        <v>0</v>
      </c>
      <c r="X15" s="59"/>
      <c r="Y15" s="59"/>
      <c r="Z15" s="55">
        <f>+X15-Y15</f>
        <v>0</v>
      </c>
      <c r="AA15" s="61" t="str">
        <f>IF(X15=0,"",(Y15-X15)/ABS(X15)+1)</f>
        <v/>
      </c>
      <c r="AB15" s="59"/>
      <c r="AC15" s="61" t="str">
        <f>IF(AB15=0,"",(Y15-AB15)/ABS(AB15))</f>
        <v/>
      </c>
      <c r="AE15" s="60"/>
      <c r="AF15" s="60"/>
    </row>
    <row r="16" spans="1:34" ht="14.25" customHeight="1" x14ac:dyDescent="0.2">
      <c r="B16" s="3" t="s">
        <v>65</v>
      </c>
      <c r="C16" s="59"/>
      <c r="D16" s="28" t="str">
        <f t="shared" si="3"/>
        <v xml:space="preserve"> </v>
      </c>
      <c r="E16" s="59"/>
      <c r="F16" s="28" t="str">
        <f t="shared" si="4"/>
        <v xml:space="preserve"> </v>
      </c>
      <c r="G16" s="28" t="str">
        <f t="shared" si="5"/>
        <v/>
      </c>
      <c r="H16" s="59"/>
      <c r="I16" s="28" t="str">
        <f t="shared" si="6"/>
        <v/>
      </c>
      <c r="J16" s="28"/>
      <c r="K16" s="59"/>
      <c r="L16" s="28" t="str">
        <f t="shared" si="7"/>
        <v xml:space="preserve"> </v>
      </c>
      <c r="M16" s="59"/>
      <c r="N16" s="28" t="str">
        <f t="shared" si="8"/>
        <v xml:space="preserve"> </v>
      </c>
      <c r="O16" s="28"/>
      <c r="P16" s="59"/>
      <c r="Q16" s="28"/>
      <c r="R16" s="28" t="str">
        <f t="shared" si="9"/>
        <v/>
      </c>
      <c r="T16" s="3" t="s">
        <v>21</v>
      </c>
      <c r="U16" s="59">
        <f>+V16</f>
        <v>837</v>
      </c>
      <c r="V16" s="59">
        <v>837</v>
      </c>
      <c r="W16" s="59">
        <v>1934</v>
      </c>
      <c r="X16" s="59">
        <f>+Y16</f>
        <v>4682</v>
      </c>
      <c r="Y16" s="59">
        <v>4682</v>
      </c>
      <c r="Z16" s="55">
        <f>+X16-Y16</f>
        <v>0</v>
      </c>
      <c r="AA16" s="61">
        <f>IF(X16=0,"",(Y16-X16)/ABS(X16)+1)</f>
        <v>1</v>
      </c>
      <c r="AB16" s="59">
        <v>4372</v>
      </c>
      <c r="AC16" s="61">
        <f>IF(AB16=0,"",(Y16-AB16)/ABS(AB16))</f>
        <v>7.0905763952424525E-2</v>
      </c>
      <c r="AE16" s="60"/>
      <c r="AF16" s="60"/>
    </row>
    <row r="17" spans="1:32" ht="14.25" customHeight="1" x14ac:dyDescent="0.2">
      <c r="B17" s="3" t="s">
        <v>66</v>
      </c>
      <c r="C17" s="59"/>
      <c r="D17" s="28" t="str">
        <f t="shared" si="3"/>
        <v xml:space="preserve"> </v>
      </c>
      <c r="E17" s="59"/>
      <c r="F17" s="28" t="str">
        <f t="shared" si="4"/>
        <v xml:space="preserve"> </v>
      </c>
      <c r="G17" s="28" t="str">
        <f t="shared" si="5"/>
        <v/>
      </c>
      <c r="H17" s="59"/>
      <c r="I17" s="28" t="str">
        <f t="shared" si="6"/>
        <v/>
      </c>
      <c r="J17" s="28"/>
      <c r="K17" s="59"/>
      <c r="L17" s="28" t="str">
        <f t="shared" si="7"/>
        <v xml:space="preserve"> </v>
      </c>
      <c r="M17" s="59"/>
      <c r="N17" s="28" t="str">
        <f t="shared" si="8"/>
        <v xml:space="preserve"> </v>
      </c>
      <c r="O17" s="28"/>
      <c r="P17" s="59"/>
      <c r="Q17" s="28"/>
      <c r="R17" s="28" t="str">
        <f t="shared" si="9"/>
        <v/>
      </c>
      <c r="T17" s="3" t="s">
        <v>22</v>
      </c>
      <c r="U17" s="59">
        <f>SUM(U16)</f>
        <v>837</v>
      </c>
      <c r="V17" s="59">
        <f>+V16</f>
        <v>837</v>
      </c>
      <c r="W17" s="59">
        <v>1934</v>
      </c>
      <c r="X17" s="59">
        <f>SUM(X16)</f>
        <v>4682</v>
      </c>
      <c r="Y17" s="59">
        <f>+Y16</f>
        <v>4682</v>
      </c>
      <c r="Z17" s="55">
        <f>+Y17-X17</f>
        <v>0</v>
      </c>
      <c r="AA17" s="61">
        <f>IF(X17=0,"",(Y17-X17)/ABS(X17)+1)</f>
        <v>1</v>
      </c>
      <c r="AB17" s="59">
        <v>4372</v>
      </c>
      <c r="AC17" s="61">
        <f>IF(AB17=0,"",(Y17-AB17)/ABS(AB17))</f>
        <v>7.0905763952424525E-2</v>
      </c>
    </row>
    <row r="18" spans="1:32" ht="14.25" customHeight="1" x14ac:dyDescent="0.2">
      <c r="B18" s="3" t="s">
        <v>68</v>
      </c>
      <c r="C18" s="59"/>
      <c r="D18" s="28" t="str">
        <f t="shared" si="3"/>
        <v xml:space="preserve"> </v>
      </c>
      <c r="E18" s="59"/>
      <c r="F18" s="28" t="str">
        <f t="shared" si="4"/>
        <v xml:space="preserve"> </v>
      </c>
      <c r="G18" s="28" t="str">
        <f t="shared" si="5"/>
        <v/>
      </c>
      <c r="H18" s="59"/>
      <c r="I18" s="28" t="str">
        <f t="shared" si="6"/>
        <v/>
      </c>
      <c r="J18" s="28"/>
      <c r="K18" s="59"/>
      <c r="L18" s="28" t="str">
        <f t="shared" si="7"/>
        <v xml:space="preserve"> </v>
      </c>
      <c r="M18" s="59"/>
      <c r="N18" s="28" t="str">
        <f t="shared" si="8"/>
        <v xml:space="preserve"> </v>
      </c>
      <c r="O18" s="28"/>
      <c r="P18" s="59"/>
      <c r="Q18" s="28"/>
      <c r="R18" s="28" t="str">
        <f t="shared" si="9"/>
        <v/>
      </c>
      <c r="AD18" s="60"/>
      <c r="AE18" s="60"/>
      <c r="AF18" s="60"/>
    </row>
    <row r="19" spans="1:32" ht="14.25" customHeight="1" x14ac:dyDescent="0.2">
      <c r="B19" s="3" t="s">
        <v>70</v>
      </c>
      <c r="C19" s="59">
        <f>+E19</f>
        <v>0</v>
      </c>
      <c r="D19" s="28" t="str">
        <f t="shared" si="3"/>
        <v xml:space="preserve"> </v>
      </c>
      <c r="E19" s="59">
        <v>0</v>
      </c>
      <c r="F19" s="28" t="str">
        <f t="shared" si="4"/>
        <v xml:space="preserve"> </v>
      </c>
      <c r="G19" s="28" t="str">
        <f t="shared" si="5"/>
        <v/>
      </c>
      <c r="H19" s="59">
        <v>2100</v>
      </c>
      <c r="I19" s="28" t="str">
        <f t="shared" si="6"/>
        <v/>
      </c>
      <c r="J19" s="28"/>
      <c r="K19" s="59">
        <f>+M19</f>
        <v>0</v>
      </c>
      <c r="L19" s="28" t="str">
        <f t="shared" si="7"/>
        <v xml:space="preserve"> </v>
      </c>
      <c r="M19" s="59">
        <v>0</v>
      </c>
      <c r="N19" s="28" t="str">
        <f t="shared" si="8"/>
        <v xml:space="preserve"> </v>
      </c>
      <c r="O19" s="28"/>
      <c r="P19" s="59">
        <v>21000</v>
      </c>
      <c r="Q19" s="59">
        <f>+P19/$P$20</f>
        <v>1</v>
      </c>
      <c r="R19" s="28">
        <f t="shared" si="9"/>
        <v>-1</v>
      </c>
      <c r="T19" s="3" t="s">
        <v>23</v>
      </c>
      <c r="U19" s="59">
        <f>+U11-U16</f>
        <v>-837</v>
      </c>
      <c r="V19" s="59">
        <f>+V11-V16</f>
        <v>-837</v>
      </c>
      <c r="W19" s="59">
        <v>-1934</v>
      </c>
      <c r="X19" s="59">
        <f>+X11-X16</f>
        <v>-4682</v>
      </c>
      <c r="Y19" s="59">
        <f>+Y11-Y16</f>
        <v>-4682</v>
      </c>
      <c r="Z19" s="55">
        <f>+Y19-X19</f>
        <v>0</v>
      </c>
      <c r="AA19" s="61">
        <f>IF(X19=0,"",(Y19-X19)/ABS(X19)+1)</f>
        <v>1</v>
      </c>
      <c r="AB19" s="59">
        <v>43003</v>
      </c>
      <c r="AC19" s="61">
        <f>IF(AB19=0,"",(Y19-AB19)/ABS(AB19))</f>
        <v>-1.1088761249215171</v>
      </c>
      <c r="AD19" s="60"/>
      <c r="AE19" s="60"/>
      <c r="AF19" s="60"/>
    </row>
    <row r="20" spans="1:32" ht="14.25" customHeight="1" x14ac:dyDescent="0.2">
      <c r="B20" s="17" t="s">
        <v>24</v>
      </c>
      <c r="C20" s="63">
        <f>SUM(C10:C16)</f>
        <v>0</v>
      </c>
      <c r="D20" s="36" t="str">
        <f t="shared" si="3"/>
        <v xml:space="preserve"> </v>
      </c>
      <c r="E20" s="63">
        <f>SUM(E10:E16)</f>
        <v>0</v>
      </c>
      <c r="F20" s="36" t="str">
        <f t="shared" si="4"/>
        <v xml:space="preserve"> </v>
      </c>
      <c r="G20" s="28" t="str">
        <f t="shared" si="5"/>
        <v/>
      </c>
      <c r="H20" s="63">
        <v>0</v>
      </c>
      <c r="I20" s="28" t="str">
        <f t="shared" si="6"/>
        <v/>
      </c>
      <c r="J20" s="36" t="str">
        <f>IF(H20=0,"",(E20-H20)/ABS(H20))</f>
        <v/>
      </c>
      <c r="K20" s="63">
        <f>SUM(K10:K16)</f>
        <v>0</v>
      </c>
      <c r="L20" s="36" t="str">
        <f t="shared" si="7"/>
        <v xml:space="preserve"> </v>
      </c>
      <c r="M20" s="63">
        <f>SUM(M10:M16)</f>
        <v>0</v>
      </c>
      <c r="N20" s="28" t="str">
        <f t="shared" si="8"/>
        <v xml:space="preserve"> </v>
      </c>
      <c r="O20" s="36" t="str">
        <f>IF(K20=0,"",(M20-K20)/ABS(K20)+1)</f>
        <v/>
      </c>
      <c r="P20" s="63">
        <f>+P10</f>
        <v>21000</v>
      </c>
      <c r="Q20" s="36">
        <f>+P20/$P$20</f>
        <v>1</v>
      </c>
      <c r="R20" s="36">
        <f t="shared" si="9"/>
        <v>-1</v>
      </c>
      <c r="T20" s="3"/>
      <c r="U20" s="59"/>
      <c r="V20" s="59"/>
      <c r="W20" s="59"/>
      <c r="X20" s="59"/>
      <c r="Y20" s="59"/>
      <c r="Z20" s="55"/>
      <c r="AA20" s="61"/>
      <c r="AB20" s="59"/>
      <c r="AC20" s="61"/>
      <c r="AD20" s="60"/>
      <c r="AE20" s="60"/>
      <c r="AF20" s="60"/>
    </row>
    <row r="21" spans="1:32" ht="14.25" customHeight="1" x14ac:dyDescent="0.2">
      <c r="G21" s="28" t="str">
        <f t="shared" si="5"/>
        <v/>
      </c>
      <c r="I21" s="28" t="str">
        <f t="shared" si="6"/>
        <v/>
      </c>
      <c r="N21" s="28" t="str">
        <f t="shared" si="8"/>
        <v xml:space="preserve"> </v>
      </c>
      <c r="R21" s="28" t="str">
        <f t="shared" si="9"/>
        <v/>
      </c>
      <c r="T21" s="3" t="s">
        <v>25</v>
      </c>
      <c r="U21" s="59">
        <f>+U10+U19</f>
        <v>2247</v>
      </c>
      <c r="V21" s="59">
        <f>+V10+V19</f>
        <v>2247</v>
      </c>
      <c r="W21" s="59">
        <v>6877.7900000000009</v>
      </c>
      <c r="X21" s="59">
        <f>+X10+X19</f>
        <v>2247</v>
      </c>
      <c r="Y21" s="59">
        <f>+Y10+Y19</f>
        <v>2247</v>
      </c>
      <c r="Z21" s="55">
        <f>+Y21-X21</f>
        <v>0</v>
      </c>
      <c r="AA21" s="61">
        <f>IF(X21=0,"",(Y21-X21)/ABS(X21)+1)</f>
        <v>1</v>
      </c>
      <c r="AB21" s="59">
        <v>52877.79</v>
      </c>
      <c r="AC21" s="61">
        <f>IF(AB21=0,"",(Y21-AB21)/ABS(AB21))</f>
        <v>-0.95750578834705458</v>
      </c>
      <c r="AD21" s="60"/>
      <c r="AE21" s="60"/>
      <c r="AF21" s="60"/>
    </row>
    <row r="22" spans="1:32" ht="14.25" customHeight="1" x14ac:dyDescent="0.2">
      <c r="B22" s="3" t="s">
        <v>26</v>
      </c>
      <c r="C22" s="59">
        <v>0</v>
      </c>
      <c r="D22" s="28" t="str">
        <f>IF($C$20&lt;=0," ",C22/$C$20)</f>
        <v xml:space="preserve"> </v>
      </c>
      <c r="E22" s="59">
        <v>0</v>
      </c>
      <c r="F22" s="28" t="str">
        <f>IF($E$20&lt;=0," ",E22/$E$20)</f>
        <v xml:space="preserve"> </v>
      </c>
      <c r="G22" s="28" t="str">
        <f t="shared" si="5"/>
        <v/>
      </c>
      <c r="H22" s="59">
        <v>0</v>
      </c>
      <c r="I22" s="28" t="str">
        <f t="shared" si="6"/>
        <v/>
      </c>
      <c r="J22" s="28" t="str">
        <f>IF(H22=0,"",(E22-H22)/ABS(H22))</f>
        <v/>
      </c>
      <c r="K22" s="59">
        <v>0</v>
      </c>
      <c r="L22" s="28" t="str">
        <f>IF($K$20&lt;=0," ",K22/$K$20)</f>
        <v xml:space="preserve"> </v>
      </c>
      <c r="M22" s="59">
        <f>+M17</f>
        <v>0</v>
      </c>
      <c r="N22" s="28" t="str">
        <f t="shared" si="8"/>
        <v xml:space="preserve"> </v>
      </c>
      <c r="O22" s="28" t="str">
        <f>IF(K22=0,"",(M22-K22)/ABS(K22)+1)</f>
        <v/>
      </c>
      <c r="P22" s="59">
        <v>0</v>
      </c>
      <c r="Q22" s="28">
        <f>+P22/$P$20</f>
        <v>0</v>
      </c>
      <c r="R22" s="28" t="str">
        <f t="shared" si="9"/>
        <v/>
      </c>
      <c r="AD22" s="60"/>
      <c r="AE22" s="60"/>
      <c r="AF22" s="60"/>
    </row>
    <row r="23" spans="1:32" ht="14.25" customHeight="1" x14ac:dyDescent="0.2">
      <c r="G23" s="28" t="str">
        <f t="shared" si="5"/>
        <v/>
      </c>
      <c r="I23" s="28" t="str">
        <f t="shared" si="6"/>
        <v/>
      </c>
      <c r="N23" s="28" t="str">
        <f t="shared" si="8"/>
        <v xml:space="preserve"> </v>
      </c>
      <c r="R23" s="28" t="str">
        <f t="shared" si="9"/>
        <v/>
      </c>
      <c r="T23" s="3" t="s">
        <v>27</v>
      </c>
      <c r="U23" s="59"/>
      <c r="V23" s="59"/>
      <c r="W23" s="59"/>
      <c r="X23" s="59">
        <f>+AD21+U23</f>
        <v>0</v>
      </c>
      <c r="Y23" s="59">
        <f>+V23+AF21</f>
        <v>0</v>
      </c>
      <c r="Z23" s="55">
        <f>+Y23-X23</f>
        <v>0</v>
      </c>
      <c r="AA23" s="61" t="str">
        <f>IF(X23=0,"",(Y23-X23)/ABS(X23)+1)</f>
        <v/>
      </c>
      <c r="AB23" s="59">
        <v>0</v>
      </c>
      <c r="AC23" s="61" t="str">
        <f>IF(AB23=0,"",(Y23-AB23)/ABS(AB23))</f>
        <v/>
      </c>
      <c r="AD23" s="60"/>
      <c r="AE23" s="60"/>
      <c r="AF23" s="60"/>
    </row>
    <row r="24" spans="1:32" ht="14.25" customHeight="1" x14ac:dyDescent="0.2">
      <c r="B24" s="3" t="s">
        <v>28</v>
      </c>
      <c r="C24" s="59">
        <f>+C19</f>
        <v>0</v>
      </c>
      <c r="D24" s="28" t="str">
        <f>IF($C$20&lt;=0," ",C24/$C$20)</f>
        <v xml:space="preserve"> </v>
      </c>
      <c r="E24" s="59">
        <f>+E19</f>
        <v>0</v>
      </c>
      <c r="F24" s="28" t="str">
        <f>IF($E$20&lt;=0," ",E24/$E$20)</f>
        <v xml:space="preserve"> </v>
      </c>
      <c r="G24" s="28" t="str">
        <f t="shared" si="5"/>
        <v/>
      </c>
      <c r="H24" s="59">
        <f>+H19</f>
        <v>2100</v>
      </c>
      <c r="I24" s="28" t="str">
        <f t="shared" si="6"/>
        <v/>
      </c>
      <c r="J24" s="28">
        <f>IF(H24=0,"",(E24-H24)/ABS(H24))</f>
        <v>-1</v>
      </c>
      <c r="K24" s="59">
        <f>+K19</f>
        <v>0</v>
      </c>
      <c r="L24" s="28" t="str">
        <f>IF($K$20&lt;=0," ",K24/$K$20)</f>
        <v xml:space="preserve"> </v>
      </c>
      <c r="M24" s="59">
        <f>+M19</f>
        <v>0</v>
      </c>
      <c r="N24" s="28" t="str">
        <f t="shared" si="8"/>
        <v xml:space="preserve"> </v>
      </c>
      <c r="O24" s="28" t="str">
        <f>IF(K24=0,"",(M24-K24)/ABS(K24)+1)</f>
        <v/>
      </c>
      <c r="P24" s="59">
        <f>+P19</f>
        <v>21000</v>
      </c>
      <c r="Q24" s="28">
        <f>+P24/$P$20</f>
        <v>1</v>
      </c>
      <c r="R24" s="28">
        <f t="shared" si="9"/>
        <v>-1</v>
      </c>
      <c r="AD24" s="60"/>
      <c r="AE24" s="60"/>
      <c r="AF24" s="60"/>
    </row>
    <row r="25" spans="1:32" ht="14.25" customHeight="1" x14ac:dyDescent="0.2">
      <c r="G25" s="28" t="str">
        <f t="shared" si="5"/>
        <v/>
      </c>
      <c r="I25" s="28" t="str">
        <f t="shared" si="6"/>
        <v/>
      </c>
      <c r="R25" s="28" t="str">
        <f t="shared" si="9"/>
        <v/>
      </c>
      <c r="T25" s="3" t="s">
        <v>29</v>
      </c>
      <c r="U25" s="59"/>
      <c r="V25" s="59"/>
      <c r="W25" s="59"/>
      <c r="X25" s="59">
        <f>+AD22+U25</f>
        <v>0</v>
      </c>
      <c r="Y25" s="59">
        <f>+V25+AF22</f>
        <v>0</v>
      </c>
      <c r="Z25" s="55">
        <f>+Y25-X25</f>
        <v>0</v>
      </c>
      <c r="AA25" s="61" t="str">
        <f>IF(X25=0,"",(Y25-X25)/ABS(X25)+1)</f>
        <v/>
      </c>
      <c r="AB25" s="59">
        <v>0</v>
      </c>
      <c r="AC25" s="61" t="str">
        <f>IF(AB25=0,"",(Y25-AB25)/ABS(AB25))</f>
        <v/>
      </c>
      <c r="AD25" s="60"/>
      <c r="AE25" s="60"/>
      <c r="AF25" s="60"/>
    </row>
    <row r="26" spans="1:32" ht="14.25" customHeight="1" x14ac:dyDescent="0.2">
      <c r="B26" s="3" t="s">
        <v>30</v>
      </c>
      <c r="C26" s="59">
        <f>+E26</f>
        <v>0</v>
      </c>
      <c r="D26" s="28" t="str">
        <f>IF($C$20&lt;=0," ",C26/$C$20)</f>
        <v xml:space="preserve"> </v>
      </c>
      <c r="E26" s="59">
        <v>0</v>
      </c>
      <c r="F26" s="28" t="str">
        <f>IF($E$20&lt;=0," ",E26/$E$20)</f>
        <v xml:space="preserve"> </v>
      </c>
      <c r="G26" s="28" t="str">
        <f t="shared" si="5"/>
        <v/>
      </c>
      <c r="H26" s="59">
        <v>0</v>
      </c>
      <c r="I26" s="28" t="str">
        <f t="shared" si="6"/>
        <v/>
      </c>
      <c r="J26" s="28" t="str">
        <f>IF(H26=0,"",(E26-H26)/ABS(H26))</f>
        <v/>
      </c>
      <c r="K26" s="59">
        <f>+K20</f>
        <v>0</v>
      </c>
      <c r="L26" s="28" t="str">
        <f>IF($K$20&lt;=0," ",K26/$K$20)</f>
        <v xml:space="preserve"> </v>
      </c>
      <c r="M26" s="59"/>
      <c r="N26" s="28" t="str">
        <f>IF($M$20&lt;=0," ",M26/$M$20)</f>
        <v xml:space="preserve"> </v>
      </c>
      <c r="O26" s="28" t="str">
        <f>IF(K26=0,"",(M26-K26)/ABS(K26)+1)</f>
        <v/>
      </c>
      <c r="P26" s="59">
        <v>0</v>
      </c>
      <c r="Q26" s="28">
        <f>+P26/$P$20</f>
        <v>0</v>
      </c>
      <c r="R26" s="28" t="str">
        <f t="shared" si="9"/>
        <v/>
      </c>
    </row>
    <row r="27" spans="1:32" ht="14.25" customHeight="1" x14ac:dyDescent="0.2">
      <c r="A27" s="87"/>
      <c r="B27" s="3" t="s">
        <v>31</v>
      </c>
      <c r="C27" s="59">
        <f>+E27</f>
        <v>0</v>
      </c>
      <c r="D27" s="28" t="str">
        <f>IF($C$20&lt;=0," ",C27/$C$20)</f>
        <v xml:space="preserve"> </v>
      </c>
      <c r="E27" s="59">
        <v>0</v>
      </c>
      <c r="F27" s="28" t="str">
        <f>IF($E$20&lt;=0," ",E27/$E$20)</f>
        <v xml:space="preserve"> </v>
      </c>
      <c r="G27" s="28" t="str">
        <f t="shared" si="5"/>
        <v/>
      </c>
      <c r="H27" s="59">
        <v>0</v>
      </c>
      <c r="I27" s="28" t="str">
        <f t="shared" si="6"/>
        <v/>
      </c>
      <c r="J27" s="28" t="str">
        <f>IF(H27=0,"",(E27-H27)/ABS(H27))</f>
        <v/>
      </c>
      <c r="K27" s="59">
        <f>+K22</f>
        <v>0</v>
      </c>
      <c r="L27" s="28" t="str">
        <f>IF($K$20&lt;=0," ",K27/$K$20)</f>
        <v xml:space="preserve"> </v>
      </c>
      <c r="M27" s="59"/>
      <c r="N27" s="28" t="str">
        <f>IF($M$20&lt;=0," ",M27/$M$20)</f>
        <v xml:space="preserve"> </v>
      </c>
      <c r="O27" s="28" t="str">
        <f>IF(K27=0,"",(M27-K27)/ABS(K27)+1)</f>
        <v/>
      </c>
      <c r="P27" s="59">
        <v>0</v>
      </c>
      <c r="Q27" s="28">
        <f>+P27/$P$20</f>
        <v>0</v>
      </c>
      <c r="R27" s="28" t="str">
        <f t="shared" si="9"/>
        <v/>
      </c>
      <c r="T27" s="3" t="s">
        <v>32</v>
      </c>
      <c r="U27" s="59"/>
      <c r="V27" s="59"/>
      <c r="W27" s="59"/>
      <c r="X27" s="59">
        <f>+AD23+U27</f>
        <v>0</v>
      </c>
      <c r="Y27" s="59">
        <f>+AE23+V27</f>
        <v>0</v>
      </c>
      <c r="Z27" s="55">
        <f>+Y27-X27</f>
        <v>0</v>
      </c>
      <c r="AA27" s="61" t="str">
        <f>IF(X27=0,"",(Y27-X27)/ABS(X27)+1)</f>
        <v/>
      </c>
      <c r="AB27" s="59">
        <v>0</v>
      </c>
      <c r="AC27" s="61" t="str">
        <f>IF(AB27=0,"",(Y27-AB27)/ABS(AB27))</f>
        <v/>
      </c>
    </row>
    <row r="28" spans="1:32" ht="14.25" customHeight="1" x14ac:dyDescent="0.2">
      <c r="A28" s="87"/>
      <c r="B28" s="3" t="s">
        <v>33</v>
      </c>
      <c r="C28" s="59">
        <f>SUM(C26:C27)</f>
        <v>0</v>
      </c>
      <c r="D28" s="28" t="str">
        <f>IF($C$20&lt;=0," ",C28/$C$20)</f>
        <v xml:space="preserve"> </v>
      </c>
      <c r="E28" s="59">
        <f>SUM(E26:E27)</f>
        <v>0</v>
      </c>
      <c r="F28" s="28" t="str">
        <f>IF($E$20&lt;=0," ",E28/$E$20)</f>
        <v xml:space="preserve"> </v>
      </c>
      <c r="G28" s="28" t="str">
        <f t="shared" si="5"/>
        <v/>
      </c>
      <c r="H28" s="59">
        <f>SUM(H26:H27)</f>
        <v>0</v>
      </c>
      <c r="I28" s="28" t="str">
        <f t="shared" si="6"/>
        <v/>
      </c>
      <c r="J28" s="28" t="str">
        <f>IF(H28=0,"",(E28-H28)/ABS(H28))</f>
        <v/>
      </c>
      <c r="K28" s="59">
        <f>+K24</f>
        <v>0</v>
      </c>
      <c r="L28" s="28" t="str">
        <f>IF($K$20&lt;=0," ",K28/$K$20)</f>
        <v xml:space="preserve"> </v>
      </c>
      <c r="M28" s="59"/>
      <c r="N28" s="28" t="str">
        <f>IF($M$20&lt;=0," ",M28/$M$20)</f>
        <v xml:space="preserve"> </v>
      </c>
      <c r="O28" s="28" t="str">
        <f>IF(K28=0,"",(M28-K28)/ABS(K28)+1)</f>
        <v/>
      </c>
      <c r="P28" s="59">
        <f>+P27+P26</f>
        <v>0</v>
      </c>
      <c r="Q28" s="28">
        <f>+P28/$P$20</f>
        <v>0</v>
      </c>
      <c r="R28" s="28" t="str">
        <f t="shared" si="9"/>
        <v/>
      </c>
      <c r="T28" s="3" t="s">
        <v>147</v>
      </c>
      <c r="U28" s="59">
        <f>+V28</f>
        <v>-2653.67</v>
      </c>
      <c r="V28" s="59">
        <v>-2653.67</v>
      </c>
      <c r="W28" s="59">
        <v>0</v>
      </c>
      <c r="X28" s="59">
        <f>+Y28</f>
        <v>-2653.67</v>
      </c>
      <c r="Y28" s="59">
        <v>-2653.67</v>
      </c>
      <c r="Z28" s="55">
        <f>+Y28-X28</f>
        <v>0</v>
      </c>
      <c r="AA28" s="61">
        <f>IF(X28=0,"",(Y28-X28)/ABS(X28)+1)</f>
        <v>1</v>
      </c>
      <c r="AB28" s="59">
        <v>46000</v>
      </c>
      <c r="AC28" s="61">
        <f>IF(AB28=0,"",(Y28-AB28)/ABS(AB28))</f>
        <v>-1.0576884782608695</v>
      </c>
      <c r="AD28" s="47"/>
    </row>
    <row r="29" spans="1:32" ht="14.25" customHeight="1" x14ac:dyDescent="0.2">
      <c r="A29" s="87"/>
      <c r="G29" s="28" t="str">
        <f t="shared" si="5"/>
        <v/>
      </c>
      <c r="I29" s="28" t="str">
        <f t="shared" si="6"/>
        <v/>
      </c>
      <c r="R29" s="28" t="str">
        <f t="shared" si="9"/>
        <v/>
      </c>
    </row>
    <row r="30" spans="1:32" ht="14.25" customHeight="1" x14ac:dyDescent="0.2">
      <c r="A30" s="87"/>
      <c r="B30" s="3" t="s">
        <v>35</v>
      </c>
      <c r="C30" s="59">
        <f>+E30</f>
        <v>0</v>
      </c>
      <c r="D30" s="28" t="str">
        <f>IF($C$20&lt;=0," ",C30/$C$20)</f>
        <v xml:space="preserve"> </v>
      </c>
      <c r="E30" s="59"/>
      <c r="F30" s="28" t="str">
        <f>IF($E$20&lt;=0," ",E30/$E$20)</f>
        <v xml:space="preserve"> </v>
      </c>
      <c r="G30" s="28" t="str">
        <f t="shared" si="5"/>
        <v/>
      </c>
      <c r="H30" s="59"/>
      <c r="I30" s="28" t="str">
        <f t="shared" si="6"/>
        <v/>
      </c>
      <c r="J30" s="28" t="str">
        <f>IF(H30=0,"",(E30-H30)/ABS(H30))</f>
        <v/>
      </c>
      <c r="K30" s="59">
        <f>+K26</f>
        <v>0</v>
      </c>
      <c r="L30" s="28" t="str">
        <f>IF($K$20&lt;=0," ",K30/$K$20)</f>
        <v xml:space="preserve"> </v>
      </c>
      <c r="M30" s="59"/>
      <c r="N30" s="28" t="str">
        <f>IF($M$20&lt;=0," ",M30/$M$20)</f>
        <v xml:space="preserve"> </v>
      </c>
      <c r="O30" s="28" t="str">
        <f>IF(K30=0,"",(M30-K30)/ABS(K30)+1)</f>
        <v/>
      </c>
      <c r="P30" s="59"/>
      <c r="Q30" s="28">
        <f>+P30/$P$20</f>
        <v>0</v>
      </c>
      <c r="R30" s="28" t="str">
        <f t="shared" si="9"/>
        <v/>
      </c>
      <c r="T30" s="17" t="s">
        <v>36</v>
      </c>
      <c r="U30" s="63">
        <f>U21-U23-U25-U27-U28</f>
        <v>4900.67</v>
      </c>
      <c r="V30" s="63">
        <f>V21-V23-V25-V27-V28</f>
        <v>4900.67</v>
      </c>
      <c r="W30" s="63">
        <v>6877.7900000000009</v>
      </c>
      <c r="X30" s="63">
        <f>X21-X23-X25-X27-X28</f>
        <v>4900.67</v>
      </c>
      <c r="Y30" s="63">
        <f>Y21-Y23-Y25-Y27-Y28</f>
        <v>4900.67</v>
      </c>
      <c r="Z30" s="65">
        <f>V30-U30</f>
        <v>0</v>
      </c>
      <c r="AA30" s="66">
        <f>IF(U30=0,"",(V30-U30)/ABS(U30)+1)</f>
        <v>1</v>
      </c>
      <c r="AB30" s="63">
        <v>6877.7900000000009</v>
      </c>
      <c r="AC30" s="66">
        <f>IF(W30=0,"",(V30-W30)/ABS(W30))</f>
        <v>-0.28746443261570948</v>
      </c>
    </row>
    <row r="31" spans="1:32" ht="14.25" customHeight="1" x14ac:dyDescent="0.2">
      <c r="A31" s="87"/>
      <c r="B31" s="3" t="s">
        <v>148</v>
      </c>
      <c r="C31" s="59">
        <f>+E31</f>
        <v>250</v>
      </c>
      <c r="D31" s="28" t="str">
        <f>IF($C$20&lt;=0," ",C31/$C$20)</f>
        <v xml:space="preserve"> </v>
      </c>
      <c r="E31" s="59">
        <v>250</v>
      </c>
      <c r="F31" s="28" t="str">
        <f>IF($E$20&lt;=0," ",E31/$E$20)</f>
        <v xml:space="preserve"> </v>
      </c>
      <c r="G31" s="28">
        <f t="shared" si="5"/>
        <v>1</v>
      </c>
      <c r="H31" s="59">
        <v>0</v>
      </c>
      <c r="I31" s="28">
        <f t="shared" si="6"/>
        <v>4.0000000000000036E-3</v>
      </c>
      <c r="J31" s="28" t="str">
        <f>IF(H31=0,"",(E31-H31)/ABS(H31))</f>
        <v/>
      </c>
      <c r="K31" s="59">
        <f>+K27</f>
        <v>0</v>
      </c>
      <c r="L31" s="28" t="str">
        <f>IF($K$20&lt;=0," ",K31/$K$20)</f>
        <v xml:space="preserve"> </v>
      </c>
      <c r="M31" s="59">
        <v>4045</v>
      </c>
      <c r="N31" s="28" t="str">
        <f>IF($M$20&lt;=0," ",M31/$M$20)</f>
        <v xml:space="preserve"> </v>
      </c>
      <c r="O31" s="28" t="str">
        <f>IF(K31=0,"",(M31-K31)/ABS(K31)+1)</f>
        <v/>
      </c>
      <c r="P31" s="59">
        <v>0</v>
      </c>
      <c r="Q31" s="28">
        <f>+P31/$P$20</f>
        <v>0</v>
      </c>
      <c r="R31" s="28" t="str">
        <f t="shared" si="9"/>
        <v/>
      </c>
    </row>
    <row r="32" spans="1:32" ht="14.25" customHeight="1" x14ac:dyDescent="0.2">
      <c r="A32" s="87"/>
      <c r="B32" s="3" t="s">
        <v>38</v>
      </c>
      <c r="C32" s="59">
        <f>SUM(C30:C31)</f>
        <v>250</v>
      </c>
      <c r="D32" s="28" t="str">
        <f>IF($C$20&lt;=0," ",C32/$C$20)</f>
        <v xml:space="preserve"> </v>
      </c>
      <c r="E32" s="59">
        <f>SUM(E30:E31)</f>
        <v>250</v>
      </c>
      <c r="F32" s="28" t="str">
        <f>IF($E$20&lt;=0," ",E32/$E$20)</f>
        <v xml:space="preserve"> </v>
      </c>
      <c r="G32" s="28">
        <f t="shared" si="5"/>
        <v>1</v>
      </c>
      <c r="H32" s="59">
        <f>SUM(H30:H31)</f>
        <v>0</v>
      </c>
      <c r="I32" s="28">
        <f t="shared" si="6"/>
        <v>4.0000000000000036E-3</v>
      </c>
      <c r="J32" s="28" t="str">
        <f>IF(H32=0,"",(E32-H32)/ABS(H32))</f>
        <v/>
      </c>
      <c r="K32" s="59">
        <f>+K28</f>
        <v>0</v>
      </c>
      <c r="L32" s="28" t="str">
        <f>IF($K$20&lt;=0," ",K32/$K$20)</f>
        <v xml:space="preserve"> </v>
      </c>
      <c r="M32" s="59">
        <f>SUM(M30:M31)</f>
        <v>4045</v>
      </c>
      <c r="N32" s="28" t="str">
        <f>IF($M$20&lt;=0," ",M32/$M$20)</f>
        <v xml:space="preserve"> </v>
      </c>
      <c r="O32" s="28" t="str">
        <f>IF(K32=0,"",(M32-K32)/ABS(K32)+1)</f>
        <v/>
      </c>
      <c r="P32" s="59">
        <f>+P31</f>
        <v>0</v>
      </c>
      <c r="Q32" s="28">
        <f>+P32/$P$20</f>
        <v>0</v>
      </c>
      <c r="R32" s="28" t="str">
        <f t="shared" si="9"/>
        <v/>
      </c>
    </row>
    <row r="33" spans="1:20" ht="14.25" customHeight="1" x14ac:dyDescent="0.2">
      <c r="A33" s="87"/>
      <c r="G33" s="28" t="str">
        <f t="shared" si="5"/>
        <v/>
      </c>
      <c r="I33" s="28" t="str">
        <f t="shared" si="6"/>
        <v/>
      </c>
      <c r="R33" s="28" t="str">
        <f t="shared" si="9"/>
        <v/>
      </c>
    </row>
    <row r="34" spans="1:20" ht="14.25" customHeight="1" x14ac:dyDescent="0.2">
      <c r="A34" s="87"/>
      <c r="B34" s="3" t="s">
        <v>39</v>
      </c>
      <c r="C34" s="59">
        <f>C28+C32</f>
        <v>250</v>
      </c>
      <c r="D34" s="28" t="str">
        <f>IF($C$20&lt;=0," ",C34/$C$20)</f>
        <v xml:space="preserve"> </v>
      </c>
      <c r="E34" s="59">
        <f>E28+E32</f>
        <v>250</v>
      </c>
      <c r="F34" s="28" t="str">
        <f>IF($E$20&lt;=0," ",E34/$E$20)</f>
        <v xml:space="preserve"> </v>
      </c>
      <c r="G34" s="28">
        <f t="shared" si="5"/>
        <v>1</v>
      </c>
      <c r="H34" s="59">
        <f>H28+H32</f>
        <v>0</v>
      </c>
      <c r="I34" s="28">
        <f t="shared" si="6"/>
        <v>4.0000000000000036E-3</v>
      </c>
      <c r="J34" s="28" t="str">
        <f>IF(H34=0,"",(E34-H34)/ABS(H34))</f>
        <v/>
      </c>
      <c r="K34" s="59">
        <f>+K30</f>
        <v>0</v>
      </c>
      <c r="L34" s="28" t="str">
        <f>IF($K$20&lt;=0," ",K34/$K$20)</f>
        <v xml:space="preserve"> </v>
      </c>
      <c r="M34" s="59">
        <f>M28+M32</f>
        <v>4045</v>
      </c>
      <c r="N34" s="28" t="str">
        <f>IF($M$20&lt;=0," ",M34/$M$20)</f>
        <v xml:space="preserve"> </v>
      </c>
      <c r="O34" s="28" t="str">
        <f>IF(K34=0,"",(M34-K34)/ABS(K34)+1)</f>
        <v/>
      </c>
      <c r="P34" s="59">
        <f>+P32</f>
        <v>0</v>
      </c>
      <c r="Q34" s="28">
        <f>+P34/$P$20</f>
        <v>0</v>
      </c>
      <c r="R34" s="28" t="str">
        <f t="shared" si="9"/>
        <v/>
      </c>
    </row>
    <row r="35" spans="1:20" ht="14.25" customHeight="1" x14ac:dyDescent="0.2">
      <c r="G35" s="28" t="str">
        <f t="shared" si="5"/>
        <v/>
      </c>
      <c r="I35" s="28" t="str">
        <f t="shared" si="6"/>
        <v/>
      </c>
      <c r="R35" s="28" t="str">
        <f t="shared" si="9"/>
        <v/>
      </c>
    </row>
    <row r="36" spans="1:20" ht="14.25" customHeight="1" x14ac:dyDescent="0.2">
      <c r="B36" s="17" t="s">
        <v>40</v>
      </c>
      <c r="C36" s="63">
        <f>+C24-C34</f>
        <v>-250</v>
      </c>
      <c r="D36" s="36" t="str">
        <f>IF($C$20&lt;=0," ",C36/$C$20)</f>
        <v xml:space="preserve"> </v>
      </c>
      <c r="E36" s="63">
        <f>+E24-E34</f>
        <v>-250</v>
      </c>
      <c r="F36" s="36" t="str">
        <f>IF($E$20&lt;=0," ",E36/$E$20)</f>
        <v xml:space="preserve"> </v>
      </c>
      <c r="G36" s="28">
        <f t="shared" si="5"/>
        <v>1</v>
      </c>
      <c r="H36" s="63">
        <f>+H24-H34</f>
        <v>2100</v>
      </c>
      <c r="I36" s="28">
        <f t="shared" si="6"/>
        <v>2.004</v>
      </c>
      <c r="J36" s="36">
        <f>IF(H36=0,"",(E36-H36)/ABS(H36))</f>
        <v>-1.1190476190476191</v>
      </c>
      <c r="K36" s="63">
        <f>+K31</f>
        <v>0</v>
      </c>
      <c r="L36" s="36" t="str">
        <f>IF($K$20&lt;=0," ",K36/$K$20)</f>
        <v xml:space="preserve"> </v>
      </c>
      <c r="M36" s="63">
        <f>+M24-M34</f>
        <v>-4045</v>
      </c>
      <c r="N36" s="36" t="str">
        <f>IF($M$20&lt;=0," ",M36/$M$20)</f>
        <v xml:space="preserve"> </v>
      </c>
      <c r="O36" s="36" t="str">
        <f>IF(K36=0,"",(M36-K36)/ABS(K36)+1)</f>
        <v/>
      </c>
      <c r="P36" s="63">
        <f>+P24-P34</f>
        <v>21000</v>
      </c>
      <c r="Q36" s="36">
        <f>+P36/$P$20</f>
        <v>1</v>
      </c>
      <c r="R36" s="36">
        <f t="shared" si="9"/>
        <v>-1.1926190476190477</v>
      </c>
    </row>
    <row r="37" spans="1:20" ht="14.25" customHeight="1" x14ac:dyDescent="0.2">
      <c r="G37" s="28" t="str">
        <f t="shared" si="5"/>
        <v/>
      </c>
      <c r="I37" s="28" t="str">
        <f t="shared" si="6"/>
        <v/>
      </c>
      <c r="R37" s="28" t="str">
        <f t="shared" si="9"/>
        <v/>
      </c>
      <c r="T37" s="47"/>
    </row>
    <row r="38" spans="1:20" ht="14.25" customHeight="1" x14ac:dyDescent="0.2">
      <c r="B38" s="3" t="s">
        <v>41</v>
      </c>
      <c r="C38" s="59">
        <f>+E38</f>
        <v>0</v>
      </c>
      <c r="D38" s="28" t="str">
        <f>IF($C$20&lt;=0," ",C38/$C$20)</f>
        <v xml:space="preserve"> </v>
      </c>
      <c r="E38" s="59">
        <v>0</v>
      </c>
      <c r="F38" s="28" t="str">
        <f>IF($E$20&lt;=0," ",E38/$E$20)</f>
        <v xml:space="preserve"> </v>
      </c>
      <c r="G38" s="28" t="str">
        <f t="shared" si="5"/>
        <v/>
      </c>
      <c r="H38" s="59">
        <v>0</v>
      </c>
      <c r="I38" s="28" t="str">
        <f t="shared" si="6"/>
        <v/>
      </c>
      <c r="J38" s="28" t="str">
        <f>IF(H38=0,"",(E38-H38)/ABS(H38))</f>
        <v/>
      </c>
      <c r="K38" s="59">
        <f>+K32</f>
        <v>0</v>
      </c>
      <c r="L38" s="28" t="str">
        <f>IF($K$20&lt;=0," ",K38/$K$20)</f>
        <v xml:space="preserve"> </v>
      </c>
      <c r="M38" s="59">
        <v>0</v>
      </c>
      <c r="N38" s="28" t="str">
        <f>IF($M$20&lt;=0," ",M38/$M$20)</f>
        <v xml:space="preserve"> </v>
      </c>
      <c r="O38" s="28" t="str">
        <f>IF(K38=0,"",(M38-K38)/ABS(K38)+1)</f>
        <v/>
      </c>
      <c r="P38" s="59">
        <v>0</v>
      </c>
      <c r="Q38" s="28">
        <f>+P38/$P$20</f>
        <v>0</v>
      </c>
      <c r="R38" s="28" t="str">
        <f t="shared" si="9"/>
        <v/>
      </c>
    </row>
    <row r="39" spans="1:20" ht="14.25" customHeight="1" x14ac:dyDescent="0.2">
      <c r="B39" s="3" t="s">
        <v>42</v>
      </c>
      <c r="C39" s="59">
        <f>+E39</f>
        <v>587</v>
      </c>
      <c r="D39" s="28" t="str">
        <f>IF($C$20&lt;=0," ",C39/$C$20)</f>
        <v xml:space="preserve"> </v>
      </c>
      <c r="E39" s="59">
        <v>587</v>
      </c>
      <c r="F39" s="28" t="str">
        <f>IF($E$20&lt;=0," ",E39/$E$20)</f>
        <v xml:space="preserve"> </v>
      </c>
      <c r="G39" s="28">
        <f t="shared" si="5"/>
        <v>1</v>
      </c>
      <c r="H39" s="59">
        <v>262.5</v>
      </c>
      <c r="I39" s="28">
        <f t="shared" si="6"/>
        <v>1.7035775127768327E-3</v>
      </c>
      <c r="J39" s="28">
        <f>IF(H39=0,"",(E39-H39)/ABS(H39))</f>
        <v>1.2361904761904763</v>
      </c>
      <c r="K39" s="59">
        <f>+K34</f>
        <v>0</v>
      </c>
      <c r="L39" s="28" t="str">
        <f>IF($K$20&lt;=0," ",K39/$K$20)</f>
        <v xml:space="preserve"> </v>
      </c>
      <c r="M39" s="59">
        <v>637</v>
      </c>
      <c r="N39" s="28" t="str">
        <f>IF($M$20&lt;=0," ",M39/$M$20)</f>
        <v xml:space="preserve"> </v>
      </c>
      <c r="O39" s="28" t="str">
        <f>IF(K39=0,"",(M39-K39)/ABS(K39)+1)</f>
        <v/>
      </c>
      <c r="P39" s="59">
        <v>3683.71</v>
      </c>
      <c r="Q39" s="28">
        <f>+P39/$P$20</f>
        <v>0.17541476190476191</v>
      </c>
      <c r="R39" s="28">
        <f t="shared" si="9"/>
        <v>-0.82707650710832281</v>
      </c>
    </row>
    <row r="40" spans="1:20" ht="14.25" customHeight="1" x14ac:dyDescent="0.2">
      <c r="G40" s="28" t="str">
        <f t="shared" si="5"/>
        <v/>
      </c>
      <c r="I40" s="28" t="str">
        <f t="shared" si="6"/>
        <v/>
      </c>
      <c r="R40" s="28" t="str">
        <f t="shared" si="9"/>
        <v/>
      </c>
    </row>
    <row r="41" spans="1:20" ht="14.25" customHeight="1" x14ac:dyDescent="0.2">
      <c r="B41" s="3" t="s">
        <v>43</v>
      </c>
      <c r="C41" s="59">
        <f>C36+C38-C39</f>
        <v>-837</v>
      </c>
      <c r="D41" s="28" t="str">
        <f>IF($C$20&lt;=0," ",C41/$C$20)</f>
        <v xml:space="preserve"> </v>
      </c>
      <c r="E41" s="59">
        <f>+E36-E39+E38</f>
        <v>-837</v>
      </c>
      <c r="F41" s="28" t="str">
        <f>IF($E$20&lt;=0," ",E41/$E$20)</f>
        <v xml:space="preserve"> </v>
      </c>
      <c r="G41" s="28">
        <f t="shared" si="5"/>
        <v>1</v>
      </c>
      <c r="H41" s="59">
        <f>+H36-H39+H38</f>
        <v>1837.5</v>
      </c>
      <c r="I41" s="28">
        <f t="shared" si="6"/>
        <v>2.001194743130227</v>
      </c>
      <c r="J41" s="28">
        <f>IF(H41=0,"",(E41-H41)/ABS(H41))</f>
        <v>-1.4555102040816326</v>
      </c>
      <c r="K41" s="59">
        <f>+K36</f>
        <v>0</v>
      </c>
      <c r="L41" s="28" t="str">
        <f>IF($K$20&lt;=0," ",K41/$K$20)</f>
        <v xml:space="preserve"> </v>
      </c>
      <c r="M41" s="59">
        <f>+M36-M39+M38</f>
        <v>-4682</v>
      </c>
      <c r="N41" s="28" t="str">
        <f>IF($M$20&lt;=0," ",M41/$M$20)</f>
        <v xml:space="preserve"> </v>
      </c>
      <c r="O41" s="28" t="str">
        <f>IF(K41=0,"",(M41-K41)/ABS(K41)+1)</f>
        <v/>
      </c>
      <c r="P41" s="59">
        <f>P36+P38-P39</f>
        <v>17316.29</v>
      </c>
      <c r="Q41" s="28">
        <f>+P41/$P$20</f>
        <v>0.82458523809523809</v>
      </c>
      <c r="R41" s="28">
        <f t="shared" si="9"/>
        <v>-1.2703812421713889</v>
      </c>
    </row>
    <row r="42" spans="1:20" ht="14.25" customHeight="1" x14ac:dyDescent="0.2">
      <c r="B42" s="3" t="s">
        <v>29</v>
      </c>
      <c r="C42" s="59"/>
      <c r="D42" s="28" t="str">
        <f>IF($C$20&lt;=0," ",C42/$C$20)</f>
        <v xml:space="preserve"> </v>
      </c>
      <c r="E42" s="59"/>
      <c r="F42" s="28" t="str">
        <f>IF($E$20&lt;=0," ",E42/$E$20)</f>
        <v xml:space="preserve"> </v>
      </c>
      <c r="G42" s="28" t="str">
        <f t="shared" si="5"/>
        <v/>
      </c>
      <c r="H42" s="59"/>
      <c r="I42" s="28" t="str">
        <f t="shared" si="6"/>
        <v/>
      </c>
      <c r="J42" s="28" t="str">
        <f>IF(H42=0,"",(E42-H42)/ABS(H42))</f>
        <v/>
      </c>
      <c r="K42" s="59">
        <f>+K38</f>
        <v>0</v>
      </c>
      <c r="L42" s="28" t="str">
        <f>IF($K$20&lt;=0," ",K42/$K$20)</f>
        <v xml:space="preserve"> </v>
      </c>
      <c r="M42" s="59"/>
      <c r="N42" s="28" t="str">
        <f>IF($M$20&lt;=0," ",M42/$M$20)</f>
        <v xml:space="preserve"> </v>
      </c>
      <c r="O42" s="28" t="str">
        <f>IF(K42=0,"",(M42-K42)/ABS(K42)+1)</f>
        <v/>
      </c>
      <c r="P42" s="59">
        <f>+H42</f>
        <v>0</v>
      </c>
      <c r="Q42" s="28">
        <f>+P42/$P$20</f>
        <v>0</v>
      </c>
      <c r="R42" s="28" t="str">
        <f t="shared" si="9"/>
        <v/>
      </c>
    </row>
    <row r="43" spans="1:20" ht="14.25" customHeight="1" x14ac:dyDescent="0.2">
      <c r="B43" s="17" t="s">
        <v>44</v>
      </c>
      <c r="C43" s="63">
        <f>+C41-C42</f>
        <v>-837</v>
      </c>
      <c r="D43" s="36" t="str">
        <f>IF($C$20&lt;=0," ",C43/$C$20)</f>
        <v xml:space="preserve"> </v>
      </c>
      <c r="E43" s="63">
        <f>E41-E42</f>
        <v>-837</v>
      </c>
      <c r="F43" s="36" t="str">
        <f>IF($E$20&lt;=0," ",E43/$E$20)</f>
        <v xml:space="preserve"> </v>
      </c>
      <c r="G43" s="28">
        <f t="shared" si="5"/>
        <v>1</v>
      </c>
      <c r="H43" s="63">
        <f>H41-H42</f>
        <v>1837.5</v>
      </c>
      <c r="I43" s="28">
        <f t="shared" si="6"/>
        <v>2.001194743130227</v>
      </c>
      <c r="J43" s="36">
        <f>IF(H43=0,"",(E43-H43)/ABS(H43))</f>
        <v>-1.4555102040816326</v>
      </c>
      <c r="K43" s="63">
        <f>+K39</f>
        <v>0</v>
      </c>
      <c r="L43" s="36" t="str">
        <f>IF($K$20&lt;=0," ",K43/$K$20)</f>
        <v xml:space="preserve"> </v>
      </c>
      <c r="M43" s="63">
        <f>M41-M42</f>
        <v>-4682</v>
      </c>
      <c r="N43" s="36" t="str">
        <f>IF($M$20&lt;=0," ",M43/$M$20)</f>
        <v xml:space="preserve"> </v>
      </c>
      <c r="O43" s="36" t="str">
        <f>IF(K43=0,"",(M43-K43)/ABS(K43)+1)</f>
        <v/>
      </c>
      <c r="P43" s="63">
        <f>P41-P42</f>
        <v>17316.29</v>
      </c>
      <c r="Q43" s="36">
        <f>+P43/$P$20</f>
        <v>0.82458523809523809</v>
      </c>
      <c r="R43" s="36">
        <f t="shared" si="9"/>
        <v>-1.2703812421713889</v>
      </c>
    </row>
    <row r="44" spans="1:20" ht="14.25" customHeight="1" x14ac:dyDescent="0.2">
      <c r="G44" s="28" t="str">
        <f t="shared" si="5"/>
        <v/>
      </c>
      <c r="I44" s="28" t="str">
        <f t="shared" si="6"/>
        <v/>
      </c>
      <c r="R44" s="28" t="str">
        <f t="shared" si="9"/>
        <v/>
      </c>
    </row>
    <row r="45" spans="1:20" ht="14.25" customHeight="1" x14ac:dyDescent="0.2">
      <c r="B45" s="3" t="s">
        <v>45</v>
      </c>
      <c r="C45" s="59">
        <f>+C36</f>
        <v>-250</v>
      </c>
      <c r="D45" s="28" t="str">
        <f>IF($C$20&lt;=0," ",C45/$C$20)</f>
        <v xml:space="preserve"> </v>
      </c>
      <c r="E45" s="59">
        <f>+E36</f>
        <v>-250</v>
      </c>
      <c r="F45" s="28" t="str">
        <f>IF($E$20&lt;=0," ",E45/$E$20)</f>
        <v xml:space="preserve"> </v>
      </c>
      <c r="G45" s="28">
        <f t="shared" si="5"/>
        <v>1</v>
      </c>
      <c r="H45" s="59">
        <f>+H36</f>
        <v>2100</v>
      </c>
      <c r="I45" s="28">
        <f t="shared" si="6"/>
        <v>2.004</v>
      </c>
      <c r="J45" s="28">
        <f>IF(H45=0,"",(E45-H45)/ABS(H45))</f>
        <v>-1.1190476190476191</v>
      </c>
      <c r="K45" s="59">
        <f>+K41</f>
        <v>0</v>
      </c>
      <c r="L45" s="28" t="str">
        <f>IF($K$20&lt;=0," ",K45/$K$20)</f>
        <v xml:space="preserve"> </v>
      </c>
      <c r="M45" s="59">
        <f>+M36</f>
        <v>-4045</v>
      </c>
      <c r="N45" s="28" t="str">
        <f>IF($M$20&lt;=0," ",M45/$M$20)</f>
        <v xml:space="preserve"> </v>
      </c>
      <c r="O45" s="28" t="str">
        <f>IF(K45=0,"",(M45-K45)/ABS(K45)+1)</f>
        <v/>
      </c>
      <c r="P45" s="59">
        <f>+P36</f>
        <v>21000</v>
      </c>
      <c r="Q45" s="28">
        <f>+P45/$P$20</f>
        <v>1</v>
      </c>
      <c r="R45" s="28">
        <f t="shared" si="9"/>
        <v>-1.1926190476190477</v>
      </c>
    </row>
    <row r="46" spans="1:20" ht="14.25" customHeight="1" x14ac:dyDescent="0.2">
      <c r="B46" s="3" t="s">
        <v>20</v>
      </c>
      <c r="C46" s="59">
        <v>0</v>
      </c>
      <c r="D46" s="28" t="str">
        <f>IF($C$20&lt;=0," ",C46/$C$20)</f>
        <v xml:space="preserve"> </v>
      </c>
      <c r="E46" s="59">
        <v>0</v>
      </c>
      <c r="F46" s="28" t="str">
        <f>IF($E$20&lt;=0," ",E46/$E$20)</f>
        <v xml:space="preserve"> </v>
      </c>
      <c r="G46" s="28" t="str">
        <f t="shared" si="5"/>
        <v/>
      </c>
      <c r="H46" s="59">
        <v>0</v>
      </c>
      <c r="I46" s="28" t="str">
        <f t="shared" si="6"/>
        <v/>
      </c>
      <c r="J46" s="28" t="str">
        <f>IF(H46=0,"",(E46-H46)/ABS(H46))</f>
        <v/>
      </c>
      <c r="K46" s="59">
        <f>+K42</f>
        <v>0</v>
      </c>
      <c r="L46" s="28" t="str">
        <f>IF($K$20&lt;=0," ",K46/$K$20)</f>
        <v xml:space="preserve"> </v>
      </c>
      <c r="M46" s="59">
        <v>0</v>
      </c>
      <c r="N46" s="28" t="str">
        <f>IF($M$20&lt;=0," ",M46/$M$20)</f>
        <v xml:space="preserve"> </v>
      </c>
      <c r="O46" s="28" t="str">
        <f>IF(K46=0,"",(M46-K46)/ABS(K46)+1)</f>
        <v/>
      </c>
      <c r="P46" s="59">
        <v>0</v>
      </c>
      <c r="Q46" s="28">
        <f>+P46/$P$20</f>
        <v>0</v>
      </c>
      <c r="R46" s="28" t="str">
        <f t="shared" si="9"/>
        <v/>
      </c>
    </row>
    <row r="47" spans="1:20" ht="14.25" customHeight="1" x14ac:dyDescent="0.2">
      <c r="C47" s="60"/>
      <c r="D47" s="60"/>
      <c r="E47" s="60"/>
      <c r="F47" s="60"/>
      <c r="G47" s="60"/>
      <c r="H47" s="60"/>
      <c r="I47" s="60"/>
      <c r="J47" s="60"/>
      <c r="K47" s="60"/>
      <c r="L47" s="60"/>
      <c r="N47" s="60"/>
      <c r="O47" s="60"/>
    </row>
    <row r="48" spans="1:20" ht="14.25" customHeight="1" x14ac:dyDescent="0.2">
      <c r="M48" s="6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 Rodriguez</dc:creator>
  <cp:lastModifiedBy>Robert Gutierrez Rodriguez</cp:lastModifiedBy>
  <dcterms:created xsi:type="dcterms:W3CDTF">2022-11-18T19:19:50Z</dcterms:created>
  <dcterms:modified xsi:type="dcterms:W3CDTF">2022-11-18T19:22:11Z</dcterms:modified>
</cp:coreProperties>
</file>